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vbaProject.bin" ContentType="application/vnd.ms-office.vbaProject"/>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omments4.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updateLinks="never" codeName="ThisWorkbook" defaultThemeVersion="166925"/>
  <mc:AlternateContent xmlns:mc="http://schemas.openxmlformats.org/markup-compatibility/2006">
    <mc:Choice Requires="x15">
      <x15ac:absPath xmlns:x15ac="http://schemas.microsoft.com/office/spreadsheetml/2010/11/ac" url="https://pruebacorreoescuelaingeduco.sharepoint.com/sites/ModelacinhidrulicaasuperficielibreconHEC-RAS/Class Materials/Módulo 1 - Fundamentos/"/>
    </mc:Choice>
  </mc:AlternateContent>
  <xr:revisionPtr revIDLastSave="0" documentId="8_{1E30205E-64D4-40E2-9942-7D967156E290}" xr6:coauthVersionLast="47" xr6:coauthVersionMax="47" xr10:uidLastSave="{00000000-0000-0000-0000-000000000000}"/>
  <bookViews>
    <workbookView xWindow="-28920" yWindow="-900" windowWidth="29040" windowHeight="15720" activeTab="4" xr2:uid="{CB4A84EB-58A9-4828-A1EC-5E14AACD60D5}"/>
  </bookViews>
  <sheets>
    <sheet name="Intro" sheetId="16" r:id="rId1"/>
    <sheet name="CaucePrincipal" sheetId="33" state="hidden" r:id="rId2"/>
    <sheet name="CauceLateral" sheetId="35" state="hidden" r:id="rId3"/>
    <sheet name="CauceCAD" sheetId="40" state="hidden" r:id="rId4"/>
    <sheet name="YnYc" sheetId="32" r:id="rId5"/>
    <sheet name="FuerzaTractiva" sheetId="37" state="hidden" r:id="rId6"/>
    <sheet name="Referencias" sheetId="27" state="hidden" r:id="rId7"/>
    <sheet name="{R}" sheetId="41" state="hidden" r:id="rId8"/>
  </sheets>
  <functionGroups builtInGroupCount="19"/>
  <definedNames>
    <definedName name="_xlnm.Print_Area" localSheetId="4">YnYc!$A$1:$CB$35</definedName>
    <definedName name="solver_adj" localSheetId="2" hidden="1">CauceLateral!$F$13</definedName>
    <definedName name="solver_adj" localSheetId="1" hidden="1">CaucePrincipal!$F$13</definedName>
    <definedName name="solver_adj" localSheetId="5" hidden="1">FuerzaTractiva!$D$29</definedName>
    <definedName name="solver_adj" localSheetId="4" hidden="1">YnYc!$C$10</definedName>
    <definedName name="solver_cvg" localSheetId="2" hidden="1">0.0001</definedName>
    <definedName name="solver_cvg" localSheetId="1" hidden="1">0.0001</definedName>
    <definedName name="solver_cvg" localSheetId="5" hidden="1">0.000001</definedName>
    <definedName name="solver_cvg" localSheetId="4" hidden="1">0.0001</definedName>
    <definedName name="solver_drv" localSheetId="2" hidden="1">1</definedName>
    <definedName name="solver_drv" localSheetId="1" hidden="1">1</definedName>
    <definedName name="solver_drv" localSheetId="5" hidden="1">1</definedName>
    <definedName name="solver_drv" localSheetId="4" hidden="1">1</definedName>
    <definedName name="solver_eng" localSheetId="2" hidden="1">1</definedName>
    <definedName name="solver_eng" localSheetId="1" hidden="1">1</definedName>
    <definedName name="solver_eng" localSheetId="5" hidden="1">1</definedName>
    <definedName name="solver_eng" localSheetId="4" hidden="1">1</definedName>
    <definedName name="solver_est" localSheetId="2" hidden="1">1</definedName>
    <definedName name="solver_est" localSheetId="1" hidden="1">1</definedName>
    <definedName name="solver_est" localSheetId="5" hidden="1">1</definedName>
    <definedName name="solver_est" localSheetId="4" hidden="1">1</definedName>
    <definedName name="solver_itr" localSheetId="2" hidden="1">2147483647</definedName>
    <definedName name="solver_itr" localSheetId="1" hidden="1">2147483647</definedName>
    <definedName name="solver_itr" localSheetId="5" hidden="1">2147483647</definedName>
    <definedName name="solver_itr" localSheetId="4" hidden="1">2147483647</definedName>
    <definedName name="solver_lhs1" localSheetId="2" hidden="1">CauceLateral!$F$13</definedName>
    <definedName name="solver_lhs1" localSheetId="1" hidden="1">CaucePrincipal!$F$13</definedName>
    <definedName name="solver_lhs1" localSheetId="5" hidden="1">FuerzaTractiva!$D$29</definedName>
    <definedName name="solver_lhs1" localSheetId="4" hidden="1">YnYc!$C$10</definedName>
    <definedName name="solver_lhs2" localSheetId="4" hidden="1">YnYc!$C$6</definedName>
    <definedName name="solver_mip" localSheetId="2" hidden="1">2147483647</definedName>
    <definedName name="solver_mip" localSheetId="1" hidden="1">2147483647</definedName>
    <definedName name="solver_mip" localSheetId="5" hidden="1">2147483647</definedName>
    <definedName name="solver_mip" localSheetId="4" hidden="1">2147483647</definedName>
    <definedName name="solver_mni" localSheetId="2" hidden="1">30</definedName>
    <definedName name="solver_mni" localSheetId="1" hidden="1">30</definedName>
    <definedName name="solver_mni" localSheetId="5" hidden="1">30</definedName>
    <definedName name="solver_mni" localSheetId="4" hidden="1">30</definedName>
    <definedName name="solver_mrt" localSheetId="2" hidden="1">0.075</definedName>
    <definedName name="solver_mrt" localSheetId="1" hidden="1">0.075</definedName>
    <definedName name="solver_mrt" localSheetId="5" hidden="1">0.075</definedName>
    <definedName name="solver_mrt" localSheetId="4" hidden="1">0.075</definedName>
    <definedName name="solver_msl" localSheetId="2" hidden="1">2</definedName>
    <definedName name="solver_msl" localSheetId="1" hidden="1">2</definedName>
    <definedName name="solver_msl" localSheetId="5" hidden="1">2</definedName>
    <definedName name="solver_msl" localSheetId="4" hidden="1">2</definedName>
    <definedName name="solver_neg" localSheetId="2" hidden="1">1</definedName>
    <definedName name="solver_neg" localSheetId="1" hidden="1">1</definedName>
    <definedName name="solver_neg" localSheetId="5" hidden="1">1</definedName>
    <definedName name="solver_neg" localSheetId="4" hidden="1">1</definedName>
    <definedName name="solver_nod" localSheetId="2" hidden="1">2147483647</definedName>
    <definedName name="solver_nod" localSheetId="1" hidden="1">2147483647</definedName>
    <definedName name="solver_nod" localSheetId="5" hidden="1">2147483647</definedName>
    <definedName name="solver_nod" localSheetId="4" hidden="1">2147483647</definedName>
    <definedName name="solver_num" localSheetId="2" hidden="1">1</definedName>
    <definedName name="solver_num" localSheetId="1" hidden="1">1</definedName>
    <definedName name="solver_num" localSheetId="5" hidden="1">1</definedName>
    <definedName name="solver_num" localSheetId="4" hidden="1">2</definedName>
    <definedName name="solver_nwt" localSheetId="2" hidden="1">1</definedName>
    <definedName name="solver_nwt" localSheetId="1" hidden="1">1</definedName>
    <definedName name="solver_nwt" localSheetId="5" hidden="1">1</definedName>
    <definedName name="solver_nwt" localSheetId="4" hidden="1">1</definedName>
    <definedName name="solver_opt" localSheetId="2" hidden="1">CauceLateral!#REF!</definedName>
    <definedName name="solver_opt" localSheetId="1" hidden="1">CaucePrincipal!#REF!</definedName>
    <definedName name="solver_opt" localSheetId="5" hidden="1">FuerzaTractiva!$D$36</definedName>
    <definedName name="solver_opt" localSheetId="4" hidden="1">YnYc!$B$24</definedName>
    <definedName name="solver_pre" localSheetId="2" hidden="1">0.000001</definedName>
    <definedName name="solver_pre" localSheetId="1" hidden="1">0.000001</definedName>
    <definedName name="solver_pre" localSheetId="5" hidden="1">0.000001</definedName>
    <definedName name="solver_pre" localSheetId="4" hidden="1">0.000001</definedName>
    <definedName name="solver_rbv" localSheetId="2" hidden="1">1</definedName>
    <definedName name="solver_rbv" localSheetId="1" hidden="1">1</definedName>
    <definedName name="solver_rbv" localSheetId="5" hidden="1">1</definedName>
    <definedName name="solver_rbv" localSheetId="4" hidden="1">1</definedName>
    <definedName name="solver_rel1" localSheetId="2" hidden="1">3</definedName>
    <definedName name="solver_rel1" localSheetId="1" hidden="1">3</definedName>
    <definedName name="solver_rel1" localSheetId="5" hidden="1">3</definedName>
    <definedName name="solver_rel1" localSheetId="4" hidden="1">1</definedName>
    <definedName name="solver_rel2" localSheetId="4" hidden="1">3</definedName>
    <definedName name="solver_rhs1" localSheetId="2" hidden="1">5</definedName>
    <definedName name="solver_rhs1" localSheetId="1" hidden="1">5</definedName>
    <definedName name="solver_rhs1" localSheetId="5" hidden="1">0</definedName>
    <definedName name="solver_rhs1" localSheetId="4" hidden="1">0.035</definedName>
    <definedName name="solver_rhs2" localSheetId="4" hidden="1">0</definedName>
    <definedName name="solver_rlx" localSheetId="2" hidden="1">2</definedName>
    <definedName name="solver_rlx" localSheetId="1" hidden="1">2</definedName>
    <definedName name="solver_rlx" localSheetId="5" hidden="1">2</definedName>
    <definedName name="solver_rlx" localSheetId="4" hidden="1">2</definedName>
    <definedName name="solver_rsd" localSheetId="2" hidden="1">0</definedName>
    <definedName name="solver_rsd" localSheetId="1" hidden="1">0</definedName>
    <definedName name="solver_rsd" localSheetId="5" hidden="1">0</definedName>
    <definedName name="solver_rsd" localSheetId="4" hidden="1">0</definedName>
    <definedName name="solver_scl" localSheetId="2" hidden="1">1</definedName>
    <definedName name="solver_scl" localSheetId="1" hidden="1">1</definedName>
    <definedName name="solver_scl" localSheetId="5" hidden="1">1</definedName>
    <definedName name="solver_scl" localSheetId="4" hidden="1">1</definedName>
    <definedName name="solver_sho" localSheetId="2" hidden="1">2</definedName>
    <definedName name="solver_sho" localSheetId="1" hidden="1">2</definedName>
    <definedName name="solver_sho" localSheetId="5" hidden="1">2</definedName>
    <definedName name="solver_sho" localSheetId="4" hidden="1">2</definedName>
    <definedName name="solver_ssz" localSheetId="2" hidden="1">100</definedName>
    <definedName name="solver_ssz" localSheetId="1" hidden="1">100</definedName>
    <definedName name="solver_ssz" localSheetId="5" hidden="1">100</definedName>
    <definedName name="solver_ssz" localSheetId="4" hidden="1">100</definedName>
    <definedName name="solver_tim" localSheetId="2" hidden="1">2147483647</definedName>
    <definedName name="solver_tim" localSheetId="1" hidden="1">2147483647</definedName>
    <definedName name="solver_tim" localSheetId="5" hidden="1">2147483647</definedName>
    <definedName name="solver_tim" localSheetId="4" hidden="1">2147483647</definedName>
    <definedName name="solver_tol" localSheetId="2" hidden="1">0.01</definedName>
    <definedName name="solver_tol" localSheetId="1" hidden="1">0.01</definedName>
    <definedName name="solver_tol" localSheetId="5" hidden="1">0.01</definedName>
    <definedName name="solver_tol" localSheetId="4" hidden="1">0.01</definedName>
    <definedName name="solver_typ" localSheetId="2" hidden="1">3</definedName>
    <definedName name="solver_typ" localSheetId="1" hidden="1">3</definedName>
    <definedName name="solver_typ" localSheetId="5" hidden="1">3</definedName>
    <definedName name="solver_typ" localSheetId="4" hidden="1">3</definedName>
    <definedName name="solver_val" localSheetId="2" hidden="1">3</definedName>
    <definedName name="solver_val" localSheetId="1" hidden="1">3</definedName>
    <definedName name="solver_val" localSheetId="5" hidden="1">0</definedName>
    <definedName name="solver_val" localSheetId="4" hidden="1">3</definedName>
    <definedName name="solver_ver" localSheetId="2" hidden="1">3</definedName>
    <definedName name="solver_ver" localSheetId="1" hidden="1">3</definedName>
    <definedName name="solver_ver" localSheetId="5" hidden="1">3</definedName>
    <definedName name="solver_ver" localSheetId="4"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 i="32" l="1"/>
  <c r="P5" i="32"/>
  <c r="Q8" i="32"/>
  <c r="Q7" i="32"/>
  <c r="Q6" i="32"/>
  <c r="Q5" i="32"/>
  <c r="Q4" i="32"/>
  <c r="AE5" i="32"/>
  <c r="G7" i="40"/>
  <c r="G8" i="40"/>
  <c r="G9" i="40"/>
  <c r="G10" i="40"/>
  <c r="G11" i="40"/>
  <c r="G12" i="40"/>
  <c r="G13" i="40"/>
  <c r="G6" i="40"/>
  <c r="F7" i="40"/>
  <c r="F8" i="40"/>
  <c r="F9" i="40"/>
  <c r="F10" i="40"/>
  <c r="F11" i="40"/>
  <c r="F12" i="40"/>
  <c r="F13" i="40"/>
  <c r="F6" i="40"/>
  <c r="B20" i="32" a="1"/>
  <c r="D20" i="32" l="1"/>
  <c r="B22" i="32"/>
  <c r="I23" i="32"/>
  <c r="G25" i="32"/>
  <c r="E20" i="32"/>
  <c r="C22" i="32"/>
  <c r="J23" i="32"/>
  <c r="H25" i="32"/>
  <c r="F20" i="32"/>
  <c r="D22" i="32"/>
  <c r="B24" i="32"/>
  <c r="I25" i="32"/>
  <c r="G20" i="32"/>
  <c r="E22" i="32"/>
  <c r="C24" i="32"/>
  <c r="J25" i="32"/>
  <c r="H20" i="32"/>
  <c r="F22" i="32"/>
  <c r="D24" i="32"/>
  <c r="B26" i="32"/>
  <c r="I20" i="32"/>
  <c r="G22" i="32"/>
  <c r="E24" i="32"/>
  <c r="C26" i="32"/>
  <c r="J20" i="32"/>
  <c r="H22" i="32"/>
  <c r="D26" i="32"/>
  <c r="B21" i="32"/>
  <c r="I22" i="32"/>
  <c r="G24" i="32"/>
  <c r="E26" i="32"/>
  <c r="C21" i="32"/>
  <c r="J22" i="32"/>
  <c r="H24" i="32"/>
  <c r="F26" i="32"/>
  <c r="D21" i="32"/>
  <c r="B23" i="32"/>
  <c r="I24" i="32"/>
  <c r="G26" i="32"/>
  <c r="E21" i="32"/>
  <c r="C23" i="32"/>
  <c r="J24" i="32"/>
  <c r="H26" i="32"/>
  <c r="F21" i="32"/>
  <c r="D23" i="32"/>
  <c r="B25" i="32"/>
  <c r="I26" i="32"/>
  <c r="G21" i="32"/>
  <c r="E23" i="32"/>
  <c r="C25" i="32"/>
  <c r="J26" i="32"/>
  <c r="H21" i="32"/>
  <c r="F23" i="32"/>
  <c r="D25" i="32"/>
  <c r="B20" i="32"/>
  <c r="I21" i="32"/>
  <c r="G23" i="32"/>
  <c r="E25" i="32"/>
  <c r="C20" i="32"/>
  <c r="J21" i="32"/>
  <c r="H23" i="32"/>
  <c r="F25" i="32"/>
  <c r="F24" i="32"/>
  <c r="C7" i="40"/>
  <c r="C8" i="40"/>
  <c r="C9" i="40"/>
  <c r="C10" i="40"/>
  <c r="C11" i="40"/>
  <c r="C12" i="40"/>
  <c r="C13" i="40"/>
  <c r="C6" i="40"/>
  <c r="B6" i="40"/>
  <c r="B7" i="40"/>
  <c r="B8" i="40"/>
  <c r="B9" i="40"/>
  <c r="B10" i="40"/>
  <c r="B11" i="40"/>
  <c r="B12" i="40"/>
  <c r="B13" i="40"/>
  <c r="F32" i="35"/>
  <c r="F32" i="33"/>
  <c r="V6" i="32" l="1"/>
  <c r="T8" i="32"/>
  <c r="V5" i="32"/>
  <c r="T4" i="32"/>
  <c r="V4" i="32"/>
  <c r="T7" i="32"/>
  <c r="V7" i="32"/>
  <c r="V8" i="32"/>
  <c r="T5" i="32"/>
  <c r="T6" i="32"/>
  <c r="R7" i="32"/>
  <c r="R6" i="32"/>
  <c r="R5" i="32"/>
  <c r="R8" i="32"/>
  <c r="R4" i="32"/>
  <c r="R2" i="32"/>
  <c r="V2" i="32"/>
  <c r="T2" i="32"/>
  <c r="P7" i="32"/>
  <c r="P6" i="32"/>
  <c r="J8" i="37"/>
  <c r="J7" i="37"/>
  <c r="J6" i="37"/>
  <c r="I6" i="37"/>
  <c r="J5" i="37"/>
  <c r="B13" i="37"/>
  <c r="E14" i="37"/>
  <c r="I15" i="37" s="1"/>
  <c r="D14" i="37"/>
  <c r="I12" i="37" s="1"/>
  <c r="C14" i="37"/>
  <c r="I9" i="37" s="1"/>
  <c r="E28" i="37"/>
  <c r="D28" i="37"/>
  <c r="D31" i="37" s="1"/>
  <c r="C28" i="37"/>
  <c r="B28" i="37"/>
  <c r="E80" i="37"/>
  <c r="D80" i="37"/>
  <c r="C80" i="37"/>
  <c r="C78" i="37"/>
  <c r="E69" i="37"/>
  <c r="D69" i="37"/>
  <c r="C69" i="37"/>
  <c r="B69" i="37"/>
  <c r="E68" i="37"/>
  <c r="C68" i="37"/>
  <c r="B68" i="37"/>
  <c r="E67" i="37"/>
  <c r="C67" i="37"/>
  <c r="B67" i="37"/>
  <c r="E46" i="37"/>
  <c r="D46" i="37"/>
  <c r="C46" i="37"/>
  <c r="E45" i="37"/>
  <c r="D45" i="37"/>
  <c r="C45" i="37"/>
  <c r="B45" i="37"/>
  <c r="N54" i="37" a="1"/>
  <c r="N54" i="37" s="1"/>
  <c r="E43" i="37"/>
  <c r="D43" i="37"/>
  <c r="C43" i="37"/>
  <c r="B43" i="37"/>
  <c r="E19" i="37"/>
  <c r="E48" i="37" s="1"/>
  <c r="C19" i="37"/>
  <c r="C48" i="37" s="1"/>
  <c r="D9" i="37"/>
  <c r="D67" i="37" s="1"/>
  <c r="U4" i="32" l="1"/>
  <c r="S4" i="32"/>
  <c r="W4" i="32"/>
  <c r="J11" i="37"/>
  <c r="J14" i="37"/>
  <c r="J17" i="37"/>
  <c r="I7" i="37"/>
  <c r="I11" i="37"/>
  <c r="D10" i="37"/>
  <c r="C49" i="37"/>
  <c r="E49" i="37"/>
  <c r="C44" i="37"/>
  <c r="E44" i="37"/>
  <c r="O54" i="37"/>
  <c r="D83" i="37" s="1"/>
  <c r="D85" i="37" s="1"/>
  <c r="D86" i="37" s="1"/>
  <c r="C83" i="37"/>
  <c r="C85" i="37" s="1"/>
  <c r="C86" i="37" s="1"/>
  <c r="D30" i="37"/>
  <c r="U5" i="32" l="1"/>
  <c r="W5" i="32"/>
  <c r="S5" i="32"/>
  <c r="E83" i="37"/>
  <c r="E85" i="37" s="1"/>
  <c r="E86" i="37" s="1"/>
  <c r="I8" i="37"/>
  <c r="I17" i="37" s="1"/>
  <c r="I14" i="37"/>
  <c r="D32" i="37"/>
  <c r="D68" i="37" s="1"/>
  <c r="D72" i="37" s="1"/>
  <c r="D92" i="37" s="1"/>
  <c r="U6" i="32" l="1"/>
  <c r="S6" i="32"/>
  <c r="W6" i="32"/>
  <c r="C72" i="37"/>
  <c r="C92" i="37" s="1"/>
  <c r="E72" i="37"/>
  <c r="E92" i="37" s="1"/>
  <c r="D36" i="37"/>
  <c r="D93" i="37"/>
  <c r="S7" i="32" l="1"/>
  <c r="W7" i="32"/>
  <c r="U7" i="32"/>
  <c r="E93" i="37"/>
  <c r="D15" i="37"/>
  <c r="C93" i="37"/>
  <c r="C15" i="37" s="1"/>
  <c r="E15" i="37" l="1"/>
  <c r="D19" i="35" l="1"/>
  <c r="C22" i="35"/>
  <c r="C31" i="35" s="1"/>
  <c r="F18" i="35"/>
  <c r="H16" i="35"/>
  <c r="D27" i="35" s="1"/>
  <c r="D36" i="35" s="1"/>
  <c r="H15" i="35"/>
  <c r="D26" i="35" s="1"/>
  <c r="D35" i="35" s="1"/>
  <c r="H14" i="35"/>
  <c r="D25" i="35" s="1"/>
  <c r="D34" i="35" s="1"/>
  <c r="H13" i="35"/>
  <c r="D24" i="35" s="1"/>
  <c r="D33" i="35" s="1"/>
  <c r="H6" i="35"/>
  <c r="D23" i="35" s="1"/>
  <c r="D32" i="35" s="1"/>
  <c r="G6" i="35"/>
  <c r="C23" i="35" s="1"/>
  <c r="C32" i="35" s="1"/>
  <c r="H5" i="35"/>
  <c r="D22" i="35" s="1"/>
  <c r="D31" i="35" s="1"/>
  <c r="D19" i="33"/>
  <c r="G7" i="35" l="1"/>
  <c r="C28" i="35" s="1"/>
  <c r="C37" i="35" s="1"/>
  <c r="H7" i="35"/>
  <c r="G8" i="35"/>
  <c r="F19" i="35" l="1"/>
  <c r="C29" i="35"/>
  <c r="C38" i="35" s="1"/>
  <c r="D28" i="35"/>
  <c r="D37" i="35" s="1"/>
  <c r="H8" i="35"/>
  <c r="D29" i="35" s="1"/>
  <c r="D38" i="35" s="1"/>
  <c r="P8" i="32" l="1"/>
  <c r="S8" i="32" s="1"/>
  <c r="AE6" i="32"/>
  <c r="G14" i="35"/>
  <c r="G13" i="35"/>
  <c r="C24" i="35" s="1"/>
  <c r="C33" i="35" s="1"/>
  <c r="C22" i="33"/>
  <c r="C31" i="33" s="1"/>
  <c r="G6" i="33"/>
  <c r="G7" i="33" s="1"/>
  <c r="G8" i="33" s="1"/>
  <c r="C29" i="33" s="1"/>
  <c r="C38" i="33" s="1"/>
  <c r="H6" i="33"/>
  <c r="H7" i="33" s="1"/>
  <c r="H5" i="33"/>
  <c r="D22" i="33" s="1"/>
  <c r="D31" i="33" s="1"/>
  <c r="F18" i="33"/>
  <c r="H16" i="33"/>
  <c r="D27" i="33" s="1"/>
  <c r="D36" i="33" s="1"/>
  <c r="H15" i="33"/>
  <c r="D26" i="33" s="1"/>
  <c r="D35" i="33" s="1"/>
  <c r="H14" i="33"/>
  <c r="D25" i="33" s="1"/>
  <c r="D34" i="33" s="1"/>
  <c r="H13" i="33"/>
  <c r="D24" i="33" s="1"/>
  <c r="D33" i="33" s="1"/>
  <c r="U8" i="32" l="1"/>
  <c r="W8" i="32"/>
  <c r="G15" i="35"/>
  <c r="C25" i="35"/>
  <c r="C34" i="35" s="1"/>
  <c r="C28" i="33"/>
  <c r="C37" i="33" s="1"/>
  <c r="C23" i="33"/>
  <c r="C32" i="33" s="1"/>
  <c r="D23" i="33"/>
  <c r="D32" i="33" s="1"/>
  <c r="H8" i="33"/>
  <c r="D29" i="33" s="1"/>
  <c r="D38" i="33" s="1"/>
  <c r="D28" i="33"/>
  <c r="D37" i="33" s="1"/>
  <c r="F19" i="33"/>
  <c r="G13" i="33" s="1"/>
  <c r="C24" i="33" s="1"/>
  <c r="C33" i="33" s="1"/>
  <c r="E7" i="32"/>
  <c r="E6" i="32"/>
  <c r="G16" i="35" l="1"/>
  <c r="C27" i="35" s="1"/>
  <c r="C36" i="35" s="1"/>
  <c r="C26" i="35"/>
  <c r="C35" i="35" s="1"/>
  <c r="G14" i="33"/>
  <c r="C29" i="32" l="1"/>
  <c r="C30" i="32"/>
  <c r="G15" i="33"/>
  <c r="C26" i="33" s="1"/>
  <c r="C35" i="33" s="1"/>
  <c r="C25" i="33"/>
  <c r="C34" i="33" s="1"/>
  <c r="E16" i="32"/>
  <c r="E15" i="32"/>
  <c r="AG6" i="32" s="1"/>
  <c r="AG5" i="32" s="1"/>
  <c r="E11" i="32"/>
  <c r="AF6" i="32" s="1"/>
  <c r="AF5" i="32" s="1"/>
  <c r="E12" i="32"/>
  <c r="E5" i="32"/>
  <c r="E8" i="32"/>
  <c r="D6" i="32"/>
  <c r="D7" i="32" s="1"/>
  <c r="D8" i="32" s="1"/>
  <c r="D12" i="32" s="1"/>
  <c r="D16" i="32" s="1"/>
  <c r="G16" i="33" l="1"/>
  <c r="C27" i="33" s="1"/>
  <c r="C36"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1987AD10-C068-4078-BD48-117B0A76A5F2}">
      <text>
        <r>
          <rPr>
            <sz val="9"/>
            <color indexed="81"/>
            <rFont val="Segoe UI Light"/>
            <family val="2"/>
          </rPr>
          <t>Invert elevation.
Cota de fondo del canal.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3235760-E74A-4F9D-83FD-E6406D5DBC0E}">
      <text>
        <r>
          <rPr>
            <sz val="9"/>
            <color indexed="81"/>
            <rFont val="Segoe UI Light"/>
            <family val="2"/>
          </rPr>
          <t>Invert elevation.
Cota de fondo del canal.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4" authorId="0" shapeId="0" xr:uid="{EC89FAA5-030B-4DDB-8C5D-44DA4DE50C40}">
      <text>
        <r>
          <rPr>
            <sz val="9"/>
            <color indexed="81"/>
            <rFont val="Segoe UI Light"/>
            <family val="2"/>
          </rPr>
          <t>Q: Flow rate</t>
        </r>
      </text>
    </comment>
    <comment ref="B5" authorId="0" shapeId="0" xr:uid="{5ACB4FAE-D7F3-4708-A745-E4A557E7400D}">
      <text>
        <r>
          <rPr>
            <sz val="9"/>
            <color indexed="81"/>
            <rFont val="Segoe UI Light"/>
            <family val="2"/>
          </rPr>
          <t>g: Gravity acceletarion</t>
        </r>
      </text>
    </comment>
    <comment ref="B6" authorId="0" shapeId="0" xr:uid="{0F807378-398D-4ADC-ABFA-AC9A70843AA8}">
      <text>
        <r>
          <rPr>
            <sz val="9"/>
            <color indexed="81"/>
            <rFont val="Segoe UI Light"/>
            <family val="2"/>
          </rPr>
          <t>b: Channel base or channel diameter. b=0 for triangular sections.</t>
        </r>
      </text>
    </comment>
    <comment ref="B7" authorId="0" shapeId="0" xr:uid="{1FAABFA1-E5F5-438C-8C9C-3567DAEF8654}">
      <text>
        <r>
          <rPr>
            <sz val="9"/>
            <color indexed="81"/>
            <rFont val="Segoe UI Light"/>
            <family val="2"/>
          </rPr>
          <t>z1: Left Side slope. z1=0 for rectangular and circular sections.</t>
        </r>
      </text>
    </comment>
    <comment ref="B8" authorId="0" shapeId="0" xr:uid="{0ECDC888-4D88-4CED-A168-31DC3179F45D}">
      <text>
        <r>
          <rPr>
            <sz val="9"/>
            <color indexed="81"/>
            <rFont val="Segoe UI Light"/>
            <family val="2"/>
          </rPr>
          <t>z2: Right Side slope. z2=0 for rectangular and circular sections.</t>
        </r>
      </text>
    </comment>
    <comment ref="B9" authorId="0" shapeId="0" xr:uid="{8BC7FC6B-CE17-4930-84B8-8285BE0212DB}">
      <text>
        <r>
          <rPr>
            <sz val="9"/>
            <color indexed="81"/>
            <rFont val="Segoe UI Light"/>
            <family val="2"/>
          </rPr>
          <t>Sf: Friction slope</t>
        </r>
      </text>
    </comment>
    <comment ref="B10" authorId="0" shapeId="0" xr:uid="{D3E0825B-C578-4145-BCD6-98358F596A14}">
      <text>
        <r>
          <rPr>
            <sz val="9"/>
            <color indexed="81"/>
            <rFont val="Segoe UI Light"/>
            <family val="2"/>
          </rPr>
          <t>n: Manning roughness number</t>
        </r>
      </text>
    </comment>
    <comment ref="B11" authorId="0" shapeId="0" xr:uid="{72DA5DD4-26A7-4353-9FF5-574429D0D385}">
      <text>
        <r>
          <rPr>
            <sz val="9"/>
            <color indexed="81"/>
            <rFont val="Segoe UI Light"/>
            <family val="2"/>
          </rPr>
          <t>alpha: Kynetic energy factor correction</t>
        </r>
      </text>
    </comment>
    <comment ref="B12" authorId="0" shapeId="0" xr:uid="{1486B1E7-047D-4062-A866-4C6D2972A0C1}">
      <text>
        <r>
          <rPr>
            <sz val="9"/>
            <color indexed="81"/>
            <rFont val="Segoe UI Light"/>
            <family val="2"/>
          </rPr>
          <t>Y2: Represents the high range value for root evaluation. Y2 &gt; Y1</t>
        </r>
      </text>
    </comment>
    <comment ref="B13" authorId="0" shapeId="0" xr:uid="{F1AE4290-9126-4FD7-B6FD-35C50A9378E7}">
      <text>
        <r>
          <rPr>
            <sz val="9"/>
            <color indexed="81"/>
            <rFont val="Segoe UI Light"/>
            <family val="2"/>
          </rPr>
          <t>Y1: Represents the low range value for root evaluation. Y1 &lt; Y2</t>
        </r>
      </text>
    </comment>
    <comment ref="B14" authorId="0" shapeId="0" xr:uid="{6EAE2D3D-E59C-4D18-A4B4-01463BE1A2C1}">
      <text>
        <r>
          <rPr>
            <sz val="9"/>
            <color indexed="81"/>
            <rFont val="Segoe UI Light"/>
            <family val="2"/>
          </rPr>
          <t>UnitSys: SI - International System (Metric), US - English System (ft, in)</t>
        </r>
      </text>
    </comment>
    <comment ref="B15" authorId="0" shapeId="0" xr:uid="{B00B7B26-F840-4E3D-879C-9FC4C7722152}">
      <text>
        <r>
          <rPr>
            <sz val="9"/>
            <color indexed="81"/>
            <rFont val="Segoe UI Light"/>
            <family val="2"/>
          </rPr>
          <t>Shape:
P - Prismatic (Triangle, Trapezoid, Rectangle).
C - Circular.</t>
        </r>
      </text>
    </comment>
    <comment ref="B16" authorId="0" shapeId="0" xr:uid="{CC8FFC2F-5E41-46F2-8130-3A8CC138E1F2}">
      <text>
        <r>
          <rPr>
            <sz val="9"/>
            <color indexed="81"/>
            <rFont val="Segoe UI Light"/>
            <family val="2"/>
          </rPr>
          <t>Iretat: represents the number of iterations</t>
        </r>
      </text>
    </comment>
    <comment ref="B17" authorId="0" shapeId="0" xr:uid="{4A5D0F0E-9E05-4AF4-9308-944A0F5523C1}">
      <text>
        <r>
          <rPr>
            <sz val="9"/>
            <color indexed="81"/>
            <rFont val="Segoe UI Light"/>
            <family val="2"/>
          </rPr>
          <t>Invert elevation.
Cota de fondo del canal.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BBE2AEEF-6FDD-4DB1-87F1-B6D617BF6B21}">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CBF8206C-5C14-4274-BA3A-1A321C9F87ED}">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3BD851-0774-421D-BE72-4E5EF3F3A085}">
      <text>
        <r>
          <rPr>
            <sz val="9"/>
            <color indexed="81"/>
            <rFont val="Segoe UI Light"/>
            <family val="2"/>
          </rPr>
          <t>Buscar objetivo haciendo este valor igual a cero cambiando el ancho en la base, b.</t>
        </r>
      </text>
    </comment>
    <comment ref="D75" authorId="0" shapeId="0" xr:uid="{4AFE12F3-11EF-41A0-8E1D-C9CC89FD6702}">
      <text>
        <r>
          <rPr>
            <sz val="9"/>
            <color indexed="81"/>
            <rFont val="Tahoma"/>
            <family val="2"/>
          </rPr>
          <t>Valores definidos por r.cfdtools@gmail.com</t>
        </r>
      </text>
    </comment>
    <comment ref="D76" authorId="0" shapeId="0" xr:uid="{5E4C7841-8C96-4CA5-BB0D-426A6964239C}">
      <text>
        <r>
          <rPr>
            <sz val="9"/>
            <color indexed="81"/>
            <rFont val="Tahoma"/>
            <family val="2"/>
          </rPr>
          <t>Valores definidos por r.cfdtools@gmail.com</t>
        </r>
      </text>
    </comment>
    <comment ref="D77" authorId="0" shapeId="0" xr:uid="{B416567B-7E21-4C39-90A6-3C4A8E4F0404}">
      <text>
        <r>
          <rPr>
            <sz val="9"/>
            <color indexed="81"/>
            <rFont val="Tahoma"/>
            <family val="2"/>
          </rPr>
          <t>Valores definidos por r.cfdtools@gmail.com</t>
        </r>
      </text>
    </comment>
    <comment ref="B80" authorId="0" shapeId="0" xr:uid="{FF22A4DA-AAFE-4E33-B699-31020A8ED3A5}">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sharedStrings.xml><?xml version="1.0" encoding="utf-8"?>
<sst xmlns="http://schemas.openxmlformats.org/spreadsheetml/2006/main" count="338" uniqueCount="213">
  <si>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</si>
  <si>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</si>
  <si>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</si>
  <si>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</si>
  <si>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</si>
  <si>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</si>
  <si>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</si>
  <si>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</si>
  <si>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</si>
  <si>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</si>
  <si>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</si>
  <si>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</si>
  <si>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</si>
  <si>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</si>
  <si>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</si>
  <si>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</si>
  <si>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</si>
  <si>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</si>
  <si>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</si>
  <si>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Station</t>
  </si>
  <si>
    <t>Elevation</t>
  </si>
  <si>
    <t>Invert elevation</t>
  </si>
  <si>
    <t>Main channel</t>
  </si>
  <si>
    <t>Yn</t>
  </si>
  <si>
    <t>Hydraulic calculations Manning Equation. Bisection Method</t>
  </si>
  <si>
    <t>Cota base, m</t>
  </si>
  <si>
    <t>BL, borde libre, m</t>
  </si>
  <si>
    <t>Altura total, m</t>
  </si>
  <si>
    <t>Centrado sección dominante, m</t>
  </si>
  <si>
    <t>Station, m</t>
  </si>
  <si>
    <t>Elevation, m</t>
  </si>
  <si>
    <t>Etiquetas</t>
  </si>
  <si>
    <t>Eje x</t>
  </si>
  <si>
    <t>Eje y</t>
  </si>
  <si>
    <t>Cauce</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</si>
  <si>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</si>
  <si>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</si>
  <si>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</si>
  <si>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</si>
  <si>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</si>
  <si>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</si>
  <si>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</si>
  <si>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</si>
  <si>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</si>
  <si>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</si>
  <si>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</si>
  <si>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Notas</t>
  </si>
  <si>
    <t>Caudal total canal, m³/s</t>
  </si>
  <si>
    <t>No aplica</t>
  </si>
  <si>
    <t>Diseño usando HEC-RAS por el método de la fuerza tractiva usando Shields. No se aplica diseño de sección compuesta.</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</si>
  <si>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t>
  </si>
  <si>
    <t>Tamaño material recubrimiento lecho, mm</t>
  </si>
  <si>
    <t>Open Hydraulic Channel Calculation, Yn and Yc values. Only for single Trapezoid, rectangle, triangle or circle.</t>
  </si>
  <si>
    <t xml:space="preserve">Using this spreadsheet, the designer could check the cross section geometric and hydraulic designed using the Manning equation. </t>
  </si>
  <si>
    <t>Geometría cauce principal. Método fuerza tractiva usando Shields en HEC-RAS</t>
  </si>
  <si>
    <t>Geometría cauce lateral. Método fuerza tractiva usando Shields En HEC-RAS</t>
  </si>
  <si>
    <t>Eje X</t>
  </si>
  <si>
    <t>Eje Y</t>
  </si>
  <si>
    <t>Graph labels</t>
  </si>
  <si>
    <t>𝜌</t>
  </si>
  <si>
    <t>Caudal</t>
  </si>
  <si>
    <t>m³/s</t>
  </si>
  <si>
    <t>Pendiente</t>
  </si>
  <si>
    <t>So</t>
  </si>
  <si>
    <t>m/m</t>
  </si>
  <si>
    <t>m/s²</t>
  </si>
  <si>
    <t>c</t>
  </si>
  <si>
    <t>adim.</t>
  </si>
  <si>
    <t>t</t>
  </si>
  <si>
    <t>°C</t>
  </si>
  <si>
    <t>kg / m³</t>
  </si>
  <si>
    <t>N / m³</t>
  </si>
  <si>
    <t>T</t>
  </si>
  <si>
    <t>m</t>
  </si>
  <si>
    <t>Altura disponible sin borde libre</t>
  </si>
  <si>
    <t>y</t>
  </si>
  <si>
    <t>Izq z1:1</t>
  </si>
  <si>
    <t>Lecho o fondo</t>
  </si>
  <si>
    <t>Der z2:1</t>
  </si>
  <si>
    <t>n izq</t>
  </si>
  <si>
    <t>n lecho</t>
  </si>
  <si>
    <t>n der</t>
  </si>
  <si>
    <t>Canal recto</t>
  </si>
  <si>
    <t>x</t>
  </si>
  <si>
    <t>https://es.slideshare.net/Ebene159/mcanica-de-fludos</t>
  </si>
  <si>
    <t>https://www.fullquimica.com/2012/04/densidad-del-agua.html</t>
  </si>
  <si>
    <t>Book: Julian Aguirre</t>
  </si>
  <si>
    <t>Lane 
0.3"&lt; d75 &lt;3"</t>
  </si>
  <si>
    <t>Fuerza tractiva unitaria</t>
  </si>
  <si>
    <t>Canal ligeramente sinuoso</t>
  </si>
  <si>
    <t>Canal moderadamente sinuoso</t>
  </si>
  <si>
    <t>Canal muy sinuoso</t>
  </si>
  <si>
    <t>% reducción seleccionado</t>
  </si>
  <si>
    <t>Fuerza tractiva permisible</t>
  </si>
  <si>
    <t>En canales rectos y para cada tamaño de partícula en taludes y fondo, la fuerza tractiva sobre un fondo plano y su respectiva componente lateral en los taludes es</t>
  </si>
  <si>
    <t>Fuerza tractiva permisible reducida</t>
  </si>
  <si>
    <t>Sí la fuerza tractiva en cualquier parte de la sección transversal es menor que el esfuerzo cortante crítico, el canal se considera estable.</t>
  </si>
  <si>
    <t>Analisis de estabilidad</t>
  </si>
  <si>
    <t>Talud izq.</t>
  </si>
  <si>
    <t>Fondo</t>
  </si>
  <si>
    <t>Talud der.</t>
  </si>
  <si>
    <t>Área hidráulica</t>
  </si>
  <si>
    <t>A</t>
  </si>
  <si>
    <t>m²</t>
  </si>
  <si>
    <t>Perímetro mojado</t>
  </si>
  <si>
    <t>Pm</t>
  </si>
  <si>
    <t>Radio hidráulico</t>
  </si>
  <si>
    <t>R</t>
  </si>
  <si>
    <t>Ecuación de Manning</t>
  </si>
  <si>
    <t xml:space="preserve">0 = </t>
  </si>
  <si>
    <t>Aceleración gravedad</t>
  </si>
  <si>
    <t>Temperatura media agua</t>
  </si>
  <si>
    <t>Fs cercano a 1</t>
  </si>
  <si>
    <t>Fs cercano a 1.25</t>
  </si>
  <si>
    <t>Fs cercano a 1.5</t>
  </si>
  <si>
    <t>α: ángulo del talud,</t>
  </si>
  <si>
    <t>ϕ: ángulo de reposo del sedimento</t>
  </si>
  <si>
    <t>ϕ lecho</t>
  </si>
  <si>
    <t>ϕ der</t>
  </si>
  <si>
    <t>ϕ izq</t>
  </si>
  <si>
    <t>α 1</t>
  </si>
  <si>
    <t>α 2</t>
  </si>
  <si>
    <r>
      <t>τ</t>
    </r>
    <r>
      <rPr>
        <vertAlign val="subscript"/>
        <sz val="11"/>
        <color theme="1"/>
        <rFont val="Segoe UI Light"/>
        <family val="2"/>
      </rPr>
      <t>o talud izq</t>
    </r>
    <r>
      <rPr>
        <sz val="11"/>
        <color theme="1"/>
        <rFont val="Segoe UI Light"/>
        <family val="2"/>
      </rPr>
      <t xml:space="preserve"> = 0.76 τ</t>
    </r>
    <r>
      <rPr>
        <vertAlign val="subscript"/>
        <sz val="11"/>
        <color theme="1"/>
        <rFont val="Segoe UI Light"/>
        <family val="2"/>
      </rPr>
      <t>o fondo</t>
    </r>
  </si>
  <si>
    <r>
      <t>τ</t>
    </r>
    <r>
      <rPr>
        <vertAlign val="subscript"/>
        <sz val="11"/>
        <color theme="1"/>
        <rFont val="Segoe UI Light"/>
        <family val="2"/>
      </rPr>
      <t>o fondo</t>
    </r>
  </si>
  <si>
    <r>
      <t>τ</t>
    </r>
    <r>
      <rPr>
        <vertAlign val="subscript"/>
        <sz val="11"/>
        <color theme="1"/>
        <rFont val="Segoe UI Light"/>
        <family val="2"/>
      </rPr>
      <t>o talud der</t>
    </r>
    <r>
      <rPr>
        <sz val="11"/>
        <color theme="1"/>
        <rFont val="Segoe UI Light"/>
        <family val="2"/>
      </rPr>
      <t xml:space="preserve"> = 0.76 τ</t>
    </r>
    <r>
      <rPr>
        <vertAlign val="subscript"/>
        <sz val="11"/>
        <color theme="1"/>
        <rFont val="Segoe UI Light"/>
        <family val="2"/>
      </rPr>
      <t>o fondo</t>
    </r>
  </si>
  <si>
    <t>Rugosidad, adim.</t>
  </si>
  <si>
    <t>Talud, m/m</t>
  </si>
  <si>
    <r>
      <t>Si τ</t>
    </r>
    <r>
      <rPr>
        <vertAlign val="subscript"/>
        <sz val="11"/>
        <color theme="1"/>
        <rFont val="Segoe UI Light"/>
        <family val="2"/>
      </rPr>
      <t>o talud</t>
    </r>
    <r>
      <rPr>
        <sz val="11"/>
        <color theme="1"/>
        <rFont val="Segoe UI Light"/>
        <family val="2"/>
      </rPr>
      <t xml:space="preserve"> &lt; τ</t>
    </r>
    <r>
      <rPr>
        <vertAlign val="subscript"/>
        <sz val="11"/>
        <color theme="1"/>
        <rFont val="Segoe UI Light"/>
        <family val="2"/>
      </rPr>
      <t>cr talud</t>
    </r>
    <r>
      <rPr>
        <sz val="11"/>
        <color theme="1"/>
        <rFont val="Segoe UI Light"/>
        <family val="2"/>
      </rPr>
      <t xml:space="preserve">, el canal es estable </t>
    </r>
  </si>
  <si>
    <r>
      <t>Si τ</t>
    </r>
    <r>
      <rPr>
        <vertAlign val="subscript"/>
        <sz val="11"/>
        <color theme="1"/>
        <rFont val="Segoe UI Light"/>
        <family val="2"/>
      </rPr>
      <t>o fondo</t>
    </r>
    <r>
      <rPr>
        <sz val="11"/>
        <color theme="1"/>
        <rFont val="Segoe UI Light"/>
        <family val="2"/>
      </rPr>
      <t xml:space="preserve"> &lt; τ</t>
    </r>
    <r>
      <rPr>
        <vertAlign val="subscript"/>
        <sz val="11"/>
        <color theme="1"/>
        <rFont val="Segoe UI Light"/>
        <family val="2"/>
      </rPr>
      <t>cr fondo</t>
    </r>
    <r>
      <rPr>
        <sz val="11"/>
        <color theme="1"/>
        <rFont val="Segoe UI Light"/>
        <family val="2"/>
      </rPr>
      <t xml:space="preserve">, el canal es estable </t>
    </r>
  </si>
  <si>
    <t>Curvas de esfuerzo tractivo permisible para materiales finos. Para materiales con tamaño menor a 6mm se utilizará d75 / 13.
Solicitar al usuario que indique si se trata de materiales gruesos, canales con altos o bajos sedimentos finos en el agua, ó canales que transportan agua limpia. A partir de esta selección se utiliza la regresión correspondiente para estimar la fuerza tractiva crítica sobre el fondo y los taludes</t>
  </si>
  <si>
    <t>**Canales con alto contenido de finos en el agua</t>
  </si>
  <si>
    <t>**Canales con poco sedimento en el agua</t>
  </si>
  <si>
    <t>**Canales con agua clara</t>
  </si>
  <si>
    <t>**Pendientes:</t>
  </si>
  <si>
    <t>La altura de diseño "y" es definida a partir de la altura disponible en los cauces naturales en el punto de inicio y entrega del canal a diseñar.</t>
  </si>
  <si>
    <t>Esfuerzo tractivo permisible, lb/ft². Valores recomendados</t>
  </si>
  <si>
    <t>Canales de material grueso no cohesivo. Tamaño 25% o mayor</t>
  </si>
  <si>
    <r>
      <t>Diámetro promedio de la partícula, mm, Shields D</t>
    </r>
    <r>
      <rPr>
        <vertAlign val="subscript"/>
        <sz val="11"/>
        <color theme="1"/>
        <rFont val="Segoe UI Light"/>
        <family val="2"/>
      </rPr>
      <t>50</t>
    </r>
    <r>
      <rPr>
        <sz val="11"/>
        <color theme="1"/>
        <rFont val="Segoe UI Light"/>
        <family val="2"/>
      </rPr>
      <t>, Lane D</t>
    </r>
    <r>
      <rPr>
        <vertAlign val="subscript"/>
        <sz val="11"/>
        <color theme="1"/>
        <rFont val="Segoe UI Light"/>
        <family val="2"/>
      </rPr>
      <t>75</t>
    </r>
  </si>
  <si>
    <r>
      <t>d</t>
    </r>
    <r>
      <rPr>
        <vertAlign val="subscript"/>
        <sz val="11"/>
        <color theme="1"/>
        <rFont val="Segoe UI Light"/>
        <family val="2"/>
      </rPr>
      <t>50</t>
    </r>
    <r>
      <rPr>
        <sz val="11"/>
        <color theme="1"/>
        <rFont val="Segoe UI Light"/>
        <family val="2"/>
      </rPr>
      <t xml:space="preserve"> izq</t>
    </r>
  </si>
  <si>
    <r>
      <t>d</t>
    </r>
    <r>
      <rPr>
        <vertAlign val="subscript"/>
        <sz val="11"/>
        <color theme="1"/>
        <rFont val="Segoe UI Light"/>
        <family val="2"/>
      </rPr>
      <t>50</t>
    </r>
    <r>
      <rPr>
        <sz val="11"/>
        <color theme="1"/>
        <rFont val="Segoe UI Light"/>
        <family val="2"/>
      </rPr>
      <t xml:space="preserve"> lecho</t>
    </r>
  </si>
  <si>
    <r>
      <t>d</t>
    </r>
    <r>
      <rPr>
        <vertAlign val="subscript"/>
        <sz val="11"/>
        <color theme="1"/>
        <rFont val="Segoe UI Light"/>
        <family val="2"/>
      </rPr>
      <t>50</t>
    </r>
    <r>
      <rPr>
        <sz val="11"/>
        <color theme="1"/>
        <rFont val="Segoe UI Light"/>
        <family val="2"/>
      </rPr>
      <t xml:space="preserve"> der</t>
    </r>
  </si>
  <si>
    <t>Ven Te Chow. Hidáulia de canales  (Ejemplo 7.4 Ven Te Chow)</t>
  </si>
  <si>
    <t>d50, tamaño partículas, mm</t>
  </si>
  <si>
    <t>% reducción canales sinuosos (Lane), Factor de sinuosidad</t>
  </si>
  <si>
    <t>Cota fondo</t>
  </si>
  <si>
    <t>m.s.n.m</t>
  </si>
  <si>
    <t>Geometría sección prismática. Fuerza tractiva</t>
  </si>
  <si>
    <t>Ángulo reposo sedimento, °</t>
  </si>
  <si>
    <t>Sí α &gt; ϕ, aplicar factor de reducción Kα</t>
  </si>
  <si>
    <t>Kα izq</t>
  </si>
  <si>
    <t>Kα der</t>
  </si>
  <si>
    <t>ρ</t>
  </si>
  <si>
    <t>ϒ</t>
  </si>
  <si>
    <t>Densidad agua</t>
  </si>
  <si>
    <t>Peso específico agua</t>
  </si>
  <si>
    <t>Factor conversión unidades</t>
  </si>
  <si>
    <t>Ancho máximo disponible valle</t>
  </si>
  <si>
    <t>Ángulo talud, °</t>
  </si>
  <si>
    <t>Tipo sinuosidad</t>
  </si>
  <si>
    <t>Acho base a resolver</t>
  </si>
  <si>
    <t>Factor de reducción esfuerzo cortante crítico</t>
  </si>
  <si>
    <t>Fuerza tractiva unitaria 
en fondo y talud, kg / m²</t>
  </si>
  <si>
    <t>Diseño de sección por el método de la fuerza tractiva</t>
  </si>
  <si>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</si>
  <si>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</si>
  <si>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der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</si>
  <si>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d&gt; 6mm</t>
    </r>
    <r>
      <rPr>
        <vertAlign val="subscript"/>
        <sz val="11"/>
        <color theme="1"/>
        <rFont val="Segoe UI Light"/>
        <family val="2"/>
      </rPr>
      <t xml:space="preserve">
</t>
    </r>
    <r>
      <rPr>
        <sz val="11"/>
        <color theme="1"/>
        <rFont val="Segoe UI Light"/>
        <family val="2"/>
      </rPr>
      <t>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</si>
  <si>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d &gt; 6mm 
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</si>
  <si>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talud der</t>
    </r>
    <r>
      <rPr>
        <sz val="11"/>
        <color theme="1"/>
        <rFont val="Segoe UI Light"/>
        <family val="2"/>
      </rPr>
      <t xml:space="preserve"> d &gt; 6mm </t>
    </r>
    <r>
      <rPr>
        <vertAlign val="subscript"/>
        <sz val="11"/>
        <color theme="1"/>
        <rFont val="Segoe UI Light"/>
        <family val="2"/>
      </rPr>
      <t xml:space="preserve">
</t>
    </r>
    <r>
      <rPr>
        <sz val="11"/>
        <color theme="1"/>
        <rFont val="Segoe UI Light"/>
        <family val="2"/>
      </rPr>
      <t>lb / ft²</t>
    </r>
  </si>
  <si>
    <t>Buscar objetivo o Solver haciendo este valor igual a cero cambiando el ancho en la base.</t>
  </si>
  <si>
    <t>1. Datos de entrada</t>
  </si>
  <si>
    <t>2. Encontrar el ancho en la base del canal usando la ecuación de Manning</t>
  </si>
  <si>
    <t>3. Factor de reducción del esfuerzo cortante crítico</t>
  </si>
  <si>
    <r>
      <t>4. Fuerza tractiva por unidad de área mojada, τ</t>
    </r>
    <r>
      <rPr>
        <vertAlign val="subscript"/>
        <sz val="11"/>
        <color theme="1"/>
        <rFont val="Segoe UI Light"/>
        <family val="2"/>
      </rPr>
      <t>o.</t>
    </r>
    <r>
      <rPr>
        <sz val="11"/>
        <color theme="1"/>
        <rFont val="Segoe UI Light"/>
        <family val="2"/>
      </rPr>
      <t xml:space="preserve">  Tamaño mínimo de partículas requeridas en el lecho para conformar sección estable.</t>
    </r>
  </si>
  <si>
    <t>b, base, m</t>
  </si>
  <si>
    <t>Hv, altura, m</t>
  </si>
  <si>
    <t>z1, talud izquierdo</t>
  </si>
  <si>
    <t>z2, talud derecho</t>
  </si>
  <si>
    <t>Hd, altura, m</t>
  </si>
  <si>
    <t>0.018 lecho, 0.035 bancas y base</t>
  </si>
  <si>
    <t>Geometría secciones prototipo HEC-RAS</t>
  </si>
  <si>
    <t>Start station, m</t>
  </si>
  <si>
    <t>End station, m</t>
  </si>
  <si>
    <t>Geometría secciones prototipo 1Km HEC-RAS</t>
  </si>
  <si>
    <t>Notas sección inicio para prototipo HEC-RAS, abscisa 1000m</t>
  </si>
  <si>
    <t>Notas sección entrega para prototipo HEC-RAS, abscisa 0m</t>
  </si>
  <si>
    <t>Delta Y, m</t>
  </si>
  <si>
    <t>Longitud prototipo, m</t>
  </si>
  <si>
    <t>Licencia, cláusulas y condiciones de uso en:</t>
  </si>
  <si>
    <t>Password: 1234</t>
  </si>
  <si>
    <t>PLine</t>
  </si>
  <si>
    <t>C</t>
  </si>
  <si>
    <t>Sección inicio</t>
  </si>
  <si>
    <t>Sección entrega</t>
  </si>
  <si>
    <t>Geometría CAD secciones prototipo HEC-RAS</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</si>
  <si>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</si>
  <si>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</si>
  <si>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</si>
  <si>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</si>
  <si>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Dimensionar la sección hidráulica dominante y de creciente del cauce principal y de los cauces laterales menores, verificando a flujo uniforme la capacidad hidráulica de las sección compuesta y el borde libre requerido.</t>
  </si>
  <si>
    <t>Memoria de diseño y geometría de la sección obtenida con el módulo de diseño HD de HEC-RAS*</t>
  </si>
  <si>
    <t>*Esta hoja no realiza ningún cálculo de diseño, solo es utilizada para registrar los parámetros de entrada y geometría obtenida de diseño en HEC-RAS. A través de los datos geométricos de entrada se ensambla la tabla de valores de estación y elevación requeridos para modelación hidráulica de canales prototipo en HEC-RAS.</t>
  </si>
  <si>
    <t>Cauce principal</t>
  </si>
  <si>
    <t>Cauce lateral</t>
  </si>
  <si>
    <t>Instrucciones:
Para crear en CAD la región correspondiente a la sección,  seleccione las celdas en cursiva, copie y pegue en el Command de Autocad o Civil3D. 
Para crear solo la polilínea de la base, excluir la letra "C" correspondiente al cierre de la polilínea.
Notación numérica requerida: separador decimal usando punto (.), separador de miles usando coma (,) y separador de listas usando coma (,).</t>
  </si>
  <si>
    <t>Diseño geométrico e hidráulico vertical de canales a superficie libre.</t>
  </si>
  <si>
    <t>X</t>
  </si>
  <si>
    <t>z</t>
  </si>
  <si>
    <t>z+y</t>
  </si>
  <si>
    <t>Profile Channel</t>
  </si>
  <si>
    <r>
      <t>z</t>
    </r>
    <r>
      <rPr>
        <vertAlign val="subscript"/>
        <sz val="11"/>
        <color theme="1"/>
        <rFont val="Segoe UI Light"/>
        <family val="2"/>
      </rPr>
      <t>cl</t>
    </r>
  </si>
  <si>
    <t>Nota: los perfiles presentados son meramente esquemáticos y no se ha realizado un cálculo detallado del perfil del flujo variado.</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</si>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</sst>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 #,##0_-;\-* #,##0_-;_-* &quot;-&quot;_-;_-@_-"/>
    <numFmt numFmtId="165" formatCode="0.000"/>
    <numFmt numFmtId="166" formatCode="0.00000"/>
    <numFmt numFmtId="167" formatCode="0.000000"/>
    <numFmt numFmtId="168" formatCode="0.0000000"/>
    <numFmt numFmtId="169" formatCode="0.0"/>
    <numFmt numFmtId="170" formatCode="0.0000"/>
    <numFmt numFmtId="171" formatCode="0.000\ &quot;m&quot;"/>
  </numFmts>
  <fonts count="22" x14ac:knownFonts="1">
    <font>
      <sz val="11"/>
      <color theme="1"/>
      <name val="Calibri"/>
      <family val="2"/>
      <scheme val="minor"/>
    </font>
    <font>
      <sz val="11"/>
      <color theme="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9"/>
      <color indexed="81"/>
      <name val="Tahoma"/>
      <family val="2"/>
    </font>
    <font>
      <sz val="9"/>
      <color theme="0" tint="-0.499984740745262"/>
      <name val="Segoe UI Light"/>
      <family val="2"/>
    </font>
    <font>
      <vertAlign val="subscript"/>
      <sz val="11"/>
      <color theme="1"/>
      <name val="Segoe UI Light"/>
      <family val="2"/>
    </font>
    <font>
      <sz val="8"/>
      <color theme="1"/>
      <name val="Segoe UI Light"/>
      <family val="2"/>
    </font>
    <font>
      <sz val="11"/>
      <color theme="0" tint="-0.499984740745262"/>
      <name val="Segoe UI Light"/>
      <family val="2"/>
    </font>
    <font>
      <sz val="10"/>
      <color indexed="81"/>
      <name val="Segoe UI Light"/>
      <family val="2"/>
    </font>
    <font>
      <i/>
      <sz val="11"/>
      <color theme="1"/>
      <name val="Segoe UI Light"/>
      <family val="2"/>
    </font>
    <font>
      <sz val="10"/>
      <color theme="1"/>
      <name val="Segoe UI Light"/>
      <family val="2"/>
    </font>
  </fonts>
  <fills count="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s>
  <borders count="55">
    <border>
      <left/>
      <right/>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dotted">
        <color theme="0" tint="-0.24994659260841701"/>
      </left>
      <right/>
      <top/>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indexed="64"/>
      </right>
      <top style="thin">
        <color indexed="64"/>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indexed="64"/>
      </left>
      <right/>
      <top style="thin">
        <color theme="0" tint="-4.9989318521683403E-2"/>
      </top>
      <bottom/>
      <diagonal/>
    </border>
    <border>
      <left/>
      <right/>
      <top style="thin">
        <color theme="0" tint="-4.9989318521683403E-2"/>
      </top>
      <bottom/>
      <diagonal/>
    </border>
    <border>
      <left/>
      <right style="thin">
        <color indexed="64"/>
      </right>
      <top style="thin">
        <color theme="0" tint="-4.9989318521683403E-2"/>
      </top>
      <bottom/>
      <diagonal/>
    </border>
    <border>
      <left style="thin">
        <color indexed="64"/>
      </left>
      <right/>
      <top/>
      <bottom style="thin">
        <color theme="0" tint="-4.9989318521683403E-2"/>
      </bottom>
      <diagonal/>
    </border>
    <border>
      <left/>
      <right/>
      <top/>
      <bottom style="thin">
        <color theme="0" tint="-4.9989318521683403E-2"/>
      </bottom>
      <diagonal/>
    </border>
    <border>
      <left/>
      <right style="thin">
        <color indexed="64"/>
      </right>
      <top/>
      <bottom style="thin">
        <color theme="0" tint="-4.9989318521683403E-2"/>
      </bottom>
      <diagonal/>
    </border>
    <border>
      <left style="thin">
        <color theme="1" tint="0.499984740745262"/>
      </left>
      <right/>
      <top style="thin">
        <color theme="1" tint="0.499984740745262"/>
      </top>
      <bottom style="thin">
        <color theme="0" tint="-4.9989318521683403E-2"/>
      </bottom>
      <diagonal/>
    </border>
    <border>
      <left style="thin">
        <color theme="1" tint="0.499984740745262"/>
      </left>
      <right/>
      <top style="thin">
        <color theme="0" tint="-4.9989318521683403E-2"/>
      </top>
      <bottom style="thin">
        <color theme="0" tint="-4.9989318521683403E-2"/>
      </bottom>
      <diagonal/>
    </border>
    <border>
      <left style="thin">
        <color theme="1" tint="0.499984740745262"/>
      </left>
      <right/>
      <top style="thin">
        <color theme="0" tint="-4.9989318521683403E-2"/>
      </top>
      <bottom style="thin">
        <color theme="1" tint="0.499984740745262"/>
      </bottom>
      <diagonal/>
    </border>
    <border>
      <left/>
      <right style="thin">
        <color theme="1" tint="0.499984740745262"/>
      </right>
      <top style="thin">
        <color theme="1" tint="0.499984740745262"/>
      </top>
      <bottom style="thin">
        <color theme="0" tint="-4.9989318521683403E-2"/>
      </bottom>
      <diagonal/>
    </border>
    <border>
      <left/>
      <right style="thin">
        <color theme="1" tint="0.499984740745262"/>
      </right>
      <top style="thin">
        <color theme="0" tint="-4.9989318521683403E-2"/>
      </top>
      <bottom style="thin">
        <color theme="0" tint="-4.9989318521683403E-2"/>
      </bottom>
      <diagonal/>
    </border>
    <border>
      <left/>
      <right style="thin">
        <color theme="1" tint="0.499984740745262"/>
      </right>
      <top style="thin">
        <color theme="0" tint="-4.9989318521683403E-2"/>
      </top>
      <bottom style="thin">
        <color theme="1" tint="0.499984740745262"/>
      </bottom>
      <diagonal/>
    </border>
    <border>
      <left style="thin">
        <color theme="1" tint="0.499984740745262"/>
      </left>
      <right style="thin">
        <color theme="1" tint="0.499984740745262"/>
      </right>
      <top style="thin">
        <color theme="1" tint="0.499984740745262"/>
      </top>
      <bottom style="thin">
        <color theme="0" tint="-4.9989318521683403E-2"/>
      </bottom>
      <diagonal/>
    </border>
    <border>
      <left style="thin">
        <color theme="1" tint="0.499984740745262"/>
      </left>
      <right style="thin">
        <color theme="1" tint="0.499984740745262"/>
      </right>
      <top style="thin">
        <color theme="0" tint="-4.9989318521683403E-2"/>
      </top>
      <bottom style="thin">
        <color theme="0" tint="-4.9989318521683403E-2"/>
      </bottom>
      <diagonal/>
    </border>
    <border>
      <left style="thin">
        <color theme="1" tint="0.499984740745262"/>
      </left>
      <right style="thin">
        <color theme="1" tint="0.499984740745262"/>
      </right>
      <top style="thin">
        <color theme="0" tint="-4.9989318521683403E-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tint="0.499984740745262"/>
      </left>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s>
  <cellStyleXfs count="10">
    <xf numFmtId="0" fontId="0" fillId="0" borderId="0"/>
    <xf numFmtId="0" fontId="4" fillId="0" borderId="0" applyNumberFormat="0" applyFill="0" applyBorder="0" applyAlignment="0" applyProtection="0"/>
    <xf numFmtId="0" fontId="9" fillId="0" borderId="0" applyNumberFormat="0" applyFill="0" applyBorder="0" applyAlignment="0" applyProtection="0"/>
    <xf numFmtId="0" fontId="10" fillId="0" borderId="0"/>
    <xf numFmtId="0" fontId="8" fillId="0" borderId="0"/>
    <xf numFmtId="43" fontId="10" fillId="0" borderId="0" applyFont="0" applyFill="0" applyBorder="0" applyAlignment="0" applyProtection="0"/>
    <xf numFmtId="9" fontId="10" fillId="0" borderId="0" applyFont="0" applyFill="0" applyBorder="0" applyAlignment="0" applyProtection="0"/>
    <xf numFmtId="43" fontId="8" fillId="0" borderId="0" applyFont="0" applyFill="0" applyBorder="0" applyAlignment="0" applyProtection="0"/>
    <xf numFmtId="164" fontId="8" fillId="0" borderId="0" applyFont="0" applyFill="0" applyBorder="0" applyAlignment="0" applyProtection="0"/>
    <xf numFmtId="9" fontId="8" fillId="0" borderId="0" applyFont="0" applyFill="0" applyBorder="0" applyAlignment="0" applyProtection="0"/>
  </cellStyleXfs>
  <cellXfs count="266">
    <xf numFmtId="0" fontId="0" fillId="0" borderId="0" xfId="0"/>
    <xf numFmtId="0" fontId="2" fillId="0" borderId="0" xfId="0" applyFont="1" applyAlignment="1">
      <alignment vertical="top" wrapText="1"/>
    </xf>
    <xf numFmtId="0" fontId="11" fillId="0" borderId="0" xfId="3" applyFont="1" applyAlignment="1">
      <alignment vertical="top" wrapText="1"/>
    </xf>
    <xf numFmtId="0" fontId="2" fillId="0" borderId="0" xfId="0" applyFont="1" applyAlignment="1">
      <alignment vertical="top"/>
    </xf>
    <xf numFmtId="0" fontId="2" fillId="0" borderId="0" xfId="0" applyFont="1" applyAlignment="1">
      <alignment horizontal="center" vertical="top"/>
    </xf>
    <xf numFmtId="0" fontId="2" fillId="0" borderId="4" xfId="0" applyFont="1" applyBorder="1" applyAlignment="1">
      <alignment vertical="top"/>
    </xf>
    <xf numFmtId="0" fontId="12" fillId="0" borderId="0" xfId="1" applyFont="1" applyAlignment="1">
      <alignment horizontal="left" vertical="top"/>
    </xf>
    <xf numFmtId="0" fontId="1" fillId="0" borderId="0" xfId="0" applyFont="1" applyAlignment="1">
      <alignment horizontal="left" vertical="top"/>
    </xf>
    <xf numFmtId="0" fontId="1" fillId="0" borderId="0" xfId="0" applyFont="1" applyAlignment="1">
      <alignment vertical="top"/>
    </xf>
    <xf numFmtId="0" fontId="1" fillId="2" borderId="7" xfId="0" applyFont="1" applyFill="1" applyBorder="1" applyAlignment="1">
      <alignment vertical="top"/>
    </xf>
    <xf numFmtId="0" fontId="1" fillId="2" borderId="8" xfId="0" applyFont="1" applyFill="1" applyBorder="1" applyAlignment="1">
      <alignment vertical="top"/>
    </xf>
    <xf numFmtId="0" fontId="20" fillId="0" borderId="6" xfId="0" applyFont="1" applyBorder="1" applyAlignment="1">
      <alignment vertical="top"/>
    </xf>
    <xf numFmtId="0" fontId="20" fillId="0" borderId="2" xfId="0" applyFont="1" applyBorder="1" applyAlignment="1">
      <alignment vertical="top"/>
    </xf>
    <xf numFmtId="0" fontId="20" fillId="0" borderId="5" xfId="0" applyFont="1" applyBorder="1" applyAlignment="1">
      <alignment vertical="top"/>
    </xf>
    <xf numFmtId="0" fontId="20" fillId="0" borderId="3" xfId="0" applyFont="1" applyBorder="1" applyAlignment="1">
      <alignment vertical="top"/>
    </xf>
    <xf numFmtId="0" fontId="1" fillId="0" borderId="1" xfId="0" applyFont="1" applyBorder="1" applyAlignment="1">
      <alignment vertical="top" wrapText="1"/>
    </xf>
    <xf numFmtId="0" fontId="1" fillId="0" borderId="0" xfId="0" applyFont="1" applyAlignment="1">
      <alignment vertical="top" wrapText="1"/>
    </xf>
    <xf numFmtId="0" fontId="1" fillId="0" borderId="0" xfId="0" applyFont="1" applyAlignment="1">
      <alignment horizontal="center" vertical="top" wrapText="1"/>
    </xf>
    <xf numFmtId="0" fontId="1" fillId="0" borderId="0" xfId="0" applyFont="1" applyAlignment="1">
      <alignment horizontal="center" vertical="top"/>
    </xf>
    <xf numFmtId="0" fontId="6" fillId="0" borderId="0" xfId="1" applyFont="1" applyAlignment="1" applyProtection="1">
      <alignment horizontal="center" vertical="top" wrapText="1"/>
      <protection locked="0"/>
    </xf>
    <xf numFmtId="0" fontId="17" fillId="0" borderId="0" xfId="0" applyFont="1" applyAlignment="1">
      <alignment horizontal="center" vertical="top"/>
    </xf>
    <xf numFmtId="0" fontId="17" fillId="0" borderId="0" xfId="1" applyFont="1" applyFill="1" applyAlignment="1" applyProtection="1">
      <alignment horizontal="right" vertical="top"/>
    </xf>
    <xf numFmtId="0" fontId="2" fillId="0" borderId="0" xfId="4" applyFont="1" applyAlignment="1">
      <alignment vertical="top"/>
    </xf>
    <xf numFmtId="0" fontId="2" fillId="0" borderId="4" xfId="4" applyFont="1" applyBorder="1" applyAlignment="1">
      <alignment vertical="top"/>
    </xf>
    <xf numFmtId="0" fontId="3" fillId="0" borderId="0" xfId="0" applyFont="1" applyAlignment="1">
      <alignment horizontal="left" vertical="top"/>
    </xf>
    <xf numFmtId="165" fontId="2" fillId="0" borderId="0" xfId="0" applyNumberFormat="1" applyFont="1" applyAlignment="1">
      <alignment horizontal="center" vertical="top"/>
    </xf>
    <xf numFmtId="0" fontId="11" fillId="0" borderId="4" xfId="3" applyFont="1" applyBorder="1" applyAlignment="1">
      <alignment vertical="top" wrapText="1"/>
    </xf>
    <xf numFmtId="0" fontId="11" fillId="0" borderId="0" xfId="4" applyFont="1" applyAlignment="1">
      <alignment vertical="top"/>
    </xf>
    <xf numFmtId="0" fontId="12" fillId="0" borderId="0" xfId="1" applyFont="1" applyAlignment="1">
      <alignment vertical="top"/>
    </xf>
    <xf numFmtId="0" fontId="2" fillId="2" borderId="9" xfId="0" applyFont="1" applyFill="1" applyBorder="1" applyAlignment="1">
      <alignment horizontal="center" vertical="top" wrapText="1"/>
    </xf>
    <xf numFmtId="0" fontId="2" fillId="0" borderId="9" xfId="0" applyFont="1" applyBorder="1" applyAlignment="1">
      <alignment horizontal="right" vertical="top" wrapText="1"/>
    </xf>
    <xf numFmtId="0" fontId="3" fillId="0" borderId="9" xfId="0" applyFont="1" applyBorder="1" applyAlignment="1" applyProtection="1">
      <alignment horizontal="center" vertical="top" wrapText="1"/>
      <protection locked="0"/>
    </xf>
    <xf numFmtId="0" fontId="2" fillId="0" borderId="9" xfId="0" applyFont="1" applyBorder="1" applyAlignment="1">
      <alignment horizontal="right" vertical="top"/>
    </xf>
    <xf numFmtId="0" fontId="3" fillId="0" borderId="9" xfId="0" applyFont="1" applyBorder="1" applyAlignment="1" applyProtection="1">
      <alignment horizontal="center" vertical="top"/>
      <protection locked="0"/>
    </xf>
    <xf numFmtId="0" fontId="2" fillId="0" borderId="9" xfId="0" applyFont="1" applyBorder="1" applyAlignment="1">
      <alignment horizontal="center" vertical="top"/>
    </xf>
    <xf numFmtId="2" fontId="2" fillId="0" borderId="9" xfId="0" applyNumberFormat="1" applyFont="1" applyBorder="1" applyAlignment="1">
      <alignment horizontal="center" vertical="top"/>
    </xf>
    <xf numFmtId="0" fontId="12" fillId="0" borderId="9" xfId="0" applyFont="1" applyBorder="1" applyAlignment="1">
      <alignment horizontal="center" vertical="top"/>
    </xf>
    <xf numFmtId="0" fontId="12" fillId="0" borderId="9" xfId="0" applyFont="1" applyBorder="1" applyAlignment="1">
      <alignment horizontal="center" vertical="top" wrapText="1"/>
    </xf>
    <xf numFmtId="0" fontId="2" fillId="2" borderId="9" xfId="0" applyFont="1" applyFill="1" applyBorder="1" applyAlignment="1">
      <alignment horizontal="center" vertical="top"/>
    </xf>
    <xf numFmtId="0" fontId="3" fillId="0" borderId="9" xfId="0" applyFont="1" applyBorder="1" applyAlignment="1">
      <alignment horizontal="center" vertical="top"/>
    </xf>
    <xf numFmtId="0" fontId="3" fillId="0" borderId="9" xfId="0" applyFont="1" applyBorder="1" applyAlignment="1" applyProtection="1">
      <alignment vertical="top"/>
      <protection locked="0"/>
    </xf>
    <xf numFmtId="0" fontId="3" fillId="0" borderId="9" xfId="0" applyFont="1" applyBorder="1" applyAlignment="1" applyProtection="1">
      <alignment vertical="top" wrapText="1"/>
      <protection locked="0"/>
    </xf>
    <xf numFmtId="0" fontId="2" fillId="2" borderId="14" xfId="0" applyFont="1" applyFill="1" applyBorder="1" applyAlignment="1">
      <alignment horizontal="center" vertical="top" wrapText="1"/>
    </xf>
    <xf numFmtId="0" fontId="2" fillId="0" borderId="14" xfId="0" applyFont="1" applyBorder="1" applyAlignment="1">
      <alignment horizontal="center" vertical="top"/>
    </xf>
    <xf numFmtId="2" fontId="2" fillId="0" borderId="14" xfId="0" applyNumberFormat="1" applyFont="1" applyBorder="1" applyAlignment="1">
      <alignment horizontal="center" vertical="top"/>
    </xf>
    <xf numFmtId="0" fontId="3" fillId="0" borderId="14" xfId="0" applyFont="1" applyBorder="1" applyAlignment="1" applyProtection="1">
      <alignment horizontal="center" vertical="top"/>
      <protection locked="0"/>
    </xf>
    <xf numFmtId="0" fontId="3" fillId="0" borderId="14" xfId="0" applyFont="1" applyBorder="1" applyAlignment="1" applyProtection="1">
      <alignment vertical="top"/>
      <protection locked="0"/>
    </xf>
    <xf numFmtId="0" fontId="3" fillId="0" borderId="14" xfId="0" applyFont="1" applyBorder="1" applyAlignment="1" applyProtection="1">
      <alignment vertical="top" wrapText="1"/>
      <protection locked="0"/>
    </xf>
    <xf numFmtId="2" fontId="2" fillId="0" borderId="16" xfId="0" applyNumberFormat="1" applyFont="1" applyBorder="1" applyAlignment="1">
      <alignment horizontal="center" vertical="top"/>
    </xf>
    <xf numFmtId="0" fontId="2" fillId="2" borderId="11" xfId="0" applyFont="1" applyFill="1" applyBorder="1" applyAlignment="1">
      <alignment horizontal="center" vertical="top" wrapText="1"/>
    </xf>
    <xf numFmtId="0" fontId="2" fillId="2" borderId="12" xfId="0" applyFont="1" applyFill="1" applyBorder="1" applyAlignment="1">
      <alignment horizontal="center" vertical="top" wrapText="1"/>
    </xf>
    <xf numFmtId="0" fontId="2" fillId="0" borderId="16" xfId="0" applyFont="1" applyBorder="1" applyAlignment="1">
      <alignment horizontal="right" vertical="top" wrapText="1"/>
    </xf>
    <xf numFmtId="0" fontId="3" fillId="0" borderId="16" xfId="0" applyFont="1" applyBorder="1" applyAlignment="1" applyProtection="1">
      <alignment horizontal="center" vertical="top" wrapText="1"/>
      <protection locked="0"/>
    </xf>
    <xf numFmtId="0" fontId="2" fillId="2" borderId="22" xfId="0" applyFont="1" applyFill="1" applyBorder="1" applyAlignment="1">
      <alignment horizontal="center" vertical="top"/>
    </xf>
    <xf numFmtId="0" fontId="2" fillId="2" borderId="11" xfId="0" applyFont="1" applyFill="1" applyBorder="1" applyAlignment="1">
      <alignment horizontal="center" vertical="top"/>
    </xf>
    <xf numFmtId="165" fontId="2" fillId="0" borderId="9" xfId="0" applyNumberFormat="1" applyFont="1" applyBorder="1" applyAlignment="1">
      <alignment horizontal="center" vertical="top"/>
    </xf>
    <xf numFmtId="0" fontId="2" fillId="0" borderId="9" xfId="0" applyFont="1" applyBorder="1" applyAlignment="1">
      <alignment vertical="top"/>
    </xf>
    <xf numFmtId="166" fontId="2" fillId="0" borderId="9" xfId="0" applyNumberFormat="1" applyFont="1" applyBorder="1" applyAlignment="1">
      <alignment horizontal="center" vertical="top" wrapText="1"/>
    </xf>
    <xf numFmtId="0" fontId="2" fillId="0" borderId="11" xfId="0" applyFont="1" applyBorder="1" applyAlignment="1">
      <alignment vertical="top"/>
    </xf>
    <xf numFmtId="0" fontId="2" fillId="0" borderId="12" xfId="0" applyFont="1" applyBorder="1" applyAlignment="1">
      <alignment vertical="top"/>
    </xf>
    <xf numFmtId="0" fontId="2" fillId="0" borderId="13" xfId="0" applyFont="1" applyBorder="1" applyAlignment="1">
      <alignment horizontal="center" vertical="top"/>
    </xf>
    <xf numFmtId="0" fontId="2" fillId="0" borderId="14" xfId="0" applyFont="1" applyBorder="1" applyAlignment="1">
      <alignment vertical="top"/>
    </xf>
    <xf numFmtId="0" fontId="2" fillId="0" borderId="15" xfId="0" applyFont="1" applyBorder="1" applyAlignment="1">
      <alignment horizontal="center" vertical="top" wrapText="1"/>
    </xf>
    <xf numFmtId="0" fontId="2" fillId="0" borderId="16" xfId="0" applyFont="1" applyBorder="1" applyAlignment="1">
      <alignment horizontal="center" vertical="top"/>
    </xf>
    <xf numFmtId="0" fontId="2" fillId="0" borderId="16" xfId="0" applyFont="1" applyBorder="1" applyAlignment="1">
      <alignment vertical="top"/>
    </xf>
    <xf numFmtId="0" fontId="2" fillId="0" borderId="17" xfId="0" applyFont="1" applyBorder="1" applyAlignment="1">
      <alignment vertical="top"/>
    </xf>
    <xf numFmtId="0" fontId="12" fillId="2" borderId="10" xfId="0" applyFont="1" applyFill="1" applyBorder="1" applyAlignment="1">
      <alignment horizontal="center" vertical="top" wrapText="1"/>
    </xf>
    <xf numFmtId="0" fontId="12" fillId="2" borderId="11" xfId="0" applyFont="1" applyFill="1" applyBorder="1" applyAlignment="1">
      <alignment horizontal="center" vertical="top" wrapText="1"/>
    </xf>
    <xf numFmtId="0" fontId="12" fillId="2" borderId="12" xfId="0" applyFont="1" applyFill="1" applyBorder="1" applyAlignment="1">
      <alignment horizontal="center" vertical="top" wrapText="1"/>
    </xf>
    <xf numFmtId="0" fontId="2" fillId="2" borderId="13" xfId="0" applyFont="1" applyFill="1" applyBorder="1" applyAlignment="1">
      <alignment horizontal="center" vertical="top" wrapText="1"/>
    </xf>
    <xf numFmtId="166" fontId="2" fillId="0" borderId="13" xfId="0" applyNumberFormat="1" applyFont="1" applyBorder="1" applyAlignment="1">
      <alignment horizontal="center" vertical="top" wrapText="1"/>
    </xf>
    <xf numFmtId="166" fontId="2" fillId="0" borderId="14" xfId="0" applyNumberFormat="1" applyFont="1" applyBorder="1" applyAlignment="1">
      <alignment horizontal="center" vertical="top" wrapText="1"/>
    </xf>
    <xf numFmtId="166" fontId="2" fillId="0" borderId="16" xfId="0" applyNumberFormat="1" applyFont="1" applyBorder="1" applyAlignment="1">
      <alignment horizontal="center" vertical="top" wrapText="1"/>
    </xf>
    <xf numFmtId="0" fontId="13" fillId="0" borderId="17" xfId="0" applyFont="1" applyBorder="1" applyAlignment="1">
      <alignment horizontal="center" vertical="top" wrapText="1"/>
    </xf>
    <xf numFmtId="0" fontId="2" fillId="2" borderId="10" xfId="0" applyFont="1" applyFill="1" applyBorder="1" applyAlignment="1">
      <alignment vertical="top"/>
    </xf>
    <xf numFmtId="0" fontId="2" fillId="2" borderId="13" xfId="0" applyFont="1" applyFill="1" applyBorder="1" applyAlignment="1">
      <alignment vertical="top"/>
    </xf>
    <xf numFmtId="0" fontId="2" fillId="2" borderId="15" xfId="0" applyFont="1" applyFill="1" applyBorder="1" applyAlignment="1">
      <alignment vertical="top"/>
    </xf>
    <xf numFmtId="0" fontId="3" fillId="0" borderId="17" xfId="0" applyFont="1" applyBorder="1" applyAlignment="1" applyProtection="1">
      <alignment horizontal="center" vertical="top"/>
      <protection locked="0"/>
    </xf>
    <xf numFmtId="0" fontId="2" fillId="0" borderId="24" xfId="0" applyFont="1" applyBorder="1" applyAlignment="1">
      <alignment vertical="top"/>
    </xf>
    <xf numFmtId="0" fontId="2" fillId="0" borderId="25" xfId="0" applyFont="1" applyBorder="1" applyAlignment="1">
      <alignment vertical="top"/>
    </xf>
    <xf numFmtId="0" fontId="2" fillId="0" borderId="25" xfId="0" applyFont="1" applyBorder="1" applyAlignment="1">
      <alignment horizontal="center" vertical="top"/>
    </xf>
    <xf numFmtId="0" fontId="2" fillId="0" borderId="26" xfId="0" applyFont="1" applyBorder="1" applyAlignment="1">
      <alignment horizontal="center" vertical="top"/>
    </xf>
    <xf numFmtId="0" fontId="2" fillId="2" borderId="13" xfId="0" applyFont="1" applyFill="1" applyBorder="1" applyAlignment="1">
      <alignment horizontal="center" vertical="top"/>
    </xf>
    <xf numFmtId="0" fontId="2" fillId="2" borderId="14" xfId="0" applyFont="1" applyFill="1" applyBorder="1" applyAlignment="1">
      <alignment horizontal="center" vertical="top"/>
    </xf>
    <xf numFmtId="165" fontId="2" fillId="0" borderId="13" xfId="0" applyNumberFormat="1" applyFont="1" applyBorder="1" applyAlignment="1">
      <alignment horizontal="center" vertical="top"/>
    </xf>
    <xf numFmtId="165" fontId="2" fillId="0" borderId="14" xfId="0" applyNumberFormat="1" applyFont="1" applyBorder="1" applyAlignment="1">
      <alignment horizontal="center" vertical="top"/>
    </xf>
    <xf numFmtId="165" fontId="2" fillId="0" borderId="15" xfId="0" applyNumberFormat="1" applyFont="1" applyBorder="1" applyAlignment="1">
      <alignment horizontal="center" vertical="top"/>
    </xf>
    <xf numFmtId="165" fontId="2" fillId="0" borderId="17" xfId="0" applyNumberFormat="1" applyFont="1" applyBorder="1" applyAlignment="1">
      <alignment horizontal="center" vertical="top"/>
    </xf>
    <xf numFmtId="165" fontId="2" fillId="0" borderId="27" xfId="0" applyNumberFormat="1" applyFont="1" applyBorder="1" applyAlignment="1">
      <alignment horizontal="center" vertical="top"/>
    </xf>
    <xf numFmtId="165" fontId="2" fillId="0" borderId="28" xfId="0" applyNumberFormat="1" applyFont="1" applyBorder="1" applyAlignment="1">
      <alignment horizontal="center" vertical="top"/>
    </xf>
    <xf numFmtId="0" fontId="1" fillId="2" borderId="29" xfId="0" applyFont="1" applyFill="1" applyBorder="1" applyAlignment="1">
      <alignment vertical="top"/>
    </xf>
    <xf numFmtId="0" fontId="20" fillId="0" borderId="30" xfId="0" applyFont="1" applyBorder="1" applyAlignment="1">
      <alignment vertical="top"/>
    </xf>
    <xf numFmtId="0" fontId="20" fillId="0" borderId="31" xfId="0" applyFont="1" applyBorder="1" applyAlignment="1">
      <alignment vertical="top"/>
    </xf>
    <xf numFmtId="0" fontId="1" fillId="2" borderId="14" xfId="0" applyFont="1" applyFill="1" applyBorder="1" applyAlignment="1">
      <alignment horizontal="center" vertical="top" wrapText="1"/>
    </xf>
    <xf numFmtId="0" fontId="2" fillId="2" borderId="32" xfId="0" applyFont="1" applyFill="1" applyBorder="1" applyAlignment="1">
      <alignment vertical="top"/>
    </xf>
    <xf numFmtId="0" fontId="2" fillId="0" borderId="33" xfId="0" applyFont="1" applyBorder="1" applyAlignment="1">
      <alignment vertical="top"/>
    </xf>
    <xf numFmtId="0" fontId="2" fillId="0" borderId="34" xfId="0" applyFont="1" applyBorder="1" applyAlignment="1">
      <alignment vertical="top"/>
    </xf>
    <xf numFmtId="165" fontId="3" fillId="0" borderId="9" xfId="0" applyNumberFormat="1" applyFont="1" applyBorder="1" applyAlignment="1" applyProtection="1">
      <alignment horizontal="center" vertical="top"/>
      <protection locked="0"/>
    </xf>
    <xf numFmtId="168" fontId="3" fillId="0" borderId="9" xfId="0" applyNumberFormat="1" applyFont="1" applyBorder="1" applyAlignment="1" applyProtection="1">
      <alignment horizontal="center" vertical="top"/>
      <protection locked="0"/>
    </xf>
    <xf numFmtId="169" fontId="12" fillId="0" borderId="9" xfId="0" applyNumberFormat="1" applyFont="1" applyBorder="1" applyAlignment="1">
      <alignment horizontal="center" vertical="top"/>
    </xf>
    <xf numFmtId="170" fontId="12" fillId="0" borderId="9" xfId="0" applyNumberFormat="1" applyFont="1" applyBorder="1" applyAlignment="1">
      <alignment horizontal="center" vertical="top"/>
    </xf>
    <xf numFmtId="0" fontId="15" fillId="0" borderId="9" xfId="0" applyFont="1" applyBorder="1" applyAlignment="1">
      <alignment horizontal="center" vertical="top" wrapText="1"/>
    </xf>
    <xf numFmtId="0" fontId="2" fillId="0" borderId="9" xfId="8" applyNumberFormat="1" applyFont="1" applyBorder="1" applyAlignment="1" applyProtection="1">
      <alignment horizontal="left" vertical="top"/>
    </xf>
    <xf numFmtId="170" fontId="2" fillId="0" borderId="9" xfId="0" applyNumberFormat="1" applyFont="1" applyBorder="1" applyAlignment="1">
      <alignment horizontal="center" vertical="top"/>
    </xf>
    <xf numFmtId="169" fontId="2" fillId="0" borderId="9" xfId="0" applyNumberFormat="1" applyFont="1" applyBorder="1" applyAlignment="1">
      <alignment horizontal="center" vertical="top"/>
    </xf>
    <xf numFmtId="167" fontId="2" fillId="0" borderId="9" xfId="0" applyNumberFormat="1" applyFont="1" applyBorder="1" applyAlignment="1">
      <alignment horizontal="center" vertical="top"/>
    </xf>
    <xf numFmtId="0" fontId="2" fillId="0" borderId="9" xfId="0" applyFont="1" applyBorder="1" applyAlignment="1">
      <alignment horizontal="center" vertical="top" wrapText="1"/>
    </xf>
    <xf numFmtId="9" fontId="2" fillId="0" borderId="9" xfId="9" applyFont="1" applyBorder="1" applyAlignment="1" applyProtection="1">
      <alignment horizontal="center" vertical="top"/>
    </xf>
    <xf numFmtId="165" fontId="2" fillId="0" borderId="9" xfId="0" applyNumberFormat="1" applyFont="1" applyBorder="1" applyAlignment="1">
      <alignment horizontal="left" vertical="top"/>
    </xf>
    <xf numFmtId="170" fontId="3" fillId="0" borderId="9" xfId="0" applyNumberFormat="1" applyFont="1" applyBorder="1" applyAlignment="1" applyProtection="1">
      <alignment horizontal="center" vertical="top"/>
      <protection locked="0"/>
    </xf>
    <xf numFmtId="0" fontId="2" fillId="0" borderId="10" xfId="0" applyFont="1" applyBorder="1" applyAlignment="1">
      <alignment horizontal="right" vertical="top" wrapText="1"/>
    </xf>
    <xf numFmtId="0" fontId="2" fillId="0" borderId="11" xfId="0" applyFont="1" applyBorder="1" applyAlignment="1">
      <alignment horizontal="center" vertical="top"/>
    </xf>
    <xf numFmtId="165" fontId="3" fillId="0" borderId="11" xfId="0" applyNumberFormat="1" applyFont="1" applyBorder="1" applyAlignment="1" applyProtection="1">
      <alignment horizontal="center" vertical="top"/>
      <protection locked="0"/>
    </xf>
    <xf numFmtId="0" fontId="2" fillId="0" borderId="12" xfId="0" applyFont="1" applyBorder="1" applyAlignment="1">
      <alignment horizontal="center" vertical="top"/>
    </xf>
    <xf numFmtId="0" fontId="2" fillId="0" borderId="13" xfId="0" applyFont="1" applyBorder="1" applyAlignment="1">
      <alignment horizontal="right" vertical="top" wrapText="1"/>
    </xf>
    <xf numFmtId="170" fontId="12" fillId="0" borderId="14" xfId="0" applyNumberFormat="1" applyFont="1" applyBorder="1" applyAlignment="1">
      <alignment horizontal="center" vertical="top"/>
    </xf>
    <xf numFmtId="0" fontId="15" fillId="0" borderId="14" xfId="0" applyFont="1" applyBorder="1" applyAlignment="1">
      <alignment horizontal="center" vertical="top" wrapText="1"/>
    </xf>
    <xf numFmtId="0" fontId="12" fillId="0" borderId="14" xfId="0" applyFont="1" applyBorder="1" applyAlignment="1">
      <alignment horizontal="center" vertical="top"/>
    </xf>
    <xf numFmtId="0" fontId="2" fillId="0" borderId="15" xfId="0" applyFont="1" applyBorder="1" applyAlignment="1">
      <alignment horizontal="right" vertical="top" wrapText="1"/>
    </xf>
    <xf numFmtId="0" fontId="3" fillId="0" borderId="16" xfId="0" applyFont="1" applyBorder="1" applyAlignment="1" applyProtection="1">
      <alignment horizontal="center" vertical="top"/>
      <protection locked="0"/>
    </xf>
    <xf numFmtId="0" fontId="2" fillId="0" borderId="17" xfId="0" applyFont="1" applyBorder="1" applyAlignment="1">
      <alignment horizontal="center" vertical="top"/>
    </xf>
    <xf numFmtId="0" fontId="2" fillId="2" borderId="10" xfId="0" applyFont="1" applyFill="1" applyBorder="1" applyAlignment="1">
      <alignment horizontal="center" vertical="top"/>
    </xf>
    <xf numFmtId="0" fontId="2" fillId="2" borderId="12" xfId="0" applyFont="1" applyFill="1" applyBorder="1" applyAlignment="1">
      <alignment horizontal="center" vertical="top"/>
    </xf>
    <xf numFmtId="2" fontId="2" fillId="0" borderId="13" xfId="0" applyNumberFormat="1" applyFont="1" applyBorder="1" applyAlignment="1">
      <alignment horizontal="center" vertical="top"/>
    </xf>
    <xf numFmtId="0" fontId="2" fillId="0" borderId="10" xfId="0" applyFont="1" applyBorder="1" applyAlignment="1">
      <alignment horizontal="right" vertical="top"/>
    </xf>
    <xf numFmtId="165" fontId="2" fillId="0" borderId="11" xfId="0" applyNumberFormat="1" applyFont="1" applyBorder="1" applyAlignment="1">
      <alignment horizontal="center" vertical="top"/>
    </xf>
    <xf numFmtId="0" fontId="12" fillId="0" borderId="13" xfId="0" applyFont="1" applyBorder="1" applyAlignment="1">
      <alignment horizontal="right" vertical="top"/>
    </xf>
    <xf numFmtId="0" fontId="2" fillId="0" borderId="13" xfId="0" applyFont="1" applyBorder="1" applyAlignment="1">
      <alignment horizontal="right" vertical="top"/>
    </xf>
    <xf numFmtId="170" fontId="2" fillId="0" borderId="14" xfId="0" applyNumberFormat="1" applyFont="1" applyBorder="1" applyAlignment="1">
      <alignment horizontal="center" vertical="top"/>
    </xf>
    <xf numFmtId="0" fontId="2" fillId="0" borderId="15" xfId="0" applyFont="1" applyBorder="1" applyAlignment="1">
      <alignment horizontal="right" vertical="top"/>
    </xf>
    <xf numFmtId="0" fontId="2" fillId="0" borderId="16" xfId="0" applyFont="1" applyBorder="1" applyAlignment="1">
      <alignment horizontal="left" vertical="top"/>
    </xf>
    <xf numFmtId="0" fontId="2" fillId="0" borderId="10" xfId="0" applyFont="1" applyBorder="1" applyAlignment="1">
      <alignment vertical="top"/>
    </xf>
    <xf numFmtId="0" fontId="2" fillId="0" borderId="13" xfId="0" applyFont="1" applyBorder="1" applyAlignment="1">
      <alignment vertical="top"/>
    </xf>
    <xf numFmtId="0" fontId="2" fillId="0" borderId="14" xfId="0" applyFont="1" applyBorder="1" applyAlignment="1">
      <alignment horizontal="left" vertical="top"/>
    </xf>
    <xf numFmtId="0" fontId="2" fillId="0" borderId="14" xfId="0" applyFont="1" applyBorder="1" applyAlignment="1">
      <alignment horizontal="center" vertical="top" wrapText="1"/>
    </xf>
    <xf numFmtId="170" fontId="3" fillId="0" borderId="14" xfId="0" applyNumberFormat="1" applyFont="1" applyBorder="1" applyAlignment="1" applyProtection="1">
      <alignment horizontal="center" vertical="top"/>
      <protection locked="0"/>
    </xf>
    <xf numFmtId="0" fontId="12" fillId="0" borderId="14" xfId="0" applyFont="1" applyBorder="1" applyAlignment="1">
      <alignment horizontal="center" vertical="top" wrapText="1"/>
    </xf>
    <xf numFmtId="10" fontId="12" fillId="0" borderId="16" xfId="9" applyNumberFormat="1" applyFont="1" applyBorder="1" applyAlignment="1" applyProtection="1">
      <alignment horizontal="center" vertical="top" wrapText="1"/>
    </xf>
    <xf numFmtId="10" fontId="12" fillId="0" borderId="17" xfId="9" applyNumberFormat="1" applyFont="1" applyBorder="1" applyAlignment="1" applyProtection="1">
      <alignment horizontal="center" vertical="top" wrapText="1"/>
    </xf>
    <xf numFmtId="0" fontId="2" fillId="0" borderId="15" xfId="0" applyFont="1" applyBorder="1" applyAlignment="1">
      <alignment horizontal="center" vertical="top"/>
    </xf>
    <xf numFmtId="0" fontId="2" fillId="2" borderId="10" xfId="0" applyFont="1" applyFill="1" applyBorder="1" applyAlignment="1">
      <alignment horizontal="center" vertical="top" wrapText="1"/>
    </xf>
    <xf numFmtId="2" fontId="2" fillId="0" borderId="27" xfId="0" applyNumberFormat="1" applyFont="1" applyBorder="1" applyAlignment="1">
      <alignment horizontal="center" vertical="top"/>
    </xf>
    <xf numFmtId="2" fontId="2" fillId="0" borderId="28" xfId="0" applyNumberFormat="1" applyFont="1" applyBorder="1" applyAlignment="1">
      <alignment horizontal="center" vertical="top"/>
    </xf>
    <xf numFmtId="0" fontId="2" fillId="2" borderId="12" xfId="0" applyFont="1" applyFill="1" applyBorder="1" applyAlignment="1">
      <alignment vertical="top"/>
    </xf>
    <xf numFmtId="0" fontId="3" fillId="0" borderId="0" xfId="2" applyFont="1" applyFill="1" applyAlignment="1">
      <alignment vertical="top"/>
    </xf>
    <xf numFmtId="0" fontId="3" fillId="0" borderId="0" xfId="3" applyFont="1" applyAlignment="1">
      <alignment vertical="top" wrapText="1"/>
    </xf>
    <xf numFmtId="0" fontId="3" fillId="0" borderId="0" xfId="4" applyFont="1" applyAlignment="1">
      <alignment vertical="top"/>
    </xf>
    <xf numFmtId="0" fontId="12" fillId="0" borderId="0" xfId="3" applyFont="1" applyAlignment="1">
      <alignment vertical="top" wrapText="1"/>
    </xf>
    <xf numFmtId="0" fontId="12" fillId="0" borderId="0" xfId="0" applyFont="1" applyAlignment="1">
      <alignment vertical="top"/>
    </xf>
    <xf numFmtId="0" fontId="12" fillId="0" borderId="0" xfId="0" applyFont="1" applyAlignment="1">
      <alignment horizontal="left" vertical="top"/>
    </xf>
    <xf numFmtId="0" fontId="2" fillId="0" borderId="0" xfId="4" applyFont="1" applyAlignment="1">
      <alignment horizontal="center" vertical="top"/>
    </xf>
    <xf numFmtId="169" fontId="17" fillId="0" borderId="0" xfId="4" applyNumberFormat="1" applyFont="1" applyAlignment="1">
      <alignment horizontal="center" vertical="top"/>
    </xf>
    <xf numFmtId="170" fontId="2" fillId="0" borderId="0" xfId="4" applyNumberFormat="1" applyFont="1" applyAlignment="1">
      <alignment vertical="top"/>
    </xf>
    <xf numFmtId="2" fontId="17" fillId="0" borderId="0" xfId="4" applyNumberFormat="1" applyFont="1" applyAlignment="1">
      <alignment horizontal="center" vertical="top"/>
    </xf>
    <xf numFmtId="0" fontId="2" fillId="2" borderId="42" xfId="0" applyFont="1" applyFill="1" applyBorder="1" applyAlignment="1">
      <alignment horizontal="center" vertical="top"/>
    </xf>
    <xf numFmtId="165" fontId="2" fillId="0" borderId="42" xfId="0" applyNumberFormat="1" applyFont="1" applyBorder="1" applyAlignment="1">
      <alignment horizontal="center" vertical="top"/>
    </xf>
    <xf numFmtId="165" fontId="2" fillId="0" borderId="43" xfId="0" applyNumberFormat="1" applyFont="1" applyBorder="1" applyAlignment="1">
      <alignment horizontal="center" vertical="top"/>
    </xf>
    <xf numFmtId="0" fontId="2" fillId="2" borderId="45" xfId="0" applyFont="1" applyFill="1" applyBorder="1" applyAlignment="1">
      <alignment horizontal="center" vertical="top"/>
    </xf>
    <xf numFmtId="171" fontId="2" fillId="0" borderId="45" xfId="0" applyNumberFormat="1" applyFont="1" applyBorder="1" applyAlignment="1">
      <alignment horizontal="center" vertical="top"/>
    </xf>
    <xf numFmtId="171" fontId="2" fillId="0" borderId="46" xfId="0" applyNumberFormat="1" applyFont="1" applyBorder="1" applyAlignment="1">
      <alignment horizontal="center" vertical="top"/>
    </xf>
    <xf numFmtId="0" fontId="2" fillId="2" borderId="48" xfId="0" applyFont="1" applyFill="1" applyBorder="1" applyAlignment="1">
      <alignment horizontal="center" vertical="top"/>
    </xf>
    <xf numFmtId="171" fontId="2" fillId="0" borderId="48" xfId="0" applyNumberFormat="1" applyFont="1" applyBorder="1" applyAlignment="1">
      <alignment horizontal="center" vertical="top"/>
    </xf>
    <xf numFmtId="171" fontId="2" fillId="0" borderId="49" xfId="0" applyNumberFormat="1" applyFont="1" applyBorder="1" applyAlignment="1">
      <alignment horizontal="center" vertical="top"/>
    </xf>
    <xf numFmtId="0" fontId="1" fillId="2" borderId="41" xfId="0" applyFont="1" applyFill="1" applyBorder="1" applyAlignment="1">
      <alignment horizontal="center" vertical="top"/>
    </xf>
    <xf numFmtId="0" fontId="2" fillId="2" borderId="47" xfId="0" applyFont="1" applyFill="1" applyBorder="1" applyAlignment="1">
      <alignment horizontal="center" vertical="top"/>
    </xf>
    <xf numFmtId="0" fontId="1" fillId="2" borderId="44" xfId="0" applyFont="1" applyFill="1" applyBorder="1" applyAlignment="1">
      <alignment horizontal="center" vertical="top"/>
    </xf>
    <xf numFmtId="166" fontId="2" fillId="0" borderId="15" xfId="0" applyNumberFormat="1" applyFont="1" applyBorder="1" applyAlignment="1">
      <alignment horizontal="center" vertical="center" wrapText="1"/>
    </xf>
    <xf numFmtId="167" fontId="2" fillId="0" borderId="16" xfId="0" applyNumberFormat="1" applyFont="1" applyBorder="1" applyAlignment="1">
      <alignment horizontal="center" vertical="center" wrapText="1"/>
    </xf>
    <xf numFmtId="0" fontId="1" fillId="0" borderId="0" xfId="0" applyFont="1" applyAlignment="1">
      <alignment horizontal="left" vertical="top" wrapText="1"/>
    </xf>
    <xf numFmtId="0" fontId="2" fillId="0" borderId="0" xfId="0" applyFont="1" applyAlignment="1">
      <alignment horizontal="left" vertical="top" wrapText="1"/>
    </xf>
    <xf numFmtId="0" fontId="2" fillId="2" borderId="18" xfId="0" applyFont="1" applyFill="1" applyBorder="1" applyAlignment="1">
      <alignment horizontal="center" vertical="top"/>
    </xf>
    <xf numFmtId="0" fontId="2" fillId="2" borderId="19" xfId="0" applyFont="1" applyFill="1" applyBorder="1" applyAlignment="1">
      <alignment horizontal="center" vertical="top"/>
    </xf>
    <xf numFmtId="0" fontId="3" fillId="0" borderId="19" xfId="0" applyFont="1" applyBorder="1" applyAlignment="1" applyProtection="1">
      <alignment horizontal="left" vertical="top" wrapText="1"/>
      <protection locked="0"/>
    </xf>
    <xf numFmtId="0" fontId="3" fillId="0" borderId="20" xfId="0" applyFont="1" applyBorder="1" applyAlignment="1" applyProtection="1">
      <alignment horizontal="left" vertical="top" wrapText="1"/>
      <protection locked="0"/>
    </xf>
    <xf numFmtId="0" fontId="2" fillId="2" borderId="11" xfId="0" applyFont="1" applyFill="1" applyBorder="1" applyAlignment="1">
      <alignment horizontal="center" vertical="top" wrapText="1"/>
    </xf>
    <xf numFmtId="0" fontId="2" fillId="3" borderId="10" xfId="0" applyFont="1" applyFill="1" applyBorder="1" applyAlignment="1">
      <alignment horizontal="center" vertical="top" textRotation="90"/>
    </xf>
    <xf numFmtId="0" fontId="2" fillId="3" borderId="13" xfId="0" applyFont="1" applyFill="1" applyBorder="1" applyAlignment="1">
      <alignment horizontal="center" vertical="top" textRotation="90"/>
    </xf>
    <xf numFmtId="0" fontId="2" fillId="3" borderId="15" xfId="0" applyFont="1" applyFill="1" applyBorder="1" applyAlignment="1">
      <alignment horizontal="center" vertical="top" textRotation="90"/>
    </xf>
    <xf numFmtId="0" fontId="2" fillId="2" borderId="9" xfId="0" applyFont="1" applyFill="1" applyBorder="1" applyAlignment="1">
      <alignment horizontal="center" vertical="top"/>
    </xf>
    <xf numFmtId="0" fontId="2" fillId="2" borderId="14" xfId="0" applyFont="1" applyFill="1" applyBorder="1" applyAlignment="1">
      <alignment horizontal="center" vertical="top"/>
    </xf>
    <xf numFmtId="0" fontId="2" fillId="0" borderId="9" xfId="0" applyFont="1" applyBorder="1" applyAlignment="1">
      <alignment horizontal="center" vertical="top"/>
    </xf>
    <xf numFmtId="0" fontId="2" fillId="0" borderId="14" xfId="0" applyFont="1" applyBorder="1" applyAlignment="1">
      <alignment horizontal="center" vertical="top"/>
    </xf>
    <xf numFmtId="0" fontId="2" fillId="0" borderId="16" xfId="0" applyFont="1" applyBorder="1" applyAlignment="1">
      <alignment horizontal="center" vertical="top"/>
    </xf>
    <xf numFmtId="0" fontId="2" fillId="0" borderId="17" xfId="0" applyFont="1" applyBorder="1" applyAlignment="1">
      <alignment horizontal="center" vertical="top"/>
    </xf>
    <xf numFmtId="0" fontId="2" fillId="0" borderId="16" xfId="0" applyFont="1" applyBorder="1" applyAlignment="1">
      <alignment horizontal="center" vertical="top" wrapText="1"/>
    </xf>
    <xf numFmtId="0" fontId="2" fillId="0" borderId="17" xfId="0" applyFont="1" applyBorder="1" applyAlignment="1">
      <alignment horizontal="center" vertical="top" wrapText="1"/>
    </xf>
    <xf numFmtId="0" fontId="1" fillId="3" borderId="10" xfId="0" applyFont="1" applyFill="1" applyBorder="1" applyAlignment="1">
      <alignment horizontal="center" vertical="top" textRotation="90"/>
    </xf>
    <xf numFmtId="0" fontId="3" fillId="0" borderId="9" xfId="0" applyFont="1" applyBorder="1" applyAlignment="1" applyProtection="1">
      <alignment horizontal="left" vertical="top" wrapText="1"/>
      <protection locked="0"/>
    </xf>
    <xf numFmtId="0" fontId="3" fillId="0" borderId="14" xfId="0" applyFont="1" applyBorder="1" applyAlignment="1" applyProtection="1">
      <alignment horizontal="left" vertical="top" wrapText="1"/>
      <protection locked="0"/>
    </xf>
    <xf numFmtId="0" fontId="3" fillId="0" borderId="16" xfId="0" applyFont="1" applyBorder="1" applyAlignment="1" applyProtection="1">
      <alignment horizontal="left" vertical="top" wrapText="1"/>
      <protection locked="0"/>
    </xf>
    <xf numFmtId="0" fontId="3" fillId="0" borderId="17" xfId="0" applyFont="1" applyBorder="1" applyAlignment="1" applyProtection="1">
      <alignment horizontal="left" vertical="top" wrapText="1"/>
      <protection locked="0"/>
    </xf>
    <xf numFmtId="0" fontId="2" fillId="2" borderId="11" xfId="0" applyFont="1" applyFill="1" applyBorder="1" applyAlignment="1">
      <alignment horizontal="left" vertical="top"/>
    </xf>
    <xf numFmtId="0" fontId="2" fillId="2" borderId="12" xfId="0" applyFont="1" applyFill="1" applyBorder="1" applyAlignment="1">
      <alignment horizontal="left" vertical="top"/>
    </xf>
    <xf numFmtId="0" fontId="2" fillId="2" borderId="9" xfId="0" applyFont="1" applyFill="1" applyBorder="1" applyAlignment="1">
      <alignment horizontal="left" vertical="top"/>
    </xf>
    <xf numFmtId="0" fontId="2" fillId="2" borderId="14" xfId="0" applyFont="1" applyFill="1" applyBorder="1" applyAlignment="1">
      <alignment horizontal="left" vertical="top"/>
    </xf>
    <xf numFmtId="0" fontId="2" fillId="2" borderId="22" xfId="0" applyFont="1" applyFill="1" applyBorder="1" applyAlignment="1">
      <alignment horizontal="left" vertical="top"/>
    </xf>
    <xf numFmtId="0" fontId="2" fillId="2" borderId="23" xfId="0" applyFont="1" applyFill="1" applyBorder="1" applyAlignment="1">
      <alignment horizontal="left" vertical="top"/>
    </xf>
    <xf numFmtId="0" fontId="2" fillId="3" borderId="21" xfId="0" applyFont="1" applyFill="1" applyBorder="1" applyAlignment="1">
      <alignment horizontal="center" vertical="top" textRotation="90"/>
    </xf>
    <xf numFmtId="0" fontId="1" fillId="0" borderId="1" xfId="0" applyFont="1" applyBorder="1" applyAlignment="1">
      <alignment horizontal="left" vertical="top" wrapText="1"/>
    </xf>
    <xf numFmtId="0" fontId="2" fillId="2" borderId="10" xfId="0" applyFont="1" applyFill="1" applyBorder="1" applyAlignment="1">
      <alignment horizontal="center" vertical="top"/>
    </xf>
    <xf numFmtId="0" fontId="2" fillId="2" borderId="12" xfId="0" applyFont="1" applyFill="1" applyBorder="1" applyAlignment="1">
      <alignment horizontal="center" vertical="top"/>
    </xf>
    <xf numFmtId="0" fontId="2" fillId="2" borderId="21" xfId="0" applyFont="1" applyFill="1" applyBorder="1" applyAlignment="1">
      <alignment horizontal="center" vertical="top"/>
    </xf>
    <xf numFmtId="0" fontId="2" fillId="2" borderId="23" xfId="0" applyFont="1" applyFill="1" applyBorder="1" applyAlignment="1">
      <alignment horizontal="center" vertical="top"/>
    </xf>
    <xf numFmtId="0" fontId="20" fillId="0" borderId="0" xfId="4" applyFont="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0" fontId="2" fillId="0" borderId="12" xfId="0" applyFont="1" applyBorder="1" applyAlignment="1">
      <alignment horizontal="left" vertical="top" wrapText="1"/>
    </xf>
    <xf numFmtId="0" fontId="2" fillId="0" borderId="13" xfId="0" applyFont="1" applyBorder="1" applyAlignment="1">
      <alignment horizontal="left" vertical="top" wrapText="1"/>
    </xf>
    <xf numFmtId="0" fontId="2" fillId="0" borderId="9" xfId="0" applyFont="1" applyBorder="1" applyAlignment="1">
      <alignment horizontal="left" vertical="top" wrapText="1"/>
    </xf>
    <xf numFmtId="0" fontId="2" fillId="0" borderId="14" xfId="0" applyFont="1" applyBorder="1" applyAlignment="1">
      <alignment horizontal="left" vertical="top" wrapText="1"/>
    </xf>
    <xf numFmtId="0" fontId="2" fillId="0" borderId="15" xfId="0" applyFont="1" applyBorder="1" applyAlignment="1">
      <alignment horizontal="left" vertical="top" wrapText="1"/>
    </xf>
    <xf numFmtId="0" fontId="2" fillId="0" borderId="16" xfId="0" applyFont="1" applyBorder="1" applyAlignment="1">
      <alignment horizontal="left" vertical="top" wrapText="1"/>
    </xf>
    <xf numFmtId="0" fontId="2" fillId="0" borderId="17" xfId="0" applyFont="1" applyBorder="1" applyAlignment="1">
      <alignment horizontal="left" vertical="top" wrapText="1"/>
    </xf>
    <xf numFmtId="0" fontId="2" fillId="0" borderId="0" xfId="0" applyFont="1" applyAlignment="1">
      <alignment horizontal="center" vertical="top" wrapText="1"/>
    </xf>
    <xf numFmtId="0" fontId="2" fillId="0" borderId="0" xfId="0" applyFont="1" applyAlignment="1">
      <alignment horizontal="right" vertical="top" wrapText="1"/>
    </xf>
    <xf numFmtId="0" fontId="2" fillId="0" borderId="13" xfId="0" applyFont="1" applyBorder="1" applyAlignment="1">
      <alignment horizontal="right" vertical="top" wrapText="1"/>
    </xf>
    <xf numFmtId="0" fontId="2" fillId="0" borderId="13" xfId="0" applyFont="1" applyBorder="1" applyAlignment="1">
      <alignment horizontal="center" vertical="top"/>
    </xf>
    <xf numFmtId="0" fontId="2" fillId="0" borderId="35" xfId="0" applyFont="1" applyBorder="1" applyAlignment="1">
      <alignment horizontal="center" vertical="top"/>
    </xf>
    <xf numFmtId="0" fontId="2" fillId="0" borderId="36" xfId="0" applyFont="1" applyBorder="1" applyAlignment="1">
      <alignment horizontal="center" vertical="top"/>
    </xf>
    <xf numFmtId="0" fontId="2" fillId="0" borderId="37" xfId="0" applyFont="1" applyBorder="1" applyAlignment="1">
      <alignment horizontal="center" vertical="top"/>
    </xf>
    <xf numFmtId="0" fontId="2" fillId="0" borderId="6" xfId="0" applyFont="1" applyBorder="1" applyAlignment="1">
      <alignment horizontal="center" vertical="top"/>
    </xf>
    <xf numFmtId="0" fontId="2" fillId="0" borderId="0" xfId="0" applyFont="1" applyAlignment="1">
      <alignment horizontal="center" vertical="top"/>
    </xf>
    <xf numFmtId="0" fontId="2" fillId="0" borderId="2" xfId="0" applyFont="1" applyBorder="1" applyAlignment="1">
      <alignment horizontal="center" vertical="top"/>
    </xf>
    <xf numFmtId="0" fontId="2" fillId="0" borderId="38" xfId="0" applyFont="1" applyBorder="1" applyAlignment="1">
      <alignment horizontal="center" vertical="top"/>
    </xf>
    <xf numFmtId="0" fontId="2" fillId="0" borderId="39" xfId="0" applyFont="1" applyBorder="1" applyAlignment="1">
      <alignment horizontal="center" vertical="top"/>
    </xf>
    <xf numFmtId="0" fontId="2" fillId="0" borderId="40" xfId="0" applyFont="1" applyBorder="1" applyAlignment="1">
      <alignment horizontal="center" vertical="top"/>
    </xf>
    <xf numFmtId="0" fontId="7" fillId="0" borderId="12" xfId="0" applyFont="1" applyBorder="1" applyAlignment="1">
      <alignment horizontal="center" vertical="top" wrapText="1"/>
    </xf>
    <xf numFmtId="0" fontId="7" fillId="0" borderId="14" xfId="0" applyFont="1" applyBorder="1" applyAlignment="1">
      <alignment horizontal="center" vertical="top" wrapText="1"/>
    </xf>
    <xf numFmtId="0" fontId="18" fillId="0" borderId="9" xfId="0" applyFont="1" applyBorder="1" applyAlignment="1">
      <alignment horizontal="center" vertical="top" wrapText="1"/>
    </xf>
    <xf numFmtId="165" fontId="3" fillId="0" borderId="9" xfId="0" applyNumberFormat="1" applyFont="1" applyBorder="1" applyAlignment="1" applyProtection="1">
      <alignment horizontal="center" vertical="top"/>
      <protection locked="0"/>
    </xf>
    <xf numFmtId="165" fontId="3" fillId="0" borderId="14" xfId="0" applyNumberFormat="1" applyFont="1" applyBorder="1" applyAlignment="1" applyProtection="1">
      <alignment horizontal="center" vertical="top"/>
      <protection locked="0"/>
    </xf>
    <xf numFmtId="0" fontId="2" fillId="0" borderId="10" xfId="0" applyFont="1" applyBorder="1" applyAlignment="1">
      <alignment horizontal="center" vertical="top"/>
    </xf>
    <xf numFmtId="0" fontId="2" fillId="0" borderId="11" xfId="0" applyFont="1" applyBorder="1" applyAlignment="1">
      <alignment horizontal="center" vertical="top"/>
    </xf>
    <xf numFmtId="0" fontId="2" fillId="0" borderId="12" xfId="0" applyFont="1" applyBorder="1" applyAlignment="1">
      <alignment horizontal="center" vertical="top"/>
    </xf>
    <xf numFmtId="0" fontId="17" fillId="0" borderId="13" xfId="0" applyFont="1" applyBorder="1" applyAlignment="1">
      <alignment horizontal="center" vertical="top" wrapText="1"/>
    </xf>
    <xf numFmtId="0" fontId="17" fillId="0" borderId="9" xfId="0" applyFont="1" applyBorder="1" applyAlignment="1">
      <alignment horizontal="center" vertical="top" wrapText="1"/>
    </xf>
    <xf numFmtId="0" fontId="17" fillId="0" borderId="14" xfId="0" applyFont="1" applyBorder="1" applyAlignment="1">
      <alignment horizontal="center" vertical="top" wrapText="1"/>
    </xf>
    <xf numFmtId="0" fontId="2" fillId="2" borderId="13" xfId="0" applyFont="1" applyFill="1" applyBorder="1" applyAlignment="1">
      <alignment horizontal="center" vertical="top" wrapText="1"/>
    </xf>
    <xf numFmtId="0" fontId="2" fillId="2" borderId="9" xfId="0" applyFont="1" applyFill="1" applyBorder="1" applyAlignment="1">
      <alignment horizontal="center" vertical="top" wrapText="1"/>
    </xf>
    <xf numFmtId="0" fontId="2" fillId="2" borderId="14" xfId="0" applyFont="1" applyFill="1" applyBorder="1" applyAlignment="1">
      <alignment horizontal="center" vertical="top" wrapText="1"/>
    </xf>
    <xf numFmtId="0" fontId="2" fillId="0" borderId="13" xfId="0" applyFont="1" applyBorder="1" applyAlignment="1">
      <alignment horizontal="right" vertical="top"/>
    </xf>
    <xf numFmtId="0" fontId="12" fillId="0" borderId="9" xfId="0" applyFont="1" applyBorder="1" applyAlignment="1">
      <alignment horizontal="center" vertical="top" wrapText="1"/>
    </xf>
    <xf numFmtId="0" fontId="2" fillId="0" borderId="15" xfId="0" applyFont="1" applyBorder="1" applyAlignment="1">
      <alignment horizontal="right" vertical="top"/>
    </xf>
    <xf numFmtId="0" fontId="2" fillId="0" borderId="13" xfId="0" applyFont="1" applyBorder="1" applyAlignment="1">
      <alignment horizontal="center" vertical="top" wrapText="1"/>
    </xf>
    <xf numFmtId="0" fontId="2" fillId="0" borderId="9" xfId="0" applyFont="1" applyBorder="1" applyAlignment="1">
      <alignment horizontal="center" vertical="top" wrapText="1"/>
    </xf>
    <xf numFmtId="0" fontId="2" fillId="0" borderId="14" xfId="0" applyFont="1" applyBorder="1" applyAlignment="1">
      <alignment horizontal="center" vertical="top" wrapText="1"/>
    </xf>
    <xf numFmtId="0" fontId="21" fillId="0" borderId="0" xfId="0" applyFont="1" applyAlignment="1">
      <alignment horizontal="center" vertical="top" wrapText="1"/>
    </xf>
    <xf numFmtId="0" fontId="1" fillId="0" borderId="0" xfId="4" applyFont="1" applyAlignment="1">
      <alignment vertical="top"/>
    </xf>
    <xf numFmtId="0" fontId="2" fillId="0" borderId="6" xfId="4" applyFont="1" applyBorder="1" applyAlignment="1">
      <alignment horizontal="center" vertical="top"/>
    </xf>
    <xf numFmtId="0" fontId="2" fillId="0" borderId="0" xfId="4" applyFont="1" applyBorder="1" applyAlignment="1">
      <alignment horizontal="center" vertical="top"/>
    </xf>
    <xf numFmtId="0" fontId="1" fillId="0" borderId="6" xfId="4" applyFont="1" applyBorder="1" applyAlignment="1">
      <alignment horizontal="center" vertical="top"/>
    </xf>
    <xf numFmtId="0" fontId="1" fillId="0" borderId="2" xfId="4" applyFont="1" applyBorder="1" applyAlignment="1">
      <alignment horizontal="center" vertical="top"/>
    </xf>
    <xf numFmtId="2" fontId="17" fillId="0" borderId="6" xfId="4" applyNumberFormat="1" applyFont="1" applyBorder="1" applyAlignment="1">
      <alignment horizontal="center" vertical="top"/>
    </xf>
    <xf numFmtId="2" fontId="17" fillId="0" borderId="2" xfId="4" applyNumberFormat="1" applyFont="1" applyBorder="1" applyAlignment="1">
      <alignment horizontal="center" vertical="top"/>
    </xf>
    <xf numFmtId="2" fontId="17" fillId="0" borderId="5" xfId="4" applyNumberFormat="1" applyFont="1" applyBorder="1" applyAlignment="1">
      <alignment horizontal="center" vertical="top"/>
    </xf>
    <xf numFmtId="2" fontId="17" fillId="0" borderId="3" xfId="4" applyNumberFormat="1" applyFont="1" applyBorder="1" applyAlignment="1">
      <alignment horizontal="center" vertical="top"/>
    </xf>
    <xf numFmtId="0" fontId="2" fillId="2" borderId="38" xfId="0" applyFont="1" applyFill="1" applyBorder="1" applyAlignment="1">
      <alignment horizontal="center" vertical="top"/>
    </xf>
    <xf numFmtId="0" fontId="2" fillId="2" borderId="40" xfId="0" applyFont="1" applyFill="1" applyBorder="1" applyAlignment="1">
      <alignment horizontal="center" vertical="top"/>
    </xf>
    <xf numFmtId="0" fontId="2" fillId="2" borderId="50" xfId="0" applyFont="1" applyFill="1" applyBorder="1" applyAlignment="1">
      <alignment horizontal="center" vertical="top"/>
    </xf>
    <xf numFmtId="0" fontId="2" fillId="2" borderId="51" xfId="0" applyFont="1" applyFill="1" applyBorder="1" applyAlignment="1">
      <alignment horizontal="center" vertical="top"/>
    </xf>
    <xf numFmtId="0" fontId="2" fillId="2" borderId="52" xfId="0" applyFont="1" applyFill="1" applyBorder="1" applyAlignment="1">
      <alignment horizontal="center" vertical="top"/>
    </xf>
    <xf numFmtId="0" fontId="1" fillId="2" borderId="50" xfId="0" applyFont="1" applyFill="1" applyBorder="1" applyAlignment="1">
      <alignment horizontal="center" vertical="top"/>
    </xf>
    <xf numFmtId="0" fontId="1" fillId="2" borderId="53" xfId="0" applyFont="1" applyFill="1" applyBorder="1" applyAlignment="1">
      <alignment horizontal="center" vertical="top"/>
    </xf>
    <xf numFmtId="0" fontId="1" fillId="2" borderId="54" xfId="0" applyFont="1" applyFill="1" applyBorder="1" applyAlignment="1">
      <alignment horizontal="center" vertical="top"/>
    </xf>
    <xf numFmtId="2" fontId="17" fillId="0" borderId="7" xfId="4" applyNumberFormat="1" applyFont="1" applyBorder="1" applyAlignment="1">
      <alignment horizontal="center" vertical="top"/>
    </xf>
    <xf numFmtId="2" fontId="17" fillId="0" borderId="8" xfId="4" applyNumberFormat="1" applyFont="1" applyBorder="1" applyAlignment="1">
      <alignment horizontal="center" vertical="top"/>
    </xf>
  </cellXfs>
  <cellStyles count="10">
    <cellStyle name="Hipervínculo" xfId="1" builtinId="8"/>
    <cellStyle name="Hipervínculo 2" xfId="2" xr:uid="{31AB4584-48B5-483C-8AA6-C2DF10B27C24}"/>
    <cellStyle name="Millares [0]" xfId="8" builtinId="6"/>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xfId="9" builtinId="5"/>
    <cellStyle name="Porcentaje 2" xfId="6" xr:uid="{B435D38D-5CDC-4506-B2D7-40C39AB15077}"/>
  </cellStyles>
  <dxfs count="1">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CaucePrincipal!$G$13:$G$16</c:f>
              <c:numCache>
                <c:formatCode>0.00</c:formatCode>
                <c:ptCount val="4"/>
                <c:pt idx="0">
                  <c:v>84.6</c:v>
                </c:pt>
                <c:pt idx="1">
                  <c:v>105.6</c:v>
                </c:pt>
                <c:pt idx="2">
                  <c:v>145.6</c:v>
                </c:pt>
                <c:pt idx="3">
                  <c:v>166.6</c:v>
                </c:pt>
              </c:numCache>
            </c:numRef>
          </c:xVal>
          <c:yVal>
            <c:numRef>
              <c:f>CaucePrincipal!$H$13:$H$16</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0AF8-4298-AC25-F09DDDE4DAC8}"/>
            </c:ext>
          </c:extLst>
        </c:ser>
        <c:ser>
          <c:idx val="1"/>
          <c:order val="1"/>
          <c:tx>
            <c:strRef>
              <c:f>CaucePrincipal!$E$4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CaucePrincipal!$G$5:$G$9</c:f>
              <c:numCache>
                <c:formatCode>General</c:formatCode>
                <c:ptCount val="5"/>
                <c:pt idx="0">
                  <c:v>0</c:v>
                </c:pt>
                <c:pt idx="1">
                  <c:v>21</c:v>
                </c:pt>
                <c:pt idx="2">
                  <c:v>230.2</c:v>
                </c:pt>
                <c:pt idx="3">
                  <c:v>251.2</c:v>
                </c:pt>
              </c:numCache>
            </c:numRef>
          </c:xVal>
          <c:yVal>
            <c:numRef>
              <c:f>CaucePrincipal!$H$5:$H$9</c:f>
              <c:numCache>
                <c:formatCode>General</c:formatCode>
                <c:ptCount val="5"/>
                <c:pt idx="0">
                  <c:v>103</c:v>
                </c:pt>
                <c:pt idx="1">
                  <c:v>101.5</c:v>
                </c:pt>
                <c:pt idx="2">
                  <c:v>101.5</c:v>
                </c:pt>
                <c:pt idx="3">
                  <c:v>103</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secciones prototipo HEC-RAS</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CaucePrincipal!$C$22:$C$29</c:f>
              <c:numCache>
                <c:formatCode>0.00</c:formatCode>
                <c:ptCount val="8"/>
                <c:pt idx="0">
                  <c:v>0</c:v>
                </c:pt>
                <c:pt idx="1">
                  <c:v>21</c:v>
                </c:pt>
                <c:pt idx="2">
                  <c:v>84.6</c:v>
                </c:pt>
                <c:pt idx="3">
                  <c:v>105.6</c:v>
                </c:pt>
                <c:pt idx="4">
                  <c:v>145.6</c:v>
                </c:pt>
                <c:pt idx="5">
                  <c:v>166.6</c:v>
                </c:pt>
                <c:pt idx="6">
                  <c:v>230.2</c:v>
                </c:pt>
                <c:pt idx="7">
                  <c:v>251.2</c:v>
                </c:pt>
              </c:numCache>
            </c:numRef>
          </c:xVal>
          <c:yVal>
            <c:numRef>
              <c:f>CaucePrincipal!$D$22:$D$29</c:f>
              <c:numCache>
                <c:formatCode>0.00</c:formatCode>
                <c:ptCount val="8"/>
                <c:pt idx="0">
                  <c:v>103</c:v>
                </c:pt>
                <c:pt idx="1">
                  <c:v>101.5</c:v>
                </c:pt>
                <c:pt idx="2">
                  <c:v>101.5</c:v>
                </c:pt>
                <c:pt idx="3">
                  <c:v>100</c:v>
                </c:pt>
                <c:pt idx="4">
                  <c:v>100</c:v>
                </c:pt>
                <c:pt idx="5">
                  <c:v>101.5</c:v>
                </c:pt>
                <c:pt idx="6">
                  <c:v>101.5</c:v>
                </c:pt>
                <c:pt idx="7">
                  <c:v>103</c:v>
                </c:pt>
              </c:numCache>
            </c:numRef>
          </c:yVal>
          <c:smooth val="0"/>
          <c:extLst>
            <c:ext xmlns:c16="http://schemas.microsoft.com/office/drawing/2014/chart" uri="{C3380CC4-5D6E-409C-BE32-E72D297353CC}">
              <c16:uniqueId val="{00000002-9054-4962-A59B-F16E156AC39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CauceLateral!$G$13:$G$16</c:f>
              <c:numCache>
                <c:formatCode>0.00</c:formatCode>
                <c:ptCount val="4"/>
                <c:pt idx="0">
                  <c:v>-33.619999999999997</c:v>
                </c:pt>
                <c:pt idx="1">
                  <c:v>-3.6199999999999974</c:v>
                </c:pt>
                <c:pt idx="2">
                  <c:v>3.6200000000000028</c:v>
                </c:pt>
                <c:pt idx="3">
                  <c:v>33.620000000000005</c:v>
                </c:pt>
              </c:numCache>
            </c:numRef>
          </c:xVal>
          <c:yVal>
            <c:numRef>
              <c:f>CauceLateral!$H$13:$H$16</c:f>
              <c:numCache>
                <c:formatCode>0.00</c:formatCode>
                <c:ptCount val="4"/>
                <c:pt idx="0">
                  <c:v>103</c:v>
                </c:pt>
                <c:pt idx="1">
                  <c:v>100</c:v>
                </c:pt>
                <c:pt idx="2">
                  <c:v>100</c:v>
                </c:pt>
                <c:pt idx="3">
                  <c:v>103</c:v>
                </c:pt>
              </c:numCache>
            </c:numRef>
          </c:yVal>
          <c:smooth val="0"/>
          <c:extLst>
            <c:ext xmlns:c16="http://schemas.microsoft.com/office/drawing/2014/chart" uri="{C3380CC4-5D6E-409C-BE32-E72D297353CC}">
              <c16:uniqueId val="{00000000-4456-4454-9FC8-F2EFA8E66CD1}"/>
            </c:ext>
          </c:extLst>
        </c:ser>
        <c:ser>
          <c:idx val="1"/>
          <c:order val="1"/>
          <c:tx>
            <c:strRef>
              <c:f>CauceLateral!$E$4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CauceLateral!$G$5:$G$9</c:f>
              <c:numCache>
                <c:formatCode>General</c:formatCode>
                <c:ptCount val="5"/>
                <c:pt idx="0">
                  <c:v>0</c:v>
                </c:pt>
                <c:pt idx="1">
                  <c:v>0</c:v>
                </c:pt>
                <c:pt idx="2">
                  <c:v>0</c:v>
                </c:pt>
                <c:pt idx="3">
                  <c:v>0</c:v>
                </c:pt>
              </c:numCache>
            </c:numRef>
          </c:xVal>
          <c:yVal>
            <c:numRef>
              <c:f>CauceLateral!$H$5:$H$9</c:f>
              <c:numCache>
                <c:formatCode>General</c:formatCode>
                <c:ptCount val="5"/>
                <c:pt idx="0">
                  <c:v>103</c:v>
                </c:pt>
                <c:pt idx="1">
                  <c:v>103</c:v>
                </c:pt>
                <c:pt idx="2">
                  <c:v>103</c:v>
                </c:pt>
                <c:pt idx="3">
                  <c:v>103</c:v>
                </c:pt>
              </c:numCache>
            </c:numRef>
          </c:yVal>
          <c:smooth val="0"/>
          <c:extLst>
            <c:ext xmlns:c16="http://schemas.microsoft.com/office/drawing/2014/chart" uri="{C3380CC4-5D6E-409C-BE32-E72D297353CC}">
              <c16:uniqueId val="{00000001-4456-4454-9FC8-F2EFA8E66CD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5886749999999999"/>
          <c:w val="0.92374425925925929"/>
          <c:h val="0.64057333333333333"/>
        </c:manualLayout>
      </c:layout>
      <c:scatterChart>
        <c:scatterStyle val="smoothMarker"/>
        <c:varyColors val="0"/>
        <c:ser>
          <c:idx val="2"/>
          <c:order val="0"/>
          <c:tx>
            <c:strRef>
              <c:f>CauceLateral!$B$21</c:f>
              <c:strCache>
                <c:ptCount val="1"/>
                <c:pt idx="0">
                  <c:v>Geometría secciones prototipo 1Km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5-DD97-4917-9BB2-C6D7E25F1297}"/>
              </c:ext>
            </c:extLst>
          </c:dPt>
          <c:dPt>
            <c:idx val="3"/>
            <c:bubble3D val="0"/>
            <c:spPr>
              <a:ln w="15875" cap="rnd">
                <a:solidFill>
                  <a:schemeClr val="tx1"/>
                </a:solidFill>
                <a:round/>
              </a:ln>
              <a:effectLst/>
            </c:spPr>
            <c:extLst>
              <c:ext xmlns:c16="http://schemas.microsoft.com/office/drawing/2014/chart" uri="{C3380CC4-5D6E-409C-BE32-E72D297353CC}">
                <c16:uniqueId val="{00000003-DD97-4917-9BB2-C6D7E25F1297}"/>
              </c:ext>
            </c:extLst>
          </c:dPt>
          <c:dPt>
            <c:idx val="4"/>
            <c:bubble3D val="0"/>
            <c:spPr>
              <a:ln w="15875" cap="rnd">
                <a:solidFill>
                  <a:schemeClr val="tx1"/>
                </a:solidFill>
                <a:round/>
              </a:ln>
              <a:effectLst/>
            </c:spPr>
            <c:extLst>
              <c:ext xmlns:c16="http://schemas.microsoft.com/office/drawing/2014/chart" uri="{C3380CC4-5D6E-409C-BE32-E72D297353CC}">
                <c16:uniqueId val="{00000002-DD97-4917-9BB2-C6D7E25F1297}"/>
              </c:ext>
            </c:extLst>
          </c:dPt>
          <c:dPt>
            <c:idx val="5"/>
            <c:bubble3D val="0"/>
            <c:spPr>
              <a:ln w="15875" cap="rnd">
                <a:solidFill>
                  <a:schemeClr val="tx1"/>
                </a:solidFill>
                <a:round/>
              </a:ln>
              <a:effectLst/>
            </c:spPr>
            <c:extLst>
              <c:ext xmlns:c16="http://schemas.microsoft.com/office/drawing/2014/chart" uri="{C3380CC4-5D6E-409C-BE32-E72D297353CC}">
                <c16:uniqueId val="{00000001-DD97-4917-9BB2-C6D7E25F1297}"/>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4-DD97-4917-9BB2-C6D7E25F1297}"/>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CauceLateral!$C$22:$C$29</c:f>
              <c:numCache>
                <c:formatCode>General</c:formatCode>
                <c:ptCount val="8"/>
                <c:pt idx="0">
                  <c:v>0</c:v>
                </c:pt>
                <c:pt idx="1">
                  <c:v>0</c:v>
                </c:pt>
                <c:pt idx="2" formatCode="0.000">
                  <c:v>-33.619999999999997</c:v>
                </c:pt>
                <c:pt idx="3" formatCode="0.000">
                  <c:v>-3.6199999999999974</c:v>
                </c:pt>
                <c:pt idx="4" formatCode="0.000">
                  <c:v>3.6200000000000028</c:v>
                </c:pt>
                <c:pt idx="5" formatCode="0.000">
                  <c:v>33.620000000000005</c:v>
                </c:pt>
                <c:pt idx="6">
                  <c:v>0</c:v>
                </c:pt>
                <c:pt idx="7">
                  <c:v>0</c:v>
                </c:pt>
              </c:numCache>
            </c:numRef>
          </c:xVal>
          <c:yVal>
            <c:numRef>
              <c:f>CauceLateral!$D$22:$D$29</c:f>
              <c:numCache>
                <c:formatCode>0.00</c:formatCode>
                <c:ptCount val="8"/>
                <c:pt idx="0">
                  <c:v>103</c:v>
                </c:pt>
                <c:pt idx="1">
                  <c:v>103</c:v>
                </c:pt>
                <c:pt idx="2">
                  <c:v>103</c:v>
                </c:pt>
                <c:pt idx="3">
                  <c:v>100</c:v>
                </c:pt>
                <c:pt idx="4">
                  <c:v>100</c:v>
                </c:pt>
                <c:pt idx="5">
                  <c:v>103</c:v>
                </c:pt>
                <c:pt idx="6">
                  <c:v>103</c:v>
                </c:pt>
                <c:pt idx="7">
                  <c:v>103</c:v>
                </c:pt>
              </c:numCache>
            </c:numRef>
          </c:yVal>
          <c:smooth val="0"/>
          <c:extLst>
            <c:ext xmlns:c16="http://schemas.microsoft.com/office/drawing/2014/chart" uri="{C3380CC4-5D6E-409C-BE32-E72D297353CC}">
              <c16:uniqueId val="{00000000-81AA-4CBC-89C4-02C1752BAD5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 prismática.</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15446875000000002"/>
          <c:y val="0.12711759253862945"/>
          <c:w val="0.82026273148148143"/>
          <c:h val="0.67232345679012351"/>
        </c:manualLayout>
      </c:layout>
      <c:scatterChart>
        <c:scatterStyle val="smoothMarker"/>
        <c:varyColors val="0"/>
        <c:ser>
          <c:idx val="0"/>
          <c:order val="0"/>
          <c:tx>
            <c:strRef>
              <c:f>YnYc!$D$3</c:f>
              <c:strCache>
                <c:ptCount val="1"/>
                <c:pt idx="0">
                  <c:v>Main channel</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YnYc!$D$5:$D$8</c:f>
              <c:numCache>
                <c:formatCode>0.000</c:formatCode>
                <c:ptCount val="4"/>
                <c:pt idx="0">
                  <c:v>0</c:v>
                </c:pt>
                <c:pt idx="1">
                  <c:v>0.88202526046876462</c:v>
                </c:pt>
                <c:pt idx="2">
                  <c:v>2.3820252604687644</c:v>
                </c:pt>
                <c:pt idx="3">
                  <c:v>3.2640505209375288</c:v>
                </c:pt>
              </c:numCache>
            </c:numRef>
          </c:xVal>
          <c:yVal>
            <c:numRef>
              <c:f>YnYc!$E$5:$E$8</c:f>
              <c:numCache>
                <c:formatCode>0.000</c:formatCode>
                <c:ptCount val="4"/>
                <c:pt idx="0">
                  <c:v>1.7640505209375292</c:v>
                </c:pt>
                <c:pt idx="1">
                  <c:v>0</c:v>
                </c:pt>
                <c:pt idx="2">
                  <c:v>0</c:v>
                </c:pt>
                <c:pt idx="3">
                  <c:v>1.7640505209375292</c:v>
                </c:pt>
              </c:numCache>
            </c:numRef>
          </c:yVal>
          <c:smooth val="0"/>
          <c:extLst>
            <c:ext xmlns:c16="http://schemas.microsoft.com/office/drawing/2014/chart" uri="{C3380CC4-5D6E-409C-BE32-E72D297353CC}">
              <c16:uniqueId val="{00000000-74B6-48AA-BE17-5D5F931EDBC9}"/>
            </c:ext>
          </c:extLst>
        </c:ser>
        <c:ser>
          <c:idx val="1"/>
          <c:order val="1"/>
          <c:tx>
            <c:strRef>
              <c:f>YnYc!$D$9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3-74B6-48AA-BE17-5D5F931EDBC9}"/>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3-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YnYc!$D$11:$D$12</c:f>
              <c:numCache>
                <c:formatCode>0.000</c:formatCode>
                <c:ptCount val="2"/>
                <c:pt idx="0">
                  <c:v>0</c:v>
                </c:pt>
                <c:pt idx="1">
                  <c:v>3.2640505209375288</c:v>
                </c:pt>
              </c:numCache>
            </c:numRef>
          </c:xVal>
          <c:yVal>
            <c:numRef>
              <c:f>YnYc!$E$11:$E$12</c:f>
              <c:numCache>
                <c:formatCode>0.000</c:formatCode>
                <c:ptCount val="2"/>
                <c:pt idx="0">
                  <c:v>1.7640505209375292</c:v>
                </c:pt>
                <c:pt idx="1">
                  <c:v>1.7640505209375292</c:v>
                </c:pt>
              </c:numCache>
            </c:numRef>
          </c:yVal>
          <c:smooth val="1"/>
          <c:extLst>
            <c:ext xmlns:c16="http://schemas.microsoft.com/office/drawing/2014/chart" uri="{C3380CC4-5D6E-409C-BE32-E72D297353CC}">
              <c16:uniqueId val="{00000001-74B6-48AA-BE17-5D5F931EDBC9}"/>
            </c:ext>
          </c:extLst>
        </c:ser>
        <c:ser>
          <c:idx val="2"/>
          <c:order val="2"/>
          <c:tx>
            <c:strRef>
              <c:f>YnYc!$D$13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5-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YnYc!$D$15:$D$16</c:f>
              <c:numCache>
                <c:formatCode>0.000</c:formatCode>
                <c:ptCount val="2"/>
                <c:pt idx="0">
                  <c:v>0</c:v>
                </c:pt>
                <c:pt idx="1">
                  <c:v>3.2640505209375288</c:v>
                </c:pt>
              </c:numCache>
            </c:numRef>
          </c:xVal>
          <c:yVal>
            <c:numRef>
              <c:f>YnYc!$E$15:$E$16</c:f>
              <c:numCache>
                <c:formatCode>0.000</c:formatCode>
                <c:ptCount val="2"/>
                <c:pt idx="0">
                  <c:v>2.1023599383094105</c:v>
                </c:pt>
                <c:pt idx="1">
                  <c:v>2.1023599383094105</c:v>
                </c:pt>
              </c:numCache>
            </c:numRef>
          </c:yVal>
          <c:smooth val="1"/>
          <c:extLst>
            <c:ext xmlns:c16="http://schemas.microsoft.com/office/drawing/2014/chart" uri="{C3380CC4-5D6E-409C-BE32-E72D297353CC}">
              <c16:uniqueId val="{00000004-74B6-48AA-BE17-5D5F931EDBC9}"/>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w="50800" cmpd="thickThin">
              <a:solidFill>
                <a:schemeClr val="tx1">
                  <a:lumMod val="50000"/>
                  <a:lumOff val="50000"/>
                </a:schemeClr>
              </a:solidFill>
            </a:ln>
          </c:spPr>
          <c:marker>
            <c:symbol val="none"/>
          </c:marker>
          <c:xVal>
            <c:numRef>
              <c:f>YnYc!$O$4:$O$16</c:f>
              <c:numCache>
                <c:formatCode>0.00</c:formatCode>
                <c:ptCount val="13"/>
                <c:pt idx="0">
                  <c:v>0</c:v>
                </c:pt>
                <c:pt idx="1">
                  <c:v>15</c:v>
                </c:pt>
                <c:pt idx="2">
                  <c:v>50</c:v>
                </c:pt>
                <c:pt idx="3">
                  <c:v>85</c:v>
                </c:pt>
                <c:pt idx="4">
                  <c:v>100</c:v>
                </c:pt>
              </c:numCache>
            </c:numRef>
          </c:xVal>
          <c:yVal>
            <c:numRef>
              <c:f>YnYc!$P$4:$P$16</c:f>
              <c:numCache>
                <c:formatCode>0.00</c:formatCode>
                <c:ptCount val="13"/>
                <c:pt idx="0">
                  <c:v>2</c:v>
                </c:pt>
                <c:pt idx="1">
                  <c:v>1.7</c:v>
                </c:pt>
                <c:pt idx="2">
                  <c:v>1</c:v>
                </c:pt>
                <c:pt idx="3">
                  <c:v>0.30000000000000004</c:v>
                </c:pt>
                <c:pt idx="4">
                  <c:v>0</c:v>
                </c:pt>
              </c:numCache>
            </c:numRef>
          </c:yVal>
          <c:smooth val="1"/>
          <c:extLst>
            <c:ext xmlns:c16="http://schemas.microsoft.com/office/drawing/2014/chart" uri="{C3380CC4-5D6E-409C-BE32-E72D297353CC}">
              <c16:uniqueId val="{00000000-9E51-48FC-B041-57EA0B3C471C}"/>
            </c:ext>
          </c:extLst>
        </c:ser>
        <c:ser>
          <c:idx val="1"/>
          <c:order val="1"/>
          <c:tx>
            <c:strRef>
              <c:f>YnYc!$R$2</c:f>
              <c:strCache>
                <c:ptCount val="1"/>
                <c:pt idx="0">
                  <c:v>S1</c:v>
                </c:pt>
              </c:strCache>
            </c:strRef>
          </c:tx>
          <c:spPr>
            <a:ln>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9E51-48FC-B041-57EA0B3C471C}"/>
                </c:ext>
              </c:extLst>
            </c:dLbl>
            <c:dLbl>
              <c:idx val="1"/>
              <c:delete val="1"/>
              <c:extLst>
                <c:ext xmlns:c15="http://schemas.microsoft.com/office/drawing/2012/chart" uri="{CE6537A1-D6FC-4f65-9D91-7224C49458BB}"/>
                <c:ext xmlns:c16="http://schemas.microsoft.com/office/drawing/2014/chart" uri="{C3380CC4-5D6E-409C-BE32-E72D297353CC}">
                  <c16:uniqueId val="{00000002-9E51-48FC-B041-57EA0B3C471C}"/>
                </c:ext>
              </c:extLst>
            </c:dLbl>
            <c:dLbl>
              <c:idx val="2"/>
              <c:delete val="1"/>
              <c:extLst>
                <c:ext xmlns:c15="http://schemas.microsoft.com/office/drawing/2012/chart" uri="{CE6537A1-D6FC-4f65-9D91-7224C49458BB}"/>
                <c:ext xmlns:c16="http://schemas.microsoft.com/office/drawing/2014/chart" uri="{C3380CC4-5D6E-409C-BE32-E72D297353CC}">
                  <c16:uniqueId val="{0000001A-9E51-48FC-B041-57EA0B3C471C}"/>
                </c:ext>
              </c:extLst>
            </c:dLbl>
            <c:dLbl>
              <c:idx val="3"/>
              <c:delete val="1"/>
              <c:extLst>
                <c:ext xmlns:c15="http://schemas.microsoft.com/office/drawing/2012/chart" uri="{CE6537A1-D6FC-4f65-9D91-7224C49458BB}"/>
                <c:ext xmlns:c16="http://schemas.microsoft.com/office/drawing/2014/chart" uri="{C3380CC4-5D6E-409C-BE32-E72D297353CC}">
                  <c16:uniqueId val="{00000019-9E51-48FC-B041-57EA0B3C471C}"/>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7-9E51-48FC-B041-57EA0B3C471C}"/>
                </c:ext>
              </c:extLst>
            </c:dLbl>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YnYc!$O$4:$O$8</c:f>
              <c:numCache>
                <c:formatCode>0.00</c:formatCode>
                <c:ptCount val="5"/>
                <c:pt idx="0">
                  <c:v>0</c:v>
                </c:pt>
                <c:pt idx="1">
                  <c:v>15</c:v>
                </c:pt>
                <c:pt idx="2">
                  <c:v>50</c:v>
                </c:pt>
                <c:pt idx="3">
                  <c:v>85</c:v>
                </c:pt>
                <c:pt idx="4">
                  <c:v>100</c:v>
                </c:pt>
              </c:numCache>
            </c:numRef>
          </c:xVal>
          <c:yVal>
            <c:numRef>
              <c:f>YnYc!$S$4:$S$8</c:f>
              <c:numCache>
                <c:formatCode>0.00</c:formatCode>
                <c:ptCount val="5"/>
                <c:pt idx="0">
                  <c:v>4.1023599383094105</c:v>
                </c:pt>
                <c:pt idx="1">
                  <c:v>4.5381859167177039</c:v>
                </c:pt>
                <c:pt idx="2">
                  <c:v>4.5740118951259978</c:v>
                </c:pt>
                <c:pt idx="3">
                  <c:v>4.3365310815540674</c:v>
                </c:pt>
                <c:pt idx="4">
                  <c:v>4.204719876618821</c:v>
                </c:pt>
              </c:numCache>
            </c:numRef>
          </c:yVal>
          <c:smooth val="1"/>
          <c:extLst>
            <c:ext xmlns:c16="http://schemas.microsoft.com/office/drawing/2014/chart" uri="{C3380CC4-5D6E-409C-BE32-E72D297353CC}">
              <c16:uniqueId val="{00000004-9E51-48FC-B041-57EA0B3C471C}"/>
            </c:ext>
          </c:extLst>
        </c:ser>
        <c:ser>
          <c:idx val="2"/>
          <c:order val="2"/>
          <c:tx>
            <c:strRef>
              <c:f>YnYc!$T$2</c:f>
              <c:strCache>
                <c:ptCount val="1"/>
                <c:pt idx="0">
                  <c:v>S2</c:v>
                </c:pt>
              </c:strCache>
            </c:strRef>
          </c:tx>
          <c:spPr>
            <a:ln>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B8E3-4A36-96EA-6F509BB3FB28}"/>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YnYc!$O$4:$O$8</c:f>
              <c:numCache>
                <c:formatCode>0.00</c:formatCode>
                <c:ptCount val="5"/>
                <c:pt idx="0">
                  <c:v>0</c:v>
                </c:pt>
                <c:pt idx="1">
                  <c:v>15</c:v>
                </c:pt>
                <c:pt idx="2">
                  <c:v>50</c:v>
                </c:pt>
                <c:pt idx="3">
                  <c:v>85</c:v>
                </c:pt>
                <c:pt idx="4">
                  <c:v>100</c:v>
                </c:pt>
              </c:numCache>
            </c:numRef>
          </c:xVal>
          <c:yVal>
            <c:numRef>
              <c:f>YnYc!$U$4:$U$8</c:f>
              <c:numCache>
                <c:formatCode>0.00</c:formatCode>
                <c:ptCount val="5"/>
                <c:pt idx="0">
                  <c:v>4.1023599383094105</c:v>
                </c:pt>
                <c:pt idx="1">
                  <c:v>3.5655433461490933</c:v>
                </c:pt>
                <c:pt idx="2">
                  <c:v>2.8317124044119053</c:v>
                </c:pt>
                <c:pt idx="3">
                  <c:v>2.0978814626747173</c:v>
                </c:pt>
                <c:pt idx="4">
                  <c:v>1.7640505209375292</c:v>
                </c:pt>
              </c:numCache>
            </c:numRef>
          </c:yVal>
          <c:smooth val="1"/>
          <c:extLst>
            <c:ext xmlns:c16="http://schemas.microsoft.com/office/drawing/2014/chart" uri="{C3380CC4-5D6E-409C-BE32-E72D297353CC}">
              <c16:uniqueId val="{00000007-9E51-48FC-B041-57EA0B3C471C}"/>
            </c:ext>
          </c:extLst>
        </c:ser>
        <c:ser>
          <c:idx val="3"/>
          <c:order val="3"/>
          <c:tx>
            <c:strRef>
              <c:f>YnYc!$V$2</c:f>
              <c:strCache>
                <c:ptCount val="1"/>
                <c:pt idx="0">
                  <c:v>S3</c:v>
                </c:pt>
              </c:strCache>
            </c:strRef>
          </c:tx>
          <c:spPr>
            <a:ln>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8E3-4A36-96EA-6F509BB3FB28}"/>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YnYc!$O$4:$O$8</c:f>
              <c:numCache>
                <c:formatCode>0.00</c:formatCode>
                <c:ptCount val="5"/>
                <c:pt idx="0">
                  <c:v>0</c:v>
                </c:pt>
                <c:pt idx="1">
                  <c:v>15</c:v>
                </c:pt>
                <c:pt idx="2">
                  <c:v>50</c:v>
                </c:pt>
                <c:pt idx="3">
                  <c:v>85</c:v>
                </c:pt>
                <c:pt idx="4">
                  <c:v>100</c:v>
                </c:pt>
              </c:numCache>
            </c:numRef>
          </c:xVal>
          <c:yVal>
            <c:numRef>
              <c:f>YnYc!$W$4:$W$8</c:f>
              <c:numCache>
                <c:formatCode>0.00</c:formatCode>
                <c:ptCount val="5"/>
                <c:pt idx="0">
                  <c:v>2.7056202083750116</c:v>
                </c:pt>
                <c:pt idx="1">
                  <c:v>3.1716519568165875</c:v>
                </c:pt>
                <c:pt idx="2">
                  <c:v>2.5876454688437764</c:v>
                </c:pt>
                <c:pt idx="3">
                  <c:v>1.9758479948906527</c:v>
                </c:pt>
                <c:pt idx="4">
                  <c:v>1.7640505209375292</c:v>
                </c:pt>
              </c:numCache>
            </c:numRef>
          </c:yVal>
          <c:smooth val="1"/>
          <c:extLst>
            <c:ext xmlns:c16="http://schemas.microsoft.com/office/drawing/2014/chart" uri="{C3380CC4-5D6E-409C-BE32-E72D297353CC}">
              <c16:uniqueId val="{00000008-9E51-48FC-B041-57EA0B3C471C}"/>
            </c:ext>
          </c:extLst>
        </c:ser>
        <c:ser>
          <c:idx val="4"/>
          <c:order val="4"/>
          <c:tx>
            <c:v>Yc</c:v>
          </c:tx>
          <c:spPr>
            <a:ln w="12700">
              <a:solidFill>
                <a:schemeClr val="tx1"/>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C-9E51-48FC-B041-57EA0B3C471C}"/>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9E51-48FC-B041-57EA0B3C471C}"/>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YnYc!$AE$5:$AE$6</c:f>
              <c:numCache>
                <c:formatCode>0.000</c:formatCode>
                <c:ptCount val="2"/>
                <c:pt idx="0">
                  <c:v>0</c:v>
                </c:pt>
                <c:pt idx="1">
                  <c:v>100</c:v>
                </c:pt>
              </c:numCache>
            </c:numRef>
          </c:xVal>
          <c:yVal>
            <c:numRef>
              <c:f>YnYc!$AG$5:$AG$6</c:f>
              <c:numCache>
                <c:formatCode>0.000\ "m"</c:formatCode>
                <c:ptCount val="2"/>
                <c:pt idx="0">
                  <c:v>4.1023599383094105</c:v>
                </c:pt>
                <c:pt idx="1">
                  <c:v>2.1023599383094105</c:v>
                </c:pt>
              </c:numCache>
            </c:numRef>
          </c:yVal>
          <c:smooth val="1"/>
          <c:extLst>
            <c:ext xmlns:c16="http://schemas.microsoft.com/office/drawing/2014/chart" uri="{C3380CC4-5D6E-409C-BE32-E72D297353CC}">
              <c16:uniqueId val="{00000009-9E51-48FC-B041-57EA0B3C471C}"/>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9E51-48FC-B041-57EA0B3C471C}"/>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9E51-48FC-B041-57EA0B3C471C}"/>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YnYc!$AE$5:$AE$6</c:f>
              <c:numCache>
                <c:formatCode>0.000</c:formatCode>
                <c:ptCount val="2"/>
                <c:pt idx="0">
                  <c:v>0</c:v>
                </c:pt>
                <c:pt idx="1">
                  <c:v>100</c:v>
                </c:pt>
              </c:numCache>
            </c:numRef>
          </c:xVal>
          <c:yVal>
            <c:numRef>
              <c:f>YnYc!$AF$5:$AF$6</c:f>
              <c:numCache>
                <c:formatCode>0.000\ "m"</c:formatCode>
                <c:ptCount val="2"/>
                <c:pt idx="0">
                  <c:v>3.7640505209375292</c:v>
                </c:pt>
                <c:pt idx="1">
                  <c:v>1.7640505209375292</c:v>
                </c:pt>
              </c:numCache>
            </c:numRef>
          </c:yVal>
          <c:smooth val="1"/>
          <c:extLst>
            <c:ext xmlns:c16="http://schemas.microsoft.com/office/drawing/2014/chart" uri="{C3380CC4-5D6E-409C-BE32-E72D297353CC}">
              <c16:uniqueId val="{0000000A-9E51-48FC-B041-57EA0B3C471C}"/>
            </c:ext>
          </c:extLst>
        </c:ser>
        <c:ser>
          <c:idx val="6"/>
          <c:order val="6"/>
          <c:tx>
            <c:v>Clave</c:v>
          </c:tx>
          <c:spPr>
            <a:ln w="34925" cmpd="thinThick">
              <a:solidFill>
                <a:schemeClr val="tx1">
                  <a:lumMod val="65000"/>
                  <a:lumOff val="35000"/>
                </a:schemeClr>
              </a:solidFill>
            </a:ln>
          </c:spPr>
          <c:marker>
            <c:symbol val="none"/>
          </c:marker>
          <c:xVal>
            <c:numRef>
              <c:f>YnYc!$O$4:$O$16</c:f>
              <c:numCache>
                <c:formatCode>0.00</c:formatCode>
                <c:ptCount val="13"/>
                <c:pt idx="0">
                  <c:v>0</c:v>
                </c:pt>
                <c:pt idx="1">
                  <c:v>15</c:v>
                </c:pt>
                <c:pt idx="2">
                  <c:v>50</c:v>
                </c:pt>
                <c:pt idx="3">
                  <c:v>85</c:v>
                </c:pt>
                <c:pt idx="4">
                  <c:v>100</c:v>
                </c:pt>
              </c:numCache>
            </c:numRef>
          </c:xVal>
          <c:yVal>
            <c:numRef>
              <c:f>YnYc!$Q$4:$Q$16</c:f>
              <c:numCache>
                <c:formatCode>0.00</c:formatCode>
                <c:ptCount val="13"/>
                <c:pt idx="0">
                  <c:v>0</c:v>
                </c:pt>
                <c:pt idx="1">
                  <c:v>0</c:v>
                </c:pt>
                <c:pt idx="2">
                  <c:v>0</c:v>
                </c:pt>
                <c:pt idx="3">
                  <c:v>0</c:v>
                </c:pt>
                <c:pt idx="4">
                  <c:v>0</c:v>
                </c:pt>
              </c:numCache>
            </c:numRef>
          </c:yVal>
          <c:smooth val="1"/>
          <c:extLst>
            <c:ext xmlns:c16="http://schemas.microsoft.com/office/drawing/2014/chart" uri="{C3380CC4-5D6E-409C-BE32-E72D297353CC}">
              <c16:uniqueId val="{0000001E-9E51-48FC-B041-57EA0B3C471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YnYc!$C$29</c:f>
              <c:strCache>
                <c:ptCount val="1"/>
                <c:pt idx="0">
                  <c:v>Station, m</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tx1">
          <a:lumMod val="50000"/>
          <a:lumOff val="50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0DB-4458-ABD3-08876825ADBF}"/>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FuerzaTractiva!$I$5:$I$8</c:f>
              <c:numCache>
                <c:formatCode>0.00</c:formatCode>
                <c:ptCount val="4"/>
                <c:pt idx="0">
                  <c:v>0</c:v>
                </c:pt>
                <c:pt idx="1">
                  <c:v>15</c:v>
                </c:pt>
                <c:pt idx="2">
                  <c:v>47.765696619697501</c:v>
                </c:pt>
                <c:pt idx="3">
                  <c:v>62.765696619697501</c:v>
                </c:pt>
              </c:numCache>
            </c:numRef>
          </c:xVal>
          <c:yVal>
            <c:numRef>
              <c:f>FuerzaTractiva!$J$5:$J$8</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207C-4431-A82F-3B1FB315CF00}"/>
            </c:ext>
          </c:extLst>
        </c:ser>
        <c:ser>
          <c:idx val="1"/>
          <c:order val="1"/>
          <c:tx>
            <c:strRef>
              <c:f>FuerzaTractiva!$I$9</c:f>
              <c:strCache>
                <c:ptCount val="1"/>
                <c:pt idx="0">
                  <c:v>Material izq,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FuerzaTractiva!$I$11</c:f>
              <c:numCache>
                <c:formatCode>0.000</c:formatCode>
                <c:ptCount val="1"/>
                <c:pt idx="0">
                  <c:v>7.5</c:v>
                </c:pt>
              </c:numCache>
            </c:numRef>
          </c:xVal>
          <c:yVal>
            <c:numRef>
              <c:f>FuerzaTractiva!$J$11</c:f>
              <c:numCache>
                <c:formatCode>0.000</c:formatCode>
                <c:ptCount val="1"/>
                <c:pt idx="0">
                  <c:v>100.75</c:v>
                </c:pt>
              </c:numCache>
            </c:numRef>
          </c:yVal>
          <c:smooth val="1"/>
          <c:extLst>
            <c:ext xmlns:c16="http://schemas.microsoft.com/office/drawing/2014/chart" uri="{C3380CC4-5D6E-409C-BE32-E72D297353CC}">
              <c16:uniqueId val="{00000007-207C-4431-A82F-3B1FB315CF00}"/>
            </c:ext>
          </c:extLst>
        </c:ser>
        <c:ser>
          <c:idx val="2"/>
          <c:order val="2"/>
          <c:tx>
            <c:strRef>
              <c:f>FuerzaTractiva!$I$12</c:f>
              <c:strCache>
                <c:ptCount val="1"/>
                <c:pt idx="0">
                  <c:v>Material fondo, 13mm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FuerzaTractiva!$I$14</c:f>
              <c:numCache>
                <c:formatCode>0.000</c:formatCode>
                <c:ptCount val="1"/>
                <c:pt idx="0">
                  <c:v>31.38284830984875</c:v>
                </c:pt>
              </c:numCache>
            </c:numRef>
          </c:xVal>
          <c:yVal>
            <c:numRef>
              <c:f>FuerzaTractiva!$J$14</c:f>
              <c:numCache>
                <c:formatCode>0.000</c:formatCode>
                <c:ptCount val="1"/>
                <c:pt idx="0">
                  <c:v>100</c:v>
                </c:pt>
              </c:numCache>
            </c:numRef>
          </c:yVal>
          <c:smooth val="1"/>
          <c:extLst>
            <c:ext xmlns:c16="http://schemas.microsoft.com/office/drawing/2014/chart" uri="{C3380CC4-5D6E-409C-BE32-E72D297353CC}">
              <c16:uniqueId val="{00000008-207C-4431-A82F-3B1FB315CF00}"/>
            </c:ext>
          </c:extLst>
        </c:ser>
        <c:ser>
          <c:idx val="3"/>
          <c:order val="3"/>
          <c:tx>
            <c:strRef>
              <c:f>FuerzaTractiva!$I$15</c:f>
              <c:strCache>
                <c:ptCount val="1"/>
                <c:pt idx="0">
                  <c:v>Material der,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FuerzaTractiva!$I$17</c:f>
              <c:numCache>
                <c:formatCode>0.000</c:formatCode>
                <c:ptCount val="1"/>
                <c:pt idx="0">
                  <c:v>55.265696619697501</c:v>
                </c:pt>
              </c:numCache>
            </c:numRef>
          </c:xVal>
          <c:yVal>
            <c:numRef>
              <c:f>FuerzaTractiva!$J$17</c:f>
              <c:numCache>
                <c:formatCode>0.000</c:formatCode>
                <c:ptCount val="1"/>
                <c:pt idx="0">
                  <c:v>100.75</c:v>
                </c:pt>
              </c:numCache>
            </c:numRef>
          </c:yVal>
          <c:smooth val="1"/>
          <c:extLst>
            <c:ext xmlns:c16="http://schemas.microsoft.com/office/drawing/2014/chart" uri="{C3380CC4-5D6E-409C-BE32-E72D297353CC}">
              <c16:uniqueId val="{00000009-207C-4431-A82F-3B1FB315CF0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5.xml"/><Relationship Id="rId1" Type="http://schemas.openxmlformats.org/officeDocument/2006/relationships/image" Target="../media/image2.png"/><Relationship Id="rId5" Type="http://schemas.openxmlformats.org/officeDocument/2006/relationships/chart" Target="../charts/chart6.xml"/><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jpeg"/><Relationship Id="rId18" Type="http://schemas.openxmlformats.org/officeDocument/2006/relationships/image" Target="../media/image22.png"/><Relationship Id="rId3" Type="http://schemas.openxmlformats.org/officeDocument/2006/relationships/chart" Target="../charts/chart7.xml"/><Relationship Id="rId7" Type="http://schemas.openxmlformats.org/officeDocument/2006/relationships/image" Target="../media/image12.png"/><Relationship Id="rId12" Type="http://schemas.openxmlformats.org/officeDocument/2006/relationships/image" Target="../media/image17.png"/><Relationship Id="rId17" Type="http://schemas.openxmlformats.org/officeDocument/2006/relationships/chart" Target="../charts/chart8.xml"/><Relationship Id="rId2" Type="http://schemas.openxmlformats.org/officeDocument/2006/relationships/image" Target="../media/image8.png"/><Relationship Id="rId16" Type="http://schemas.openxmlformats.org/officeDocument/2006/relationships/image" Target="../media/image21.png"/><Relationship Id="rId20" Type="http://schemas.openxmlformats.org/officeDocument/2006/relationships/image" Target="../media/image24.png"/><Relationship Id="rId1" Type="http://schemas.openxmlformats.org/officeDocument/2006/relationships/image" Target="../media/image7.png"/><Relationship Id="rId6" Type="http://schemas.openxmlformats.org/officeDocument/2006/relationships/image" Target="../media/image11.png"/><Relationship Id="rId11" Type="http://schemas.openxmlformats.org/officeDocument/2006/relationships/image" Target="../media/image16.png"/><Relationship Id="rId5" Type="http://schemas.openxmlformats.org/officeDocument/2006/relationships/image" Target="../media/image10.png"/><Relationship Id="rId15" Type="http://schemas.openxmlformats.org/officeDocument/2006/relationships/image" Target="../media/image20.png"/><Relationship Id="rId10" Type="http://schemas.openxmlformats.org/officeDocument/2006/relationships/image" Target="../media/image15.png"/><Relationship Id="rId19" Type="http://schemas.openxmlformats.org/officeDocument/2006/relationships/image" Target="../media/image23.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s>
</file>

<file path=xl/drawings/_rels/drawing6.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38479</xdr:rowOff>
    </xdr:to>
    <xdr:graphicFrame macro="">
      <xdr:nvGraphicFramePr>
        <xdr:cNvPr id="4" name="Gráfico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66260</xdr:colOff>
      <xdr:row>17</xdr:row>
      <xdr:rowOff>157370</xdr:rowOff>
    </xdr:from>
    <xdr:to>
      <xdr:col>10</xdr:col>
      <xdr:colOff>5466260</xdr:colOff>
      <xdr:row>33</xdr:row>
      <xdr:rowOff>13631</xdr:rowOff>
    </xdr:to>
    <xdr:graphicFrame macro="">
      <xdr:nvGraphicFramePr>
        <xdr:cNvPr id="5" name="Gráfico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17</xdr:row>
      <xdr:rowOff>253826</xdr:rowOff>
    </xdr:to>
    <xdr:graphicFrame macro="">
      <xdr:nvGraphicFramePr>
        <xdr:cNvPr id="2" name="Gráfico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32</xdr:row>
      <xdr:rowOff>30197</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a:srcRect l="3483" t="2235" r="2972" b="3340"/>
        <a:stretch/>
      </xdr:blipFill>
      <xdr:spPr>
        <a:xfrm>
          <a:off x="7057001" y="6892887"/>
          <a:ext cx="971656" cy="885410"/>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6" name="Imagen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8479" y="6858001"/>
          <a:ext cx="758954" cy="841250"/>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7" name="Imagen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76739" y="6858000"/>
          <a:ext cx="758954" cy="841250"/>
        </a:xfrm>
        <a:prstGeom prst="rect">
          <a:avLst/>
        </a:prstGeom>
      </xdr:spPr>
    </xdr:pic>
    <xdr:clientData/>
  </xdr:twoCellAnchor>
  <xdr:twoCellAnchor editAs="oneCell">
    <xdr:from>
      <xdr:col>13</xdr:col>
      <xdr:colOff>102904</xdr:colOff>
      <xdr:row>9</xdr:row>
      <xdr:rowOff>52160</xdr:rowOff>
    </xdr:from>
    <xdr:to>
      <xdr:col>34</xdr:col>
      <xdr:colOff>119062</xdr:colOff>
      <xdr:row>26</xdr:row>
      <xdr:rowOff>192087</xdr:rowOff>
    </xdr:to>
    <xdr:graphicFrame macro="">
      <xdr:nvGraphicFramePr>
        <xdr:cNvPr id="5" name="Gráfico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6353175" y="6124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1243634" y="14192665"/>
          <a:ext cx="1496667" cy="566075"/>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3544128" y="14269691"/>
          <a:ext cx="1213204" cy="469211"/>
        </a:xfrm>
        <a:prstGeom prst="rect">
          <a:avLst/>
        </a:prstGeom>
      </xdr:spPr>
    </xdr:pic>
    <xdr:clientData/>
  </xdr:twoCellAnchor>
  <xdr:oneCellAnchor>
    <xdr:from>
      <xdr:col>13</xdr:col>
      <xdr:colOff>333375</xdr:colOff>
      <xdr:row>41</xdr:row>
      <xdr:rowOff>57150</xdr:rowOff>
    </xdr:from>
    <xdr:ext cx="65" cy="172227"/>
    <xdr:sp macro="" textlink="">
      <xdr:nvSpPr>
        <xdr:cNvPr id="6" name="CuadroTexto 5">
          <a:extLst>
            <a:ext uri="{FF2B5EF4-FFF2-40B4-BE49-F238E27FC236}">
              <a16:creationId xmlns:a16="http://schemas.microsoft.com/office/drawing/2014/main" id="{00000000-0008-0000-0500-000006000000}"/>
            </a:ext>
          </a:extLst>
        </xdr:cNvPr>
        <xdr:cNvSpPr txBox="1"/>
      </xdr:nvSpPr>
      <xdr:spPr>
        <a:xfrm>
          <a:off x="14592300" y="103822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7" name="Gráfico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21760543" y="978149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16" name="Imagen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4"/>
        <a:stretch>
          <a:fillRect/>
        </a:stretch>
      </xdr:blipFill>
      <xdr:spPr>
        <a:xfrm>
          <a:off x="276430" y="13592939"/>
          <a:ext cx="850006" cy="344899"/>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17" name="Imagen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5"/>
        <a:stretch>
          <a:fillRect/>
        </a:stretch>
      </xdr:blipFill>
      <xdr:spPr>
        <a:xfrm>
          <a:off x="1398252" y="13623816"/>
          <a:ext cx="1434402" cy="246639"/>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24" name="Grupo 23">
          <a:extLst>
            <a:ext uri="{FF2B5EF4-FFF2-40B4-BE49-F238E27FC236}">
              <a16:creationId xmlns:a16="http://schemas.microsoft.com/office/drawing/2014/main" id="{00000000-0008-0000-0500-000018000000}"/>
            </a:ext>
          </a:extLst>
        </xdr:cNvPr>
        <xdr:cNvGrpSpPr/>
      </xdr:nvGrpSpPr>
      <xdr:grpSpPr>
        <a:xfrm>
          <a:off x="17952770" y="435552"/>
          <a:ext cx="4057844" cy="20884915"/>
          <a:chOff x="17874838" y="444211"/>
          <a:chExt cx="4057844" cy="24409165"/>
        </a:xfrm>
      </xdr:grpSpPr>
      <xdr:grpSp>
        <xdr:nvGrpSpPr>
          <xdr:cNvPr id="23" name="Grupo 22">
            <a:extLst>
              <a:ext uri="{FF2B5EF4-FFF2-40B4-BE49-F238E27FC236}">
                <a16:creationId xmlns:a16="http://schemas.microsoft.com/office/drawing/2014/main" id="{00000000-0008-0000-0500-000017000000}"/>
              </a:ext>
            </a:extLst>
          </xdr:cNvPr>
          <xdr:cNvGrpSpPr/>
        </xdr:nvGrpSpPr>
        <xdr:grpSpPr>
          <a:xfrm>
            <a:off x="17874838" y="444211"/>
            <a:ext cx="4057844" cy="22149635"/>
            <a:chOff x="13646604" y="714375"/>
            <a:chExt cx="4057844" cy="21692435"/>
          </a:xfrm>
        </xdr:grpSpPr>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0" name="Imagen 9">
              <a:extLst>
                <a:ext uri="{FF2B5EF4-FFF2-40B4-BE49-F238E27FC236}">
                  <a16:creationId xmlns:a16="http://schemas.microsoft.com/office/drawing/2014/main" id="{00000000-0008-0000-0500-00000A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1" name="Imagen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2" name="Imagen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3" name="Imagen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4" name="Imagen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9" name="Imagen 18" descr="Image result for peso especifico del agua a diferentes temperaturas sistema ingles">
            <a:extLst>
              <a:ext uri="{FF2B5EF4-FFF2-40B4-BE49-F238E27FC236}">
                <a16:creationId xmlns:a16="http://schemas.microsoft.com/office/drawing/2014/main" id="{00000000-0008-0000-0500-000013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4"/>
        <a:stretch>
          <a:fillRect/>
        </a:stretch>
      </xdr:blipFill>
      <xdr:spPr>
        <a:xfrm>
          <a:off x="976999" y="13112772"/>
          <a:ext cx="3334961" cy="1294284"/>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16"/>
        <a:stretch>
          <a:fillRect/>
        </a:stretch>
      </xdr:blipFill>
      <xdr:spPr>
        <a:xfrm>
          <a:off x="4278217" y="12904014"/>
          <a:ext cx="816512" cy="2535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19050</xdr:rowOff>
        </xdr:from>
        <xdr:to>
          <xdr:col>3</xdr:col>
          <xdr:colOff>542925</xdr:colOff>
          <xdr:row>59</xdr:row>
          <xdr:rowOff>76200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5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628650</xdr:colOff>
          <xdr:row>34</xdr:row>
          <xdr:rowOff>161925</xdr:rowOff>
        </xdr:to>
        <xdr:sp macro="" textlink="">
          <xdr:nvSpPr>
            <xdr:cNvPr id="31746" name="Object 2" hidden="1">
              <a:extLst>
                <a:ext uri="{63B3BB69-23CF-44E3-9099-C40C66FF867C}">
                  <a14:compatExt spid="_x0000_s31746"/>
                </a:ext>
                <a:ext uri="{FF2B5EF4-FFF2-40B4-BE49-F238E27FC236}">
                  <a16:creationId xmlns:a16="http://schemas.microsoft.com/office/drawing/2014/main" id="{00000000-0008-0000-0500-000002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6" name="Gráfico 25">
          <a:extLst>
            <a:ext uri="{FF2B5EF4-FFF2-40B4-BE49-F238E27FC236}">
              <a16:creationId xmlns:a16="http://schemas.microsoft.com/office/drawing/2014/main" id="{00000000-0008-0000-0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18" name="Imagen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30" name="Imagen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5" name="Imagen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5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image" Target="../media/image6.emf"/><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easycalculation.com/es/analytical/linear-interpolation.php"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7" sqref="B7"/>
    </sheetView>
  </sheetViews>
  <sheetFormatPr baseColWidth="10" defaultColWidth="11.42578125" defaultRowHeight="16.5" x14ac:dyDescent="0.25"/>
  <cols>
    <col min="1" max="1" width="2.7109375" style="3" customWidth="1"/>
    <col min="2" max="2" width="100.7109375" style="3" customWidth="1"/>
    <col min="3" max="3" width="2.7109375" style="3" customWidth="1"/>
    <col min="4" max="16384" width="11.42578125" style="3"/>
  </cols>
  <sheetData>
    <row r="7" spans="2:2" x14ac:dyDescent="0.25">
      <c r="B7" s="18" t="s">
        <v>205</v>
      </c>
    </row>
    <row r="8" spans="2:2" x14ac:dyDescent="0.25">
      <c r="B8" s="4"/>
    </row>
    <row r="9" spans="2:2" ht="16.5" customHeight="1" x14ac:dyDescent="0.25">
      <c r="B9" s="168" t="s">
        <v>199</v>
      </c>
    </row>
    <row r="10" spans="2:2" x14ac:dyDescent="0.25">
      <c r="B10" s="169"/>
    </row>
    <row r="11" spans="2:2" x14ac:dyDescent="0.25">
      <c r="B11" s="169"/>
    </row>
    <row r="12" spans="2:2" x14ac:dyDescent="0.25">
      <c r="B12" s="169"/>
    </row>
    <row r="13" spans="2:2" x14ac:dyDescent="0.25">
      <c r="B13" s="169"/>
    </row>
    <row r="14" spans="2:2" x14ac:dyDescent="0.25">
      <c r="B14" s="169"/>
    </row>
    <row r="15" spans="2:2" x14ac:dyDescent="0.25">
      <c r="B15" s="169"/>
    </row>
    <row r="16" spans="2:2" x14ac:dyDescent="0.25">
      <c r="B16" s="169"/>
    </row>
    <row r="17" spans="2:2" x14ac:dyDescent="0.25">
      <c r="B17" s="169"/>
    </row>
    <row r="18" spans="2:2" x14ac:dyDescent="0.25">
      <c r="B18" s="169"/>
    </row>
    <row r="19" spans="2:2" x14ac:dyDescent="0.25">
      <c r="B19" s="169"/>
    </row>
    <row r="20" spans="2:2" x14ac:dyDescent="0.25">
      <c r="B20" s="169"/>
    </row>
    <row r="21" spans="2:2" x14ac:dyDescent="0.25">
      <c r="B21" s="169"/>
    </row>
    <row r="22" spans="2:2" x14ac:dyDescent="0.25">
      <c r="B22" s="169"/>
    </row>
    <row r="23" spans="2:2" x14ac:dyDescent="0.25">
      <c r="B23" s="169"/>
    </row>
    <row r="24" spans="2:2" x14ac:dyDescent="0.25">
      <c r="B24" s="169"/>
    </row>
    <row r="25" spans="2:2" x14ac:dyDescent="0.25">
      <c r="B25" s="169"/>
    </row>
    <row r="26" spans="2:2" x14ac:dyDescent="0.25">
      <c r="B26" s="1"/>
    </row>
    <row r="27" spans="2:2" x14ac:dyDescent="0.25">
      <c r="B27" s="1"/>
    </row>
    <row r="28" spans="2:2" x14ac:dyDescent="0.25">
      <c r="B28" s="1"/>
    </row>
    <row r="29" spans="2:2" x14ac:dyDescent="0.25">
      <c r="B29" s="1"/>
    </row>
    <row r="30" spans="2:2" x14ac:dyDescent="0.25">
      <c r="B30" s="1"/>
    </row>
    <row r="31" spans="2:2" x14ac:dyDescent="0.25">
      <c r="B31" s="1"/>
    </row>
    <row r="32" spans="2:2" x14ac:dyDescent="0.25">
      <c r="B32" s="1"/>
    </row>
    <row r="33" spans="2:2" x14ac:dyDescent="0.25">
      <c r="B33" s="1"/>
    </row>
    <row r="34" spans="2:2" x14ac:dyDescent="0.25">
      <c r="B34" s="1"/>
    </row>
    <row r="35" spans="2:2" x14ac:dyDescent="0.25">
      <c r="B35" s="1"/>
    </row>
    <row r="36" spans="2:2" x14ac:dyDescent="0.25">
      <c r="B36" s="1"/>
    </row>
    <row r="37" spans="2:2" x14ac:dyDescent="0.25">
      <c r="B37" s="1"/>
    </row>
    <row r="38" spans="2:2" x14ac:dyDescent="0.25">
      <c r="B38" s="1"/>
    </row>
    <row r="39" spans="2:2" x14ac:dyDescent="0.25">
      <c r="B39" s="1"/>
    </row>
  </sheetData>
  <sheetProtection algorithmName="SHA-512" hashValue="iq5Iy6KnuCkeryPPJKzDUX9dZGqiJcJICM7xC0hyADoFjLxE2vgocFZqfrWu3it29O/ohAQFyd1mT7cOvLeTOQ==" saltValue="YQPGneuySzt+vwwt6UudAA==" spinCount="100000" sheet="1" selectLockedCells="1"/>
  <mergeCells count="1">
    <mergeCell ref="B9:B2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R42"/>
  <sheetViews>
    <sheetView showGridLines="0" showRowColHeaders="0" zoomScaleNormal="100" workbookViewId="0">
      <selection activeCell="D3" sqref="D3:H3"/>
    </sheetView>
  </sheetViews>
  <sheetFormatPr baseColWidth="10" defaultColWidth="11.42578125" defaultRowHeight="16.5" x14ac:dyDescent="0.25"/>
  <cols>
    <col min="1" max="2" width="2.7109375" style="3" customWidth="1"/>
    <col min="3" max="3" width="27.85546875" style="3" customWidth="1"/>
    <col min="4" max="4" width="15.7109375" style="3" customWidth="1"/>
    <col min="5" max="5" width="20.42578125" style="3" customWidth="1"/>
    <col min="6" max="6" width="22.5703125" style="3" customWidth="1"/>
    <col min="7" max="8" width="11.85546875" style="3" customWidth="1"/>
    <col min="9" max="9" width="2.7109375" style="22" customWidth="1"/>
    <col min="10" max="10" width="2.7109375" style="23" customWidth="1"/>
    <col min="11" max="11" width="85.42578125" style="3" customWidth="1"/>
    <col min="12" max="12" width="2.7109375" style="22" customWidth="1"/>
    <col min="13" max="13" width="2.7109375" style="23" customWidth="1"/>
    <col min="14" max="16384" width="11.42578125" style="3"/>
  </cols>
  <sheetData>
    <row r="1" spans="2:8" x14ac:dyDescent="0.25">
      <c r="H1" s="21"/>
    </row>
    <row r="2" spans="2:8" x14ac:dyDescent="0.25">
      <c r="B2" s="7" t="s">
        <v>200</v>
      </c>
      <c r="F2" s="4"/>
      <c r="G2" s="4"/>
      <c r="H2" s="4"/>
    </row>
    <row r="3" spans="2:8" x14ac:dyDescent="0.25">
      <c r="B3" s="170" t="s">
        <v>34</v>
      </c>
      <c r="C3" s="171"/>
      <c r="D3" s="172" t="s">
        <v>54</v>
      </c>
      <c r="E3" s="172"/>
      <c r="F3" s="172"/>
      <c r="G3" s="172"/>
      <c r="H3" s="173"/>
    </row>
    <row r="4" spans="2:8" ht="16.5" customHeight="1" x14ac:dyDescent="0.25">
      <c r="B4" s="175" t="s">
        <v>45</v>
      </c>
      <c r="C4" s="174" t="s">
        <v>37</v>
      </c>
      <c r="D4" s="174"/>
      <c r="E4" s="174" t="s">
        <v>38</v>
      </c>
      <c r="F4" s="174"/>
      <c r="G4" s="49" t="s">
        <v>29</v>
      </c>
      <c r="H4" s="50" t="s">
        <v>30</v>
      </c>
    </row>
    <row r="5" spans="2:8" x14ac:dyDescent="0.25">
      <c r="B5" s="176"/>
      <c r="C5" s="30" t="s">
        <v>35</v>
      </c>
      <c r="D5" s="31">
        <v>392.1</v>
      </c>
      <c r="E5" s="32" t="s">
        <v>174</v>
      </c>
      <c r="F5" s="33">
        <v>209.2</v>
      </c>
      <c r="G5" s="34">
        <v>0</v>
      </c>
      <c r="H5" s="43">
        <f>F17+F6+F9+F14</f>
        <v>103</v>
      </c>
    </row>
    <row r="6" spans="2:8" x14ac:dyDescent="0.25">
      <c r="B6" s="176"/>
      <c r="C6" s="30" t="s">
        <v>36</v>
      </c>
      <c r="D6" s="31">
        <v>15</v>
      </c>
      <c r="E6" s="32" t="s">
        <v>175</v>
      </c>
      <c r="F6" s="33">
        <v>1.1000000000000001</v>
      </c>
      <c r="G6" s="34">
        <f>(F6+F9)*F7</f>
        <v>21</v>
      </c>
      <c r="H6" s="43">
        <f>F17+F14</f>
        <v>101.5</v>
      </c>
    </row>
    <row r="7" spans="2:8" x14ac:dyDescent="0.25">
      <c r="B7" s="176"/>
      <c r="C7" s="30" t="s">
        <v>40</v>
      </c>
      <c r="D7" s="31">
        <v>0.14599999999999999</v>
      </c>
      <c r="E7" s="32" t="s">
        <v>176</v>
      </c>
      <c r="F7" s="33">
        <v>14</v>
      </c>
      <c r="G7" s="34">
        <f>G6+F5</f>
        <v>230.2</v>
      </c>
      <c r="H7" s="43">
        <f>H6</f>
        <v>101.5</v>
      </c>
    </row>
    <row r="8" spans="2:8" x14ac:dyDescent="0.25">
      <c r="B8" s="176"/>
      <c r="C8" s="30" t="s">
        <v>43</v>
      </c>
      <c r="D8" s="31">
        <v>8.9700000000000001E-4</v>
      </c>
      <c r="E8" s="32" t="s">
        <v>177</v>
      </c>
      <c r="F8" s="33">
        <v>14</v>
      </c>
      <c r="G8" s="34">
        <f>G7+(F6+F9)*F8</f>
        <v>251.2</v>
      </c>
      <c r="H8" s="43">
        <f>H7+F6+F9</f>
        <v>103</v>
      </c>
    </row>
    <row r="9" spans="2:8" x14ac:dyDescent="0.25">
      <c r="B9" s="176"/>
      <c r="C9" s="30" t="s">
        <v>41</v>
      </c>
      <c r="D9" s="31">
        <v>35</v>
      </c>
      <c r="E9" s="32" t="s">
        <v>26</v>
      </c>
      <c r="F9" s="33">
        <v>0.4</v>
      </c>
      <c r="G9" s="34"/>
      <c r="H9" s="43"/>
    </row>
    <row r="10" spans="2:8" ht="49.5" x14ac:dyDescent="0.25">
      <c r="B10" s="176"/>
      <c r="C10" s="30" t="s">
        <v>42</v>
      </c>
      <c r="D10" s="31" t="s">
        <v>179</v>
      </c>
      <c r="E10" s="180"/>
      <c r="F10" s="180"/>
      <c r="G10" s="180"/>
      <c r="H10" s="181"/>
    </row>
    <row r="11" spans="2:8" ht="33" x14ac:dyDescent="0.25">
      <c r="B11" s="177"/>
      <c r="C11" s="51" t="s">
        <v>51</v>
      </c>
      <c r="D11" s="52">
        <v>10.8</v>
      </c>
      <c r="E11" s="182"/>
      <c r="F11" s="182"/>
      <c r="G11" s="182"/>
      <c r="H11" s="183"/>
    </row>
    <row r="12" spans="2:8" ht="16.5" customHeight="1" x14ac:dyDescent="0.25">
      <c r="B12" s="175" t="s">
        <v>44</v>
      </c>
      <c r="C12" s="174" t="s">
        <v>37</v>
      </c>
      <c r="D12" s="174"/>
      <c r="E12" s="174" t="s">
        <v>39</v>
      </c>
      <c r="F12" s="174"/>
      <c r="G12" s="49" t="s">
        <v>29</v>
      </c>
      <c r="H12" s="50" t="s">
        <v>30</v>
      </c>
    </row>
    <row r="13" spans="2:8" x14ac:dyDescent="0.25">
      <c r="B13" s="176"/>
      <c r="C13" s="30" t="s">
        <v>35</v>
      </c>
      <c r="D13" s="31">
        <v>130</v>
      </c>
      <c r="E13" s="32" t="s">
        <v>174</v>
      </c>
      <c r="F13" s="33">
        <v>40</v>
      </c>
      <c r="G13" s="35">
        <f>F19</f>
        <v>84.6</v>
      </c>
      <c r="H13" s="44">
        <f>F14+F17</f>
        <v>101.5</v>
      </c>
    </row>
    <row r="14" spans="2:8" x14ac:dyDescent="0.25">
      <c r="B14" s="176"/>
      <c r="C14" s="30" t="s">
        <v>36</v>
      </c>
      <c r="D14" s="31">
        <v>15</v>
      </c>
      <c r="E14" s="32" t="s">
        <v>178</v>
      </c>
      <c r="F14" s="33">
        <v>1.5</v>
      </c>
      <c r="G14" s="35">
        <f>(F15*F14)+F19</f>
        <v>105.6</v>
      </c>
      <c r="H14" s="44">
        <f>F17</f>
        <v>100</v>
      </c>
    </row>
    <row r="15" spans="2:8" x14ac:dyDescent="0.25">
      <c r="B15" s="176"/>
      <c r="C15" s="30" t="s">
        <v>40</v>
      </c>
      <c r="D15" s="31">
        <v>0.14599999999999999</v>
      </c>
      <c r="E15" s="32" t="s">
        <v>176</v>
      </c>
      <c r="F15" s="33">
        <v>14</v>
      </c>
      <c r="G15" s="35">
        <f>G14+F13</f>
        <v>145.6</v>
      </c>
      <c r="H15" s="44">
        <f>F17</f>
        <v>100</v>
      </c>
    </row>
    <row r="16" spans="2:8" x14ac:dyDescent="0.25">
      <c r="B16" s="176"/>
      <c r="C16" s="30" t="s">
        <v>43</v>
      </c>
      <c r="D16" s="31">
        <v>8.9700000000000001E-4</v>
      </c>
      <c r="E16" s="32" t="s">
        <v>177</v>
      </c>
      <c r="F16" s="33">
        <v>14</v>
      </c>
      <c r="G16" s="35">
        <f>G15+(F16*F14)</f>
        <v>166.6</v>
      </c>
      <c r="H16" s="44">
        <f>F17+F14</f>
        <v>101.5</v>
      </c>
    </row>
    <row r="17" spans="2:18" x14ac:dyDescent="0.25">
      <c r="B17" s="176"/>
      <c r="C17" s="30" t="s">
        <v>41</v>
      </c>
      <c r="D17" s="31">
        <v>35</v>
      </c>
      <c r="E17" s="32" t="s">
        <v>25</v>
      </c>
      <c r="F17" s="33">
        <v>100</v>
      </c>
      <c r="G17" s="178" t="s">
        <v>31</v>
      </c>
      <c r="H17" s="179"/>
    </row>
    <row r="18" spans="2:18" s="22" customFormat="1" x14ac:dyDescent="0.25">
      <c r="B18" s="176"/>
      <c r="C18" s="30" t="s">
        <v>42</v>
      </c>
      <c r="D18" s="31">
        <v>1.7999999999999999E-2</v>
      </c>
      <c r="E18" s="30" t="s">
        <v>27</v>
      </c>
      <c r="F18" s="36">
        <f>F14+F6+F9</f>
        <v>3</v>
      </c>
      <c r="G18" s="32" t="s">
        <v>32</v>
      </c>
      <c r="H18" s="45" t="s">
        <v>29</v>
      </c>
      <c r="J18" s="23"/>
      <c r="K18" s="3"/>
      <c r="M18" s="23"/>
      <c r="N18" s="3"/>
      <c r="O18" s="3"/>
      <c r="P18" s="3"/>
      <c r="Q18" s="3"/>
      <c r="R18" s="3"/>
    </row>
    <row r="19" spans="2:18" s="22" customFormat="1" ht="33" x14ac:dyDescent="0.25">
      <c r="B19" s="176"/>
      <c r="C19" s="30" t="s">
        <v>47</v>
      </c>
      <c r="D19" s="37">
        <f>D13+D5</f>
        <v>522.1</v>
      </c>
      <c r="E19" s="30" t="s">
        <v>28</v>
      </c>
      <c r="F19" s="36">
        <f>(G8/2)-(((F14*F15+F16*F14)+F13)/2)</f>
        <v>84.6</v>
      </c>
      <c r="G19" s="32" t="s">
        <v>33</v>
      </c>
      <c r="H19" s="45" t="s">
        <v>30</v>
      </c>
      <c r="J19" s="23"/>
      <c r="K19" s="3"/>
      <c r="M19" s="23"/>
      <c r="N19" s="3"/>
      <c r="O19" s="3"/>
      <c r="P19" s="3"/>
      <c r="Q19" s="3"/>
      <c r="R19" s="3"/>
    </row>
    <row r="20" spans="2:18" s="22" customFormat="1" ht="33" x14ac:dyDescent="0.25">
      <c r="B20" s="177"/>
      <c r="C20" s="51" t="s">
        <v>51</v>
      </c>
      <c r="D20" s="52">
        <v>13.8</v>
      </c>
      <c r="E20" s="184"/>
      <c r="F20" s="184"/>
      <c r="G20" s="184"/>
      <c r="H20" s="185"/>
      <c r="J20" s="23"/>
      <c r="K20" s="3"/>
      <c r="M20" s="23"/>
      <c r="N20" s="3"/>
      <c r="O20" s="3"/>
      <c r="P20" s="3"/>
      <c r="Q20" s="3"/>
      <c r="R20" s="3"/>
    </row>
    <row r="21" spans="2:18" ht="16.5" customHeight="1" x14ac:dyDescent="0.25">
      <c r="B21" s="186" t="s">
        <v>180</v>
      </c>
      <c r="C21" s="54" t="s">
        <v>181</v>
      </c>
      <c r="D21" s="54" t="s">
        <v>30</v>
      </c>
      <c r="E21" s="191" t="s">
        <v>184</v>
      </c>
      <c r="F21" s="191"/>
      <c r="G21" s="191"/>
      <c r="H21" s="192"/>
    </row>
    <row r="22" spans="2:18" x14ac:dyDescent="0.25">
      <c r="B22" s="176"/>
      <c r="C22" s="35">
        <f>G5</f>
        <v>0</v>
      </c>
      <c r="D22" s="35">
        <f>H5</f>
        <v>103</v>
      </c>
      <c r="E22" s="187" t="s">
        <v>50</v>
      </c>
      <c r="F22" s="187"/>
      <c r="G22" s="187"/>
      <c r="H22" s="188"/>
    </row>
    <row r="23" spans="2:18" x14ac:dyDescent="0.25">
      <c r="B23" s="176"/>
      <c r="C23" s="35">
        <f>G6</f>
        <v>21</v>
      </c>
      <c r="D23" s="35">
        <f>H6</f>
        <v>101.5</v>
      </c>
      <c r="E23" s="187"/>
      <c r="F23" s="187"/>
      <c r="G23" s="187"/>
      <c r="H23" s="188"/>
    </row>
    <row r="24" spans="2:18" x14ac:dyDescent="0.25">
      <c r="B24" s="176"/>
      <c r="C24" s="35">
        <f t="shared" ref="C24:D27" si="0">G13</f>
        <v>84.6</v>
      </c>
      <c r="D24" s="35">
        <f t="shared" si="0"/>
        <v>101.5</v>
      </c>
      <c r="E24" s="187"/>
      <c r="F24" s="187"/>
      <c r="G24" s="187"/>
      <c r="H24" s="188"/>
    </row>
    <row r="25" spans="2:18" x14ac:dyDescent="0.25">
      <c r="B25" s="176"/>
      <c r="C25" s="35">
        <f t="shared" si="0"/>
        <v>105.6</v>
      </c>
      <c r="D25" s="35">
        <f t="shared" si="0"/>
        <v>100</v>
      </c>
      <c r="E25" s="187"/>
      <c r="F25" s="187"/>
      <c r="G25" s="187"/>
      <c r="H25" s="188"/>
    </row>
    <row r="26" spans="2:18" x14ac:dyDescent="0.25">
      <c r="B26" s="176"/>
      <c r="C26" s="35">
        <f t="shared" si="0"/>
        <v>145.6</v>
      </c>
      <c r="D26" s="35">
        <f t="shared" si="0"/>
        <v>100</v>
      </c>
      <c r="E26" s="187"/>
      <c r="F26" s="187"/>
      <c r="G26" s="187"/>
      <c r="H26" s="188"/>
    </row>
    <row r="27" spans="2:18" x14ac:dyDescent="0.25">
      <c r="B27" s="176"/>
      <c r="C27" s="35">
        <f t="shared" si="0"/>
        <v>166.6</v>
      </c>
      <c r="D27" s="35">
        <f t="shared" si="0"/>
        <v>101.5</v>
      </c>
      <c r="E27" s="187"/>
      <c r="F27" s="187"/>
      <c r="G27" s="187"/>
      <c r="H27" s="188"/>
    </row>
    <row r="28" spans="2:18" x14ac:dyDescent="0.25">
      <c r="B28" s="176"/>
      <c r="C28" s="35">
        <f>G7</f>
        <v>230.2</v>
      </c>
      <c r="D28" s="35">
        <f>H7</f>
        <v>101.5</v>
      </c>
      <c r="E28" s="187"/>
      <c r="F28" s="187"/>
      <c r="G28" s="187"/>
      <c r="H28" s="188"/>
    </row>
    <row r="29" spans="2:18" x14ac:dyDescent="0.25">
      <c r="B29" s="176"/>
      <c r="C29" s="35">
        <f>G8</f>
        <v>251.2</v>
      </c>
      <c r="D29" s="35">
        <f>H8</f>
        <v>103</v>
      </c>
      <c r="E29" s="187"/>
      <c r="F29" s="187"/>
      <c r="G29" s="187"/>
      <c r="H29" s="188"/>
    </row>
    <row r="30" spans="2:18" ht="16.5" customHeight="1" x14ac:dyDescent="0.25">
      <c r="B30" s="176"/>
      <c r="C30" s="38" t="s">
        <v>182</v>
      </c>
      <c r="D30" s="38" t="s">
        <v>30</v>
      </c>
      <c r="E30" s="193" t="s">
        <v>185</v>
      </c>
      <c r="F30" s="193"/>
      <c r="G30" s="193"/>
      <c r="H30" s="194"/>
    </row>
    <row r="31" spans="2:18" x14ac:dyDescent="0.25">
      <c r="B31" s="176"/>
      <c r="C31" s="35">
        <f>C22</f>
        <v>0</v>
      </c>
      <c r="D31" s="35">
        <f t="shared" ref="D31:D38" si="1">D22-$F$32</f>
        <v>102.10299999999999</v>
      </c>
      <c r="E31" s="32" t="s">
        <v>187</v>
      </c>
      <c r="F31" s="39">
        <v>1000</v>
      </c>
      <c r="G31" s="40"/>
      <c r="H31" s="46"/>
    </row>
    <row r="32" spans="2:18" ht="16.5" customHeight="1" x14ac:dyDescent="0.25">
      <c r="B32" s="176"/>
      <c r="C32" s="35">
        <f t="shared" ref="C32:C38" si="2">C23</f>
        <v>21</v>
      </c>
      <c r="D32" s="35">
        <f t="shared" si="1"/>
        <v>100.60299999999999</v>
      </c>
      <c r="E32" s="32" t="s">
        <v>186</v>
      </c>
      <c r="F32" s="36">
        <f>F31*D8</f>
        <v>0.89700000000000002</v>
      </c>
      <c r="G32" s="41"/>
      <c r="H32" s="47"/>
    </row>
    <row r="33" spans="2:8" x14ac:dyDescent="0.25">
      <c r="B33" s="176"/>
      <c r="C33" s="35">
        <f t="shared" si="2"/>
        <v>84.6</v>
      </c>
      <c r="D33" s="35">
        <f t="shared" si="1"/>
        <v>100.60299999999999</v>
      </c>
      <c r="E33" s="187" t="s">
        <v>50</v>
      </c>
      <c r="F33" s="187"/>
      <c r="G33" s="187"/>
      <c r="H33" s="188"/>
    </row>
    <row r="34" spans="2:8" x14ac:dyDescent="0.25">
      <c r="B34" s="176"/>
      <c r="C34" s="35">
        <f t="shared" si="2"/>
        <v>105.6</v>
      </c>
      <c r="D34" s="35">
        <f t="shared" si="1"/>
        <v>99.102999999999994</v>
      </c>
      <c r="E34" s="187"/>
      <c r="F34" s="187"/>
      <c r="G34" s="187"/>
      <c r="H34" s="188"/>
    </row>
    <row r="35" spans="2:8" x14ac:dyDescent="0.25">
      <c r="B35" s="176"/>
      <c r="C35" s="35">
        <f t="shared" si="2"/>
        <v>145.6</v>
      </c>
      <c r="D35" s="35">
        <f t="shared" si="1"/>
        <v>99.102999999999994</v>
      </c>
      <c r="E35" s="187"/>
      <c r="F35" s="187"/>
      <c r="G35" s="187"/>
      <c r="H35" s="188"/>
    </row>
    <row r="36" spans="2:8" x14ac:dyDescent="0.25">
      <c r="B36" s="176"/>
      <c r="C36" s="35">
        <f t="shared" si="2"/>
        <v>166.6</v>
      </c>
      <c r="D36" s="35">
        <f t="shared" si="1"/>
        <v>100.60299999999999</v>
      </c>
      <c r="E36" s="187"/>
      <c r="F36" s="187"/>
      <c r="G36" s="187"/>
      <c r="H36" s="188"/>
    </row>
    <row r="37" spans="2:8" x14ac:dyDescent="0.25">
      <c r="B37" s="176"/>
      <c r="C37" s="35">
        <f t="shared" si="2"/>
        <v>230.2</v>
      </c>
      <c r="D37" s="35">
        <f t="shared" si="1"/>
        <v>100.60299999999999</v>
      </c>
      <c r="E37" s="187"/>
      <c r="F37" s="187"/>
      <c r="G37" s="187"/>
      <c r="H37" s="188"/>
    </row>
    <row r="38" spans="2:8" x14ac:dyDescent="0.25">
      <c r="B38" s="177"/>
      <c r="C38" s="48">
        <f t="shared" si="2"/>
        <v>251.2</v>
      </c>
      <c r="D38" s="48">
        <f t="shared" si="1"/>
        <v>102.10299999999999</v>
      </c>
      <c r="E38" s="189"/>
      <c r="F38" s="189"/>
      <c r="G38" s="189"/>
      <c r="H38" s="190"/>
    </row>
    <row r="39" spans="2:8" x14ac:dyDescent="0.25">
      <c r="B39" s="168" t="s">
        <v>201</v>
      </c>
      <c r="C39" s="169"/>
      <c r="D39" s="169"/>
      <c r="E39" s="169"/>
      <c r="F39" s="169"/>
      <c r="G39" s="169"/>
      <c r="H39" s="169"/>
    </row>
    <row r="40" spans="2:8" x14ac:dyDescent="0.25">
      <c r="B40" s="169"/>
      <c r="C40" s="169"/>
      <c r="D40" s="169"/>
      <c r="E40" s="169"/>
      <c r="F40" s="169"/>
      <c r="G40" s="169"/>
      <c r="H40" s="169"/>
    </row>
    <row r="41" spans="2:8" x14ac:dyDescent="0.25">
      <c r="B41" s="169"/>
      <c r="C41" s="169"/>
      <c r="D41" s="169"/>
      <c r="E41" s="169"/>
      <c r="F41" s="169"/>
      <c r="G41" s="169"/>
      <c r="H41" s="169"/>
    </row>
    <row r="42" spans="2:8" x14ac:dyDescent="0.25">
      <c r="B42" s="169"/>
      <c r="C42" s="169"/>
      <c r="D42" s="169"/>
      <c r="E42" s="169"/>
      <c r="F42" s="169"/>
      <c r="G42" s="169"/>
      <c r="H42" s="169"/>
    </row>
  </sheetData>
  <sheetProtection algorithmName="SHA-512" hashValue="O6N+grvZk/ehCqTqtS3HL5JKzl4HxFWqmItNAh6OuX2mMCGYJhm72uwjL2ojHK1tECwJhPwQ85fW2YBzFGcCZg==" saltValue="3tj/jqhrEQZB3KNDz9lVcQ==" spinCount="100000" sheet="1" objects="1" scenarios="1"/>
  <mergeCells count="17">
    <mergeCell ref="B21:B38"/>
    <mergeCell ref="E33:H38"/>
    <mergeCell ref="B39:H42"/>
    <mergeCell ref="E21:H21"/>
    <mergeCell ref="E22:H29"/>
    <mergeCell ref="E30:H30"/>
    <mergeCell ref="B3:C3"/>
    <mergeCell ref="D3:H3"/>
    <mergeCell ref="C12:D12"/>
    <mergeCell ref="E12:F12"/>
    <mergeCell ref="E4:F4"/>
    <mergeCell ref="B4:B11"/>
    <mergeCell ref="B12:B20"/>
    <mergeCell ref="C4:D4"/>
    <mergeCell ref="G17:H17"/>
    <mergeCell ref="E10:H11"/>
    <mergeCell ref="E20:H20"/>
  </mergeCell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F977-02D2-43C0-B4AA-82A39F80ACE1}">
  <sheetPr codeName="Hoja30"/>
  <dimension ref="B1:R42"/>
  <sheetViews>
    <sheetView showGridLines="0" showRowColHeaders="0" zoomScale="115" zoomScaleNormal="115" workbookViewId="0"/>
  </sheetViews>
  <sheetFormatPr baseColWidth="10" defaultColWidth="11.42578125" defaultRowHeight="16.5" x14ac:dyDescent="0.25"/>
  <cols>
    <col min="1" max="2" width="2.7109375" style="3" customWidth="1"/>
    <col min="3" max="3" width="27.85546875" style="3" customWidth="1"/>
    <col min="4" max="4" width="15.7109375" style="3" customWidth="1"/>
    <col min="5" max="5" width="20.42578125" style="3" customWidth="1"/>
    <col min="6" max="6" width="22.5703125" style="3" customWidth="1"/>
    <col min="7" max="8" width="11.85546875" style="3" customWidth="1"/>
    <col min="9" max="9" width="2.7109375" style="22" customWidth="1"/>
    <col min="10" max="10" width="2.7109375" style="23" customWidth="1"/>
    <col min="11" max="11" width="85.42578125" style="3" customWidth="1"/>
    <col min="12" max="12" width="2.7109375" style="22" customWidth="1"/>
    <col min="13" max="13" width="2.7109375" style="23" customWidth="1"/>
    <col min="14" max="16384" width="11.42578125" style="3"/>
  </cols>
  <sheetData>
    <row r="1" spans="2:8" x14ac:dyDescent="0.25">
      <c r="H1" s="21"/>
    </row>
    <row r="2" spans="2:8" x14ac:dyDescent="0.25">
      <c r="B2" s="7" t="s">
        <v>200</v>
      </c>
      <c r="F2" s="4"/>
      <c r="G2" s="4"/>
      <c r="H2" s="4"/>
    </row>
    <row r="3" spans="2:8" x14ac:dyDescent="0.25">
      <c r="B3" s="170" t="s">
        <v>34</v>
      </c>
      <c r="C3" s="171"/>
      <c r="D3" s="172" t="s">
        <v>55</v>
      </c>
      <c r="E3" s="172"/>
      <c r="F3" s="172"/>
      <c r="G3" s="172"/>
      <c r="H3" s="173"/>
    </row>
    <row r="4" spans="2:8" x14ac:dyDescent="0.25">
      <c r="B4" s="175" t="s">
        <v>45</v>
      </c>
      <c r="C4" s="174" t="s">
        <v>37</v>
      </c>
      <c r="D4" s="174"/>
      <c r="E4" s="174" t="s">
        <v>38</v>
      </c>
      <c r="F4" s="174"/>
      <c r="G4" s="49" t="s">
        <v>29</v>
      </c>
      <c r="H4" s="50" t="s">
        <v>30</v>
      </c>
    </row>
    <row r="5" spans="2:8" x14ac:dyDescent="0.25">
      <c r="B5" s="176"/>
      <c r="C5" s="30" t="s">
        <v>35</v>
      </c>
      <c r="D5" s="31">
        <v>0</v>
      </c>
      <c r="E5" s="32" t="s">
        <v>174</v>
      </c>
      <c r="F5" s="33">
        <v>0</v>
      </c>
      <c r="G5" s="34">
        <v>0</v>
      </c>
      <c r="H5" s="43">
        <f>F17+F6+F9+F14</f>
        <v>103</v>
      </c>
    </row>
    <row r="6" spans="2:8" x14ac:dyDescent="0.25">
      <c r="B6" s="176"/>
      <c r="C6" s="30" t="s">
        <v>36</v>
      </c>
      <c r="D6" s="31" t="s">
        <v>48</v>
      </c>
      <c r="E6" s="32" t="s">
        <v>175</v>
      </c>
      <c r="F6" s="33">
        <v>0</v>
      </c>
      <c r="G6" s="34">
        <f>(F6+F9)*F7</f>
        <v>0</v>
      </c>
      <c r="H6" s="43">
        <f>F17+F14</f>
        <v>103</v>
      </c>
    </row>
    <row r="7" spans="2:8" x14ac:dyDescent="0.25">
      <c r="B7" s="176"/>
      <c r="C7" s="30" t="s">
        <v>40</v>
      </c>
      <c r="D7" s="31" t="s">
        <v>48</v>
      </c>
      <c r="E7" s="32" t="s">
        <v>176</v>
      </c>
      <c r="F7" s="33">
        <v>0</v>
      </c>
      <c r="G7" s="34">
        <f>G6+F5</f>
        <v>0</v>
      </c>
      <c r="H7" s="43">
        <f>H6</f>
        <v>103</v>
      </c>
    </row>
    <row r="8" spans="2:8" x14ac:dyDescent="0.25">
      <c r="B8" s="176"/>
      <c r="C8" s="30" t="s">
        <v>43</v>
      </c>
      <c r="D8" s="31" t="s">
        <v>48</v>
      </c>
      <c r="E8" s="32" t="s">
        <v>177</v>
      </c>
      <c r="F8" s="33">
        <v>0</v>
      </c>
      <c r="G8" s="34">
        <f>G7+(F6+F9)*F8</f>
        <v>0</v>
      </c>
      <c r="H8" s="43">
        <f>H7+F6+F9</f>
        <v>103</v>
      </c>
    </row>
    <row r="9" spans="2:8" x14ac:dyDescent="0.25">
      <c r="B9" s="176"/>
      <c r="C9" s="30" t="s">
        <v>41</v>
      </c>
      <c r="D9" s="31" t="s">
        <v>48</v>
      </c>
      <c r="E9" s="32" t="s">
        <v>26</v>
      </c>
      <c r="F9" s="33">
        <v>0</v>
      </c>
      <c r="G9" s="34"/>
      <c r="H9" s="43"/>
    </row>
    <row r="10" spans="2:8" x14ac:dyDescent="0.25">
      <c r="B10" s="176"/>
      <c r="C10" s="30" t="s">
        <v>42</v>
      </c>
      <c r="D10" s="31" t="s">
        <v>48</v>
      </c>
      <c r="E10" s="180"/>
      <c r="F10" s="180"/>
      <c r="G10" s="180"/>
      <c r="H10" s="181"/>
    </row>
    <row r="11" spans="2:8" ht="33" x14ac:dyDescent="0.25">
      <c r="B11" s="177"/>
      <c r="C11" s="51" t="s">
        <v>51</v>
      </c>
      <c r="D11" s="52" t="s">
        <v>48</v>
      </c>
      <c r="E11" s="182"/>
      <c r="F11" s="182"/>
      <c r="G11" s="182"/>
      <c r="H11" s="183"/>
    </row>
    <row r="12" spans="2:8" x14ac:dyDescent="0.25">
      <c r="B12" s="175" t="s">
        <v>44</v>
      </c>
      <c r="C12" s="174" t="s">
        <v>37</v>
      </c>
      <c r="D12" s="174"/>
      <c r="E12" s="174" t="s">
        <v>39</v>
      </c>
      <c r="F12" s="174"/>
      <c r="G12" s="49" t="s">
        <v>29</v>
      </c>
      <c r="H12" s="50" t="s">
        <v>30</v>
      </c>
    </row>
    <row r="13" spans="2:8" x14ac:dyDescent="0.25">
      <c r="B13" s="176"/>
      <c r="C13" s="30" t="s">
        <v>35</v>
      </c>
      <c r="D13" s="31">
        <v>93.3</v>
      </c>
      <c r="E13" s="32" t="s">
        <v>174</v>
      </c>
      <c r="F13" s="33">
        <v>7.24</v>
      </c>
      <c r="G13" s="35">
        <f>F19</f>
        <v>-33.619999999999997</v>
      </c>
      <c r="H13" s="44">
        <f>F14+F17</f>
        <v>103</v>
      </c>
    </row>
    <row r="14" spans="2:8" x14ac:dyDescent="0.25">
      <c r="B14" s="176"/>
      <c r="C14" s="30" t="s">
        <v>36</v>
      </c>
      <c r="D14" s="31">
        <v>15</v>
      </c>
      <c r="E14" s="32" t="s">
        <v>178</v>
      </c>
      <c r="F14" s="33">
        <v>3</v>
      </c>
      <c r="G14" s="35">
        <f>(F15*F14)+F19</f>
        <v>-3.6199999999999974</v>
      </c>
      <c r="H14" s="44">
        <f>F17</f>
        <v>100</v>
      </c>
    </row>
    <row r="15" spans="2:8" x14ac:dyDescent="0.25">
      <c r="B15" s="176"/>
      <c r="C15" s="30" t="s">
        <v>40</v>
      </c>
      <c r="D15" s="31">
        <v>0.14599999999999999</v>
      </c>
      <c r="E15" s="32" t="s">
        <v>176</v>
      </c>
      <c r="F15" s="33">
        <v>10</v>
      </c>
      <c r="G15" s="35">
        <f>G14+F13</f>
        <v>3.6200000000000028</v>
      </c>
      <c r="H15" s="44">
        <f>F17</f>
        <v>100</v>
      </c>
    </row>
    <row r="16" spans="2:8" x14ac:dyDescent="0.25">
      <c r="B16" s="176"/>
      <c r="C16" s="30" t="s">
        <v>43</v>
      </c>
      <c r="D16" s="31">
        <v>1.2899999999999999E-3</v>
      </c>
      <c r="E16" s="32" t="s">
        <v>177</v>
      </c>
      <c r="F16" s="33">
        <v>10</v>
      </c>
      <c r="G16" s="35">
        <f>G15+(F16*F14)</f>
        <v>33.620000000000005</v>
      </c>
      <c r="H16" s="44">
        <f>F17+F14</f>
        <v>103</v>
      </c>
    </row>
    <row r="17" spans="2:18" x14ac:dyDescent="0.25">
      <c r="B17" s="176"/>
      <c r="C17" s="30" t="s">
        <v>41</v>
      </c>
      <c r="D17" s="31">
        <v>35</v>
      </c>
      <c r="E17" s="32" t="s">
        <v>25</v>
      </c>
      <c r="F17" s="33">
        <v>100</v>
      </c>
      <c r="G17" s="178" t="s">
        <v>31</v>
      </c>
      <c r="H17" s="179"/>
    </row>
    <row r="18" spans="2:18" s="22" customFormat="1" ht="49.5" x14ac:dyDescent="0.25">
      <c r="B18" s="176"/>
      <c r="C18" s="30" t="s">
        <v>42</v>
      </c>
      <c r="D18" s="31" t="s">
        <v>179</v>
      </c>
      <c r="E18" s="30" t="s">
        <v>27</v>
      </c>
      <c r="F18" s="36">
        <f>F14+F6+F9</f>
        <v>3</v>
      </c>
      <c r="G18" s="32" t="s">
        <v>32</v>
      </c>
      <c r="H18" s="45" t="s">
        <v>29</v>
      </c>
      <c r="J18" s="23"/>
      <c r="K18" s="3"/>
      <c r="M18" s="23"/>
      <c r="N18" s="3"/>
      <c r="O18" s="3"/>
      <c r="P18" s="3"/>
      <c r="Q18" s="3"/>
      <c r="R18" s="3"/>
    </row>
    <row r="19" spans="2:18" s="22" customFormat="1" ht="33" x14ac:dyDescent="0.25">
      <c r="B19" s="176"/>
      <c r="C19" s="30" t="s">
        <v>47</v>
      </c>
      <c r="D19" s="37">
        <f>D13+D5</f>
        <v>93.3</v>
      </c>
      <c r="E19" s="30" t="s">
        <v>28</v>
      </c>
      <c r="F19" s="36">
        <f>(G8/2)-(((F14*F15+F16*F14)+F13)/2)</f>
        <v>-33.619999999999997</v>
      </c>
      <c r="G19" s="32" t="s">
        <v>33</v>
      </c>
      <c r="H19" s="45" t="s">
        <v>30</v>
      </c>
      <c r="J19" s="23"/>
      <c r="K19" s="3"/>
      <c r="M19" s="23"/>
      <c r="N19" s="3"/>
      <c r="O19" s="3"/>
      <c r="P19" s="3"/>
      <c r="Q19" s="3"/>
      <c r="R19" s="3"/>
    </row>
    <row r="20" spans="2:18" s="22" customFormat="1" ht="33" x14ac:dyDescent="0.25">
      <c r="B20" s="177"/>
      <c r="C20" s="51" t="s">
        <v>51</v>
      </c>
      <c r="D20" s="52">
        <v>13.8</v>
      </c>
      <c r="E20" s="184"/>
      <c r="F20" s="184"/>
      <c r="G20" s="184"/>
      <c r="H20" s="185"/>
      <c r="J20" s="23"/>
      <c r="K20" s="3"/>
      <c r="M20" s="23"/>
      <c r="N20" s="3"/>
      <c r="O20" s="3"/>
      <c r="P20" s="3"/>
      <c r="Q20" s="3"/>
      <c r="R20" s="3"/>
    </row>
    <row r="21" spans="2:18" x14ac:dyDescent="0.25">
      <c r="B21" s="197" t="s">
        <v>183</v>
      </c>
      <c r="C21" s="53" t="s">
        <v>29</v>
      </c>
      <c r="D21" s="53" t="s">
        <v>30</v>
      </c>
      <c r="E21" s="195" t="s">
        <v>46</v>
      </c>
      <c r="F21" s="195"/>
      <c r="G21" s="195"/>
      <c r="H21" s="196"/>
    </row>
    <row r="22" spans="2:18" x14ac:dyDescent="0.25">
      <c r="B22" s="176"/>
      <c r="C22" s="34">
        <f>G5</f>
        <v>0</v>
      </c>
      <c r="D22" s="35">
        <f>H5</f>
        <v>103</v>
      </c>
      <c r="E22" s="187" t="s">
        <v>49</v>
      </c>
      <c r="F22" s="187"/>
      <c r="G22" s="187"/>
      <c r="H22" s="188"/>
    </row>
    <row r="23" spans="2:18" x14ac:dyDescent="0.25">
      <c r="B23" s="176"/>
      <c r="C23" s="34">
        <f>G6</f>
        <v>0</v>
      </c>
      <c r="D23" s="35">
        <f>H6</f>
        <v>103</v>
      </c>
      <c r="E23" s="187"/>
      <c r="F23" s="187"/>
      <c r="G23" s="187"/>
      <c r="H23" s="188"/>
    </row>
    <row r="24" spans="2:18" x14ac:dyDescent="0.25">
      <c r="B24" s="176"/>
      <c r="C24" s="55">
        <f t="shared" ref="C24:D27" si="0">G13</f>
        <v>-33.619999999999997</v>
      </c>
      <c r="D24" s="35">
        <f t="shared" si="0"/>
        <v>103</v>
      </c>
      <c r="E24" s="187"/>
      <c r="F24" s="187"/>
      <c r="G24" s="187"/>
      <c r="H24" s="188"/>
    </row>
    <row r="25" spans="2:18" x14ac:dyDescent="0.25">
      <c r="B25" s="176"/>
      <c r="C25" s="55">
        <f t="shared" si="0"/>
        <v>-3.6199999999999974</v>
      </c>
      <c r="D25" s="35">
        <f t="shared" si="0"/>
        <v>100</v>
      </c>
      <c r="E25" s="187"/>
      <c r="F25" s="187"/>
      <c r="G25" s="187"/>
      <c r="H25" s="188"/>
    </row>
    <row r="26" spans="2:18" x14ac:dyDescent="0.25">
      <c r="B26" s="176"/>
      <c r="C26" s="55">
        <f t="shared" si="0"/>
        <v>3.6200000000000028</v>
      </c>
      <c r="D26" s="35">
        <f t="shared" si="0"/>
        <v>100</v>
      </c>
      <c r="E26" s="187"/>
      <c r="F26" s="187"/>
      <c r="G26" s="187"/>
      <c r="H26" s="188"/>
    </row>
    <row r="27" spans="2:18" x14ac:dyDescent="0.25">
      <c r="B27" s="176"/>
      <c r="C27" s="55">
        <f t="shared" si="0"/>
        <v>33.620000000000005</v>
      </c>
      <c r="D27" s="35">
        <f t="shared" si="0"/>
        <v>103</v>
      </c>
      <c r="E27" s="187"/>
      <c r="F27" s="187"/>
      <c r="G27" s="187"/>
      <c r="H27" s="188"/>
    </row>
    <row r="28" spans="2:18" x14ac:dyDescent="0.25">
      <c r="B28" s="176"/>
      <c r="C28" s="34">
        <f>G7</f>
        <v>0</v>
      </c>
      <c r="D28" s="35">
        <f>H7</f>
        <v>103</v>
      </c>
      <c r="E28" s="187"/>
      <c r="F28" s="187"/>
      <c r="G28" s="187"/>
      <c r="H28" s="188"/>
    </row>
    <row r="29" spans="2:18" x14ac:dyDescent="0.25">
      <c r="B29" s="176"/>
      <c r="C29" s="34">
        <f>G8</f>
        <v>0</v>
      </c>
      <c r="D29" s="35">
        <f>H8</f>
        <v>103</v>
      </c>
      <c r="E29" s="187"/>
      <c r="F29" s="187"/>
      <c r="G29" s="187"/>
      <c r="H29" s="188"/>
    </row>
    <row r="30" spans="2:18" x14ac:dyDescent="0.25">
      <c r="B30" s="176"/>
      <c r="C30" s="38" t="s">
        <v>182</v>
      </c>
      <c r="D30" s="38" t="s">
        <v>30</v>
      </c>
      <c r="E30" s="193" t="s">
        <v>185</v>
      </c>
      <c r="F30" s="193"/>
      <c r="G30" s="193"/>
      <c r="H30" s="194"/>
    </row>
    <row r="31" spans="2:18" x14ac:dyDescent="0.25">
      <c r="B31" s="176"/>
      <c r="C31" s="35">
        <f>C22</f>
        <v>0</v>
      </c>
      <c r="D31" s="35">
        <f t="shared" ref="D31:D38" si="1">D22-$F$32</f>
        <v>101.71</v>
      </c>
      <c r="E31" s="32" t="s">
        <v>187</v>
      </c>
      <c r="F31" s="39">
        <v>1000</v>
      </c>
      <c r="G31" s="40"/>
      <c r="H31" s="46"/>
    </row>
    <row r="32" spans="2:18" x14ac:dyDescent="0.25">
      <c r="B32" s="176"/>
      <c r="C32" s="35">
        <f>C23</f>
        <v>0</v>
      </c>
      <c r="D32" s="35">
        <f t="shared" si="1"/>
        <v>101.71</v>
      </c>
      <c r="E32" s="32" t="s">
        <v>186</v>
      </c>
      <c r="F32" s="36">
        <f>F31*D16</f>
        <v>1.2899999999999998</v>
      </c>
      <c r="G32" s="41"/>
      <c r="H32" s="47"/>
    </row>
    <row r="33" spans="2:8" ht="16.5" customHeight="1" x14ac:dyDescent="0.25">
      <c r="B33" s="176"/>
      <c r="C33" s="35">
        <f>C24</f>
        <v>-33.619999999999997</v>
      </c>
      <c r="D33" s="35">
        <f t="shared" si="1"/>
        <v>101.71</v>
      </c>
      <c r="E33" s="187" t="s">
        <v>50</v>
      </c>
      <c r="F33" s="187"/>
      <c r="G33" s="187"/>
      <c r="H33" s="188"/>
    </row>
    <row r="34" spans="2:8" x14ac:dyDescent="0.25">
      <c r="B34" s="176"/>
      <c r="C34" s="35">
        <f t="shared" ref="C34:C38" si="2">C25</f>
        <v>-3.6199999999999974</v>
      </c>
      <c r="D34" s="35">
        <f t="shared" si="1"/>
        <v>98.71</v>
      </c>
      <c r="E34" s="187"/>
      <c r="F34" s="187"/>
      <c r="G34" s="187"/>
      <c r="H34" s="188"/>
    </row>
    <row r="35" spans="2:8" x14ac:dyDescent="0.25">
      <c r="B35" s="176"/>
      <c r="C35" s="35">
        <f t="shared" si="2"/>
        <v>3.6200000000000028</v>
      </c>
      <c r="D35" s="35">
        <f t="shared" si="1"/>
        <v>98.71</v>
      </c>
      <c r="E35" s="187"/>
      <c r="F35" s="187"/>
      <c r="G35" s="187"/>
      <c r="H35" s="188"/>
    </row>
    <row r="36" spans="2:8" x14ac:dyDescent="0.25">
      <c r="B36" s="176"/>
      <c r="C36" s="35">
        <f t="shared" si="2"/>
        <v>33.620000000000005</v>
      </c>
      <c r="D36" s="35">
        <f t="shared" si="1"/>
        <v>101.71</v>
      </c>
      <c r="E36" s="187"/>
      <c r="F36" s="187"/>
      <c r="G36" s="187"/>
      <c r="H36" s="188"/>
    </row>
    <row r="37" spans="2:8" x14ac:dyDescent="0.25">
      <c r="B37" s="176"/>
      <c r="C37" s="35">
        <f t="shared" si="2"/>
        <v>0</v>
      </c>
      <c r="D37" s="35">
        <f t="shared" si="1"/>
        <v>101.71</v>
      </c>
      <c r="E37" s="187"/>
      <c r="F37" s="187"/>
      <c r="G37" s="187"/>
      <c r="H37" s="188"/>
    </row>
    <row r="38" spans="2:8" x14ac:dyDescent="0.25">
      <c r="B38" s="177"/>
      <c r="C38" s="48">
        <f t="shared" si="2"/>
        <v>0</v>
      </c>
      <c r="D38" s="48">
        <f t="shared" si="1"/>
        <v>101.71</v>
      </c>
      <c r="E38" s="189"/>
      <c r="F38" s="189"/>
      <c r="G38" s="189"/>
      <c r="H38" s="190"/>
    </row>
    <row r="39" spans="2:8" ht="16.5" customHeight="1" x14ac:dyDescent="0.25">
      <c r="B39" s="168" t="s">
        <v>201</v>
      </c>
      <c r="C39" s="169"/>
      <c r="D39" s="169"/>
      <c r="E39" s="169"/>
      <c r="F39" s="169"/>
      <c r="G39" s="169"/>
      <c r="H39" s="169"/>
    </row>
    <row r="40" spans="2:8" x14ac:dyDescent="0.25">
      <c r="B40" s="169"/>
      <c r="C40" s="169"/>
      <c r="D40" s="169"/>
      <c r="E40" s="169"/>
      <c r="F40" s="169"/>
      <c r="G40" s="169"/>
      <c r="H40" s="169"/>
    </row>
    <row r="41" spans="2:8" x14ac:dyDescent="0.25">
      <c r="B41" s="169"/>
      <c r="C41" s="169"/>
      <c r="D41" s="169"/>
      <c r="E41" s="169"/>
      <c r="F41" s="169"/>
      <c r="G41" s="169"/>
      <c r="H41" s="169"/>
    </row>
    <row r="42" spans="2:8" x14ac:dyDescent="0.25">
      <c r="B42" s="169"/>
      <c r="C42" s="169"/>
      <c r="D42" s="169"/>
      <c r="E42" s="169"/>
      <c r="F42" s="169"/>
      <c r="G42" s="169"/>
      <c r="H42" s="169"/>
    </row>
  </sheetData>
  <sheetProtection algorithmName="SHA-512" hashValue="OhCyHk6Ko0hF5UtPYi+kOwGyWr7sW3PDjRcp+fVKEPhVZq1/b7a5/PDMphPGCa3J2wvQzYGgskGWucJMao+USg==" saltValue="evfO5Jukre3FTGxTnXKZjA==" spinCount="100000" sheet="1" objects="1" scenarios="1"/>
  <mergeCells count="17">
    <mergeCell ref="B3:C3"/>
    <mergeCell ref="D3:H3"/>
    <mergeCell ref="B4:B11"/>
    <mergeCell ref="C4:D4"/>
    <mergeCell ref="E4:F4"/>
    <mergeCell ref="E10:H11"/>
    <mergeCell ref="E20:H20"/>
    <mergeCell ref="E33:H38"/>
    <mergeCell ref="B39:H42"/>
    <mergeCell ref="E21:H21"/>
    <mergeCell ref="E22:H29"/>
    <mergeCell ref="B12:B20"/>
    <mergeCell ref="C12:D12"/>
    <mergeCell ref="E12:F12"/>
    <mergeCell ref="G17:H17"/>
    <mergeCell ref="E30:H30"/>
    <mergeCell ref="B21:B38"/>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C02AD-AF64-437A-A84D-3FEE60FB5BB9}">
  <sheetPr codeName="Sheet1"/>
  <dimension ref="B2:I29"/>
  <sheetViews>
    <sheetView showGridLines="0" showRowColHeaders="0" zoomScale="145" zoomScaleNormal="145" workbookViewId="0"/>
  </sheetViews>
  <sheetFormatPr baseColWidth="10" defaultColWidth="9.140625" defaultRowHeight="16.5" x14ac:dyDescent="0.25"/>
  <cols>
    <col min="1" max="1" width="2.7109375" style="8" customWidth="1"/>
    <col min="2" max="3" width="25.7109375" style="8" customWidth="1"/>
    <col min="4" max="4" width="2.7109375" style="22" customWidth="1"/>
    <col min="5" max="5" width="2.7109375" style="23" customWidth="1"/>
    <col min="6" max="7" width="25.7109375" style="8" customWidth="1"/>
    <col min="8" max="8" width="2.7109375" style="22" customWidth="1"/>
    <col min="9" max="9" width="2.7109375" style="23" customWidth="1"/>
    <col min="10" max="16384" width="9.140625" style="8"/>
  </cols>
  <sheetData>
    <row r="2" spans="2:7" x14ac:dyDescent="0.25">
      <c r="B2" s="8" t="s">
        <v>194</v>
      </c>
    </row>
    <row r="3" spans="2:7" x14ac:dyDescent="0.25">
      <c r="B3" s="8" t="s">
        <v>202</v>
      </c>
      <c r="F3" s="8" t="s">
        <v>203</v>
      </c>
    </row>
    <row r="4" spans="2:7" x14ac:dyDescent="0.25">
      <c r="B4" s="90" t="s">
        <v>192</v>
      </c>
      <c r="C4" s="10" t="s">
        <v>193</v>
      </c>
      <c r="F4" s="9" t="s">
        <v>192</v>
      </c>
      <c r="G4" s="10" t="s">
        <v>193</v>
      </c>
    </row>
    <row r="5" spans="2:7" x14ac:dyDescent="0.25">
      <c r="B5" s="91" t="s">
        <v>190</v>
      </c>
      <c r="C5" s="12" t="s">
        <v>190</v>
      </c>
      <c r="F5" s="11" t="s">
        <v>190</v>
      </c>
      <c r="G5" s="12" t="s">
        <v>190</v>
      </c>
    </row>
    <row r="6" spans="2:7" x14ac:dyDescent="0.25">
      <c r="B6" s="91" t="str">
        <f>_xlfn.CONCAT(CaucePrincipal!C22,",",CaucePrincipal!D22)</f>
        <v>0,103</v>
      </c>
      <c r="C6" s="12" t="str">
        <f>_xlfn.CONCAT(CaucePrincipal!C31,",",CaucePrincipal!D31)</f>
        <v>0,102.103</v>
      </c>
      <c r="F6" s="11" t="str">
        <f>_xlfn.CONCAT(CauceLateral!C22,",",CauceLateral!D22)</f>
        <v>0,103</v>
      </c>
      <c r="G6" s="12" t="str">
        <f>_xlfn.CONCAT(CauceLateral!C31,",",CauceLateral!D31)</f>
        <v>0,101.71</v>
      </c>
    </row>
    <row r="7" spans="2:7" x14ac:dyDescent="0.25">
      <c r="B7" s="91" t="str">
        <f>_xlfn.CONCAT(CaucePrincipal!C23,",",CaucePrincipal!D23)</f>
        <v>21,101.5</v>
      </c>
      <c r="C7" s="12" t="str">
        <f>_xlfn.CONCAT(CaucePrincipal!C32,",",CaucePrincipal!D32)</f>
        <v>21,100.603</v>
      </c>
      <c r="F7" s="11" t="str">
        <f>_xlfn.CONCAT(CauceLateral!C23,",",CauceLateral!D23)</f>
        <v>0,103</v>
      </c>
      <c r="G7" s="12" t="str">
        <f>_xlfn.CONCAT(CauceLateral!C32,",",CauceLateral!D32)</f>
        <v>0,101.71</v>
      </c>
    </row>
    <row r="8" spans="2:7" x14ac:dyDescent="0.25">
      <c r="B8" s="91" t="str">
        <f>_xlfn.CONCAT(CaucePrincipal!C24,",",CaucePrincipal!D24)</f>
        <v>84.6,101.5</v>
      </c>
      <c r="C8" s="12" t="str">
        <f>_xlfn.CONCAT(CaucePrincipal!C33,",",CaucePrincipal!D33)</f>
        <v>84.6,100.603</v>
      </c>
      <c r="F8" s="11" t="str">
        <f>_xlfn.CONCAT(CauceLateral!C24,",",CauceLateral!D24)</f>
        <v>-33.62,103</v>
      </c>
      <c r="G8" s="12" t="str">
        <f>_xlfn.CONCAT(CauceLateral!C33,",",CauceLateral!D33)</f>
        <v>-33.62,101.71</v>
      </c>
    </row>
    <row r="9" spans="2:7" x14ac:dyDescent="0.25">
      <c r="B9" s="91" t="str">
        <f>_xlfn.CONCAT(CaucePrincipal!C25,",",CaucePrincipal!D25)</f>
        <v>105.6,100</v>
      </c>
      <c r="C9" s="12" t="str">
        <f>_xlfn.CONCAT(CaucePrincipal!C34,",",CaucePrincipal!D34)</f>
        <v>105.6,99.103</v>
      </c>
      <c r="F9" s="11" t="str">
        <f>_xlfn.CONCAT(CauceLateral!C25,",",CauceLateral!D25)</f>
        <v>-3.62,100</v>
      </c>
      <c r="G9" s="12" t="str">
        <f>_xlfn.CONCAT(CauceLateral!C34,",",CauceLateral!D34)</f>
        <v>-3.62,98.71</v>
      </c>
    </row>
    <row r="10" spans="2:7" x14ac:dyDescent="0.25">
      <c r="B10" s="91" t="str">
        <f>_xlfn.CONCAT(CaucePrincipal!C26,",",CaucePrincipal!D26)</f>
        <v>145.6,100</v>
      </c>
      <c r="C10" s="12" t="str">
        <f>_xlfn.CONCAT(CaucePrincipal!C35,",",CaucePrincipal!D35)</f>
        <v>145.6,99.103</v>
      </c>
      <c r="F10" s="11" t="str">
        <f>_xlfn.CONCAT(CauceLateral!C26,",",CauceLateral!D26)</f>
        <v>3.62,100</v>
      </c>
      <c r="G10" s="12" t="str">
        <f>_xlfn.CONCAT(CauceLateral!C35,",",CauceLateral!D35)</f>
        <v>3.62,98.71</v>
      </c>
    </row>
    <row r="11" spans="2:7" x14ac:dyDescent="0.25">
      <c r="B11" s="91" t="str">
        <f>_xlfn.CONCAT(CaucePrincipal!C27,",",CaucePrincipal!D27)</f>
        <v>166.6,101.5</v>
      </c>
      <c r="C11" s="12" t="str">
        <f>_xlfn.CONCAT(CaucePrincipal!C36,",",CaucePrincipal!D36)</f>
        <v>166.6,100.603</v>
      </c>
      <c r="F11" s="11" t="str">
        <f>_xlfn.CONCAT(CauceLateral!C27,",",CauceLateral!D27)</f>
        <v>33.62,103</v>
      </c>
      <c r="G11" s="12" t="str">
        <f>_xlfn.CONCAT(CauceLateral!C36,",",CauceLateral!D36)</f>
        <v>33.62,101.71</v>
      </c>
    </row>
    <row r="12" spans="2:7" x14ac:dyDescent="0.25">
      <c r="B12" s="91" t="str">
        <f>_xlfn.CONCAT(CaucePrincipal!C28,",",CaucePrincipal!D28)</f>
        <v>230.2,101.5</v>
      </c>
      <c r="C12" s="12" t="str">
        <f>_xlfn.CONCAT(CaucePrincipal!C37,",",CaucePrincipal!D37)</f>
        <v>230.2,100.603</v>
      </c>
      <c r="F12" s="11" t="str">
        <f>_xlfn.CONCAT(CauceLateral!C28,",",CauceLateral!D28)</f>
        <v>0,103</v>
      </c>
      <c r="G12" s="12" t="str">
        <f>_xlfn.CONCAT(CauceLateral!C37,",",CauceLateral!D37)</f>
        <v>0,101.71</v>
      </c>
    </row>
    <row r="13" spans="2:7" x14ac:dyDescent="0.25">
      <c r="B13" s="91" t="str">
        <f>_xlfn.CONCAT(CaucePrincipal!C29,",",CaucePrincipal!D29)</f>
        <v>251.2,103</v>
      </c>
      <c r="C13" s="12" t="str">
        <f>_xlfn.CONCAT(CaucePrincipal!C38,",",CaucePrincipal!D38)</f>
        <v>251.2,102.103</v>
      </c>
      <c r="F13" s="11" t="str">
        <f>_xlfn.CONCAT(CauceLateral!C29,",",CauceLateral!D29)</f>
        <v>0,103</v>
      </c>
      <c r="G13" s="12" t="str">
        <f>_xlfn.CONCAT(CauceLateral!C38,",",CauceLateral!D38)</f>
        <v>0,101.71</v>
      </c>
    </row>
    <row r="14" spans="2:7" x14ac:dyDescent="0.25">
      <c r="B14" s="92" t="s">
        <v>191</v>
      </c>
      <c r="C14" s="14" t="s">
        <v>191</v>
      </c>
      <c r="F14" s="13" t="s">
        <v>191</v>
      </c>
      <c r="G14" s="14" t="s">
        <v>191</v>
      </c>
    </row>
    <row r="15" spans="2:7" ht="16.5" customHeight="1" x14ac:dyDescent="0.25">
      <c r="B15" s="198" t="s">
        <v>204</v>
      </c>
      <c r="C15" s="198"/>
      <c r="F15" s="15"/>
      <c r="G15" s="15"/>
    </row>
    <row r="16" spans="2:7" x14ac:dyDescent="0.25">
      <c r="B16" s="168"/>
      <c r="C16" s="168"/>
      <c r="F16" s="16"/>
      <c r="G16" s="16"/>
    </row>
    <row r="17" spans="2:7" x14ac:dyDescent="0.25">
      <c r="B17" s="168"/>
      <c r="C17" s="168"/>
      <c r="F17" s="16"/>
      <c r="G17" s="16"/>
    </row>
    <row r="18" spans="2:7" x14ac:dyDescent="0.25">
      <c r="B18" s="168"/>
      <c r="C18" s="168"/>
      <c r="F18" s="16"/>
      <c r="G18" s="16"/>
    </row>
    <row r="19" spans="2:7" x14ac:dyDescent="0.25">
      <c r="B19" s="168"/>
      <c r="C19" s="168"/>
      <c r="F19" s="16"/>
      <c r="G19" s="16"/>
    </row>
    <row r="20" spans="2:7" x14ac:dyDescent="0.25">
      <c r="B20" s="168"/>
      <c r="C20" s="168"/>
      <c r="F20" s="16"/>
      <c r="G20" s="16"/>
    </row>
    <row r="21" spans="2:7" x14ac:dyDescent="0.25">
      <c r="B21" s="168"/>
      <c r="C21" s="168"/>
      <c r="F21" s="16"/>
      <c r="G21" s="16"/>
    </row>
    <row r="22" spans="2:7" x14ac:dyDescent="0.25">
      <c r="B22" s="168"/>
      <c r="C22" s="168"/>
      <c r="F22" s="16"/>
      <c r="G22" s="16"/>
    </row>
    <row r="23" spans="2:7" x14ac:dyDescent="0.25">
      <c r="B23" s="168"/>
      <c r="C23" s="168"/>
      <c r="F23" s="16"/>
      <c r="G23" s="16"/>
    </row>
    <row r="24" spans="2:7" x14ac:dyDescent="0.25">
      <c r="B24" s="168"/>
      <c r="C24" s="168"/>
      <c r="F24" s="16"/>
      <c r="G24" s="16"/>
    </row>
    <row r="25" spans="2:7" x14ac:dyDescent="0.25">
      <c r="B25" s="168"/>
      <c r="C25" s="168"/>
      <c r="F25" s="16"/>
      <c r="G25" s="16"/>
    </row>
    <row r="26" spans="2:7" x14ac:dyDescent="0.25">
      <c r="B26" s="168"/>
      <c r="C26" s="168"/>
      <c r="F26" s="16"/>
      <c r="G26" s="16"/>
    </row>
    <row r="27" spans="2:7" x14ac:dyDescent="0.25">
      <c r="B27" s="168"/>
      <c r="C27" s="168"/>
      <c r="F27" s="16"/>
      <c r="G27" s="16"/>
    </row>
    <row r="28" spans="2:7" x14ac:dyDescent="0.25">
      <c r="B28" s="168"/>
      <c r="C28" s="168"/>
      <c r="F28" s="16"/>
      <c r="G28" s="16"/>
    </row>
    <row r="29" spans="2:7" x14ac:dyDescent="0.25">
      <c r="B29" s="168"/>
      <c r="C29" s="168"/>
      <c r="F29" s="16"/>
      <c r="G29" s="16"/>
    </row>
  </sheetData>
  <sheetProtection algorithmName="SHA-512" hashValue="m3xilltBHbWoFRrMVFwMUrddTkWpYUiiuEwlikuqmrvXuYX8Gl1wXIBr4epfzQvQWrBznBmQqkjQcVwy4vT2aA==" saltValue="OS6r77bnjWyPfpj/O7m3Pg==" spinCount="100000" sheet="1" objects="1" scenarios="1"/>
  <mergeCells count="1">
    <mergeCell ref="B15:C2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B1:CC35"/>
  <sheetViews>
    <sheetView showGridLines="0" tabSelected="1" zoomScale="80" zoomScaleNormal="80" workbookViewId="0">
      <selection activeCell="AT26" sqref="AT26"/>
    </sheetView>
  </sheetViews>
  <sheetFormatPr baseColWidth="10" defaultColWidth="11.42578125" defaultRowHeight="16.5" x14ac:dyDescent="0.25"/>
  <cols>
    <col min="1" max="1" width="2.7109375" style="3" customWidth="1"/>
    <col min="2" max="2" width="16" style="3" customWidth="1"/>
    <col min="3" max="7" width="12.5703125" style="3" customWidth="1"/>
    <col min="8" max="8" width="15.7109375" style="3" customWidth="1"/>
    <col min="9" max="10" width="12.5703125" style="3" customWidth="1"/>
    <col min="11" max="11" width="2.7109375" style="22" customWidth="1"/>
    <col min="12" max="12" width="2.7109375" style="23" customWidth="1"/>
    <col min="13" max="14" width="2.7109375" style="22" customWidth="1"/>
    <col min="15" max="15" width="5.28515625" style="150" customWidth="1"/>
    <col min="16" max="19" width="4.7109375" style="150" customWidth="1"/>
    <col min="20" max="23" width="4.7109375" style="22" customWidth="1"/>
    <col min="24" max="24" width="7.42578125" style="22" customWidth="1"/>
    <col min="25" max="30" width="2.7109375" style="22" customWidth="1"/>
    <col min="31" max="33" width="9" style="22" customWidth="1"/>
    <col min="34" max="80" width="2.7109375" style="22" customWidth="1"/>
    <col min="81" max="81" width="2.7109375" style="23" customWidth="1"/>
    <col min="82" max="16384" width="11.42578125" style="3"/>
  </cols>
  <sheetData>
    <row r="1" spans="2:33" x14ac:dyDescent="0.25">
      <c r="J1" s="21"/>
      <c r="O1" s="258" t="s">
        <v>209</v>
      </c>
      <c r="P1" s="259"/>
      <c r="Q1" s="259"/>
      <c r="R1" s="259"/>
      <c r="S1" s="259"/>
      <c r="T1" s="259"/>
      <c r="U1" s="259"/>
      <c r="V1" s="259"/>
      <c r="W1" s="260"/>
    </row>
    <row r="2" spans="2:33" x14ac:dyDescent="0.25">
      <c r="B2" s="3" t="s">
        <v>52</v>
      </c>
      <c r="O2" s="248"/>
      <c r="P2" s="249"/>
      <c r="Q2" s="249"/>
      <c r="R2" s="256" t="str">
        <f>MID(TEXT($B$26,1),1,1)&amp;"1"</f>
        <v>S1</v>
      </c>
      <c r="S2" s="257"/>
      <c r="T2" s="256" t="str">
        <f>MID(TEXT($B$26,1),1,1)&amp;"2"</f>
        <v>S2</v>
      </c>
      <c r="U2" s="257"/>
      <c r="V2" s="256" t="str">
        <f>MID(TEXT($B$26,1),1,1)&amp;"3"</f>
        <v>S3</v>
      </c>
      <c r="W2" s="257"/>
    </row>
    <row r="3" spans="2:33" x14ac:dyDescent="0.25">
      <c r="B3" s="199" t="s">
        <v>1</v>
      </c>
      <c r="C3" s="200"/>
      <c r="D3" s="199" t="s">
        <v>22</v>
      </c>
      <c r="E3" s="200"/>
      <c r="F3" s="78"/>
      <c r="G3" s="58"/>
      <c r="H3" s="58"/>
      <c r="I3" s="58"/>
      <c r="J3" s="59"/>
      <c r="O3" s="261" t="s">
        <v>83</v>
      </c>
      <c r="P3" s="262" t="s">
        <v>207</v>
      </c>
      <c r="Q3" s="263" t="s">
        <v>210</v>
      </c>
      <c r="R3" s="250" t="s">
        <v>75</v>
      </c>
      <c r="S3" s="251" t="s">
        <v>208</v>
      </c>
      <c r="T3" s="250" t="s">
        <v>75</v>
      </c>
      <c r="U3" s="251" t="s">
        <v>208</v>
      </c>
      <c r="V3" s="250" t="s">
        <v>75</v>
      </c>
      <c r="W3" s="251" t="s">
        <v>208</v>
      </c>
      <c r="AE3" s="163" t="s">
        <v>206</v>
      </c>
      <c r="AF3" s="164" t="s">
        <v>23</v>
      </c>
      <c r="AG3" s="165" t="s">
        <v>5</v>
      </c>
    </row>
    <row r="4" spans="2:33" x14ac:dyDescent="0.25">
      <c r="B4" s="60" t="s">
        <v>2</v>
      </c>
      <c r="C4" s="45">
        <v>20</v>
      </c>
      <c r="D4" s="82" t="s">
        <v>19</v>
      </c>
      <c r="E4" s="83" t="s">
        <v>20</v>
      </c>
      <c r="F4" s="79"/>
      <c r="G4" s="56"/>
      <c r="H4" s="56"/>
      <c r="I4" s="56"/>
      <c r="J4" s="61"/>
      <c r="O4" s="252">
        <v>0</v>
      </c>
      <c r="P4" s="264">
        <f>100*C9</f>
        <v>2</v>
      </c>
      <c r="Q4" s="265" t="str">
        <f>+IF($C$15="C",P4+$C$6,"")</f>
        <v/>
      </c>
      <c r="R4" s="252">
        <f>+IF($B$26="M, Mild",$B$24,IF($B$26="S, Steep",$B$25,""))</f>
        <v>2.1023599383094105</v>
      </c>
      <c r="S4" s="253">
        <f>+R4+P4</f>
        <v>4.1023599383094105</v>
      </c>
      <c r="T4" s="252">
        <f>+IF($B$26="M, Mild",$B$24,IF($B$26="S, Steep",$B$25,$B$25*1.5))</f>
        <v>2.1023599383094105</v>
      </c>
      <c r="U4" s="253">
        <f>+T4+P4</f>
        <v>4.1023599383094105</v>
      </c>
      <c r="V4" s="252">
        <f>+IF($B$26="M, Mild",$B$25*0.5,IF($B$26="S, Steep",$B$24*0.4,$B$25*0.5))</f>
        <v>0.70562020837501171</v>
      </c>
      <c r="W4" s="253">
        <f t="shared" ref="W4:W7" si="0">+V4+P4</f>
        <v>2.7056202083750116</v>
      </c>
      <c r="AE4" s="154" t="s">
        <v>19</v>
      </c>
      <c r="AF4" s="160" t="s">
        <v>20</v>
      </c>
      <c r="AG4" s="157" t="s">
        <v>20</v>
      </c>
    </row>
    <row r="5" spans="2:33" ht="16.5" customHeight="1" x14ac:dyDescent="0.25">
      <c r="B5" s="60" t="s">
        <v>4</v>
      </c>
      <c r="C5" s="45">
        <v>9.8059999999999992</v>
      </c>
      <c r="D5" s="84">
        <v>0</v>
      </c>
      <c r="E5" s="85">
        <f>B24+C17</f>
        <v>1.7640505209375292</v>
      </c>
      <c r="F5" s="79"/>
      <c r="G5" s="56"/>
      <c r="H5" s="56"/>
      <c r="I5" s="56"/>
      <c r="J5" s="61"/>
      <c r="O5" s="252">
        <v>15</v>
      </c>
      <c r="P5" s="252">
        <f>+(100*$C$9)-(O5*$C$9)</f>
        <v>1.7</v>
      </c>
      <c r="Q5" s="253" t="str">
        <f t="shared" ref="Q5:Q7" si="1">+IF($C$15="C",P5+$C$6,"")</f>
        <v/>
      </c>
      <c r="R5" s="252">
        <f>IF($B$26="M, Mild",$B$24*1.07,IF($B$26="S, Steep",$B$25*1.35,""))</f>
        <v>2.8381859167177041</v>
      </c>
      <c r="S5" s="253">
        <f t="shared" ref="S5:S7" si="2">+R5+P5</f>
        <v>4.5381859167177039</v>
      </c>
      <c r="T5" s="252">
        <f>+IF($B$26="M, Mild",$B$24*0.97,IF($B$26="S, Steep",$B$25-(B$25-$B$24)*0.7,$B$25*1.47))</f>
        <v>1.8655433461490936</v>
      </c>
      <c r="U5" s="253">
        <f t="shared" ref="U5:U7" si="3">+T5+P5</f>
        <v>3.5655433461490933</v>
      </c>
      <c r="V5" s="252">
        <f>+IF($B$26="M, Mild",$B$25*0.55,IF($B$26="S, Steep",$B$25*0.7,$B$25*0.52))</f>
        <v>1.4716519568165873</v>
      </c>
      <c r="W5" s="253">
        <f t="shared" si="0"/>
        <v>3.1716519568165875</v>
      </c>
      <c r="AE5" s="155">
        <f>+O4</f>
        <v>0</v>
      </c>
      <c r="AF5" s="161">
        <f>+AF6+P4</f>
        <v>3.7640505209375292</v>
      </c>
      <c r="AG5" s="158">
        <f>+AG6+P4</f>
        <v>4.1023599383094105</v>
      </c>
    </row>
    <row r="6" spans="2:33" x14ac:dyDescent="0.25">
      <c r="B6" s="60" t="s">
        <v>6</v>
      </c>
      <c r="C6" s="45">
        <v>1.5</v>
      </c>
      <c r="D6" s="84">
        <f>C7*B24</f>
        <v>0.88202526046876462</v>
      </c>
      <c r="E6" s="85">
        <f>C17</f>
        <v>0</v>
      </c>
      <c r="F6" s="79"/>
      <c r="G6" s="56"/>
      <c r="H6" s="56"/>
      <c r="I6" s="56"/>
      <c r="J6" s="61"/>
      <c r="O6" s="252">
        <v>50</v>
      </c>
      <c r="P6" s="252">
        <f t="shared" ref="P6:P17" si="4">+(100*$C$9)-(O6*$C$9)</f>
        <v>1</v>
      </c>
      <c r="Q6" s="253" t="str">
        <f t="shared" si="1"/>
        <v/>
      </c>
      <c r="R6" s="252">
        <f>IF($B$26="M, Mild",$B$24*1.23,IF($B$26="S, Steep",$B$25*1.7,""))</f>
        <v>3.5740118951259978</v>
      </c>
      <c r="S6" s="253">
        <f t="shared" si="2"/>
        <v>4.5740118951259978</v>
      </c>
      <c r="T6" s="252">
        <f>+IF($B$26="M, Mild",$B$24*0.92,IF($B$26="S, Steep",$B$25-(B$25-$B$24)*0.8,$B$25*1.42))</f>
        <v>1.8317124044119055</v>
      </c>
      <c r="U6" s="253">
        <f t="shared" si="3"/>
        <v>2.8317124044119053</v>
      </c>
      <c r="V6" s="252">
        <f>+IF($B$26="M, Mild",$B$25*0.62,IF($B$26="S, Steep",$B$24*0.9,$B$25*0.6))</f>
        <v>1.5876454688437764</v>
      </c>
      <c r="W6" s="253">
        <f t="shared" si="0"/>
        <v>2.5876454688437764</v>
      </c>
      <c r="AE6" s="156">
        <f>+O8</f>
        <v>100</v>
      </c>
      <c r="AF6" s="162">
        <f>E11</f>
        <v>1.7640505209375292</v>
      </c>
      <c r="AG6" s="159">
        <f>E15</f>
        <v>2.1023599383094105</v>
      </c>
    </row>
    <row r="7" spans="2:33" x14ac:dyDescent="0.25">
      <c r="B7" s="60" t="s">
        <v>7</v>
      </c>
      <c r="C7" s="45">
        <v>0.5</v>
      </c>
      <c r="D7" s="84">
        <f>D6+C6</f>
        <v>2.3820252604687644</v>
      </c>
      <c r="E7" s="85">
        <f>C17</f>
        <v>0</v>
      </c>
      <c r="F7" s="79"/>
      <c r="G7" s="56"/>
      <c r="H7" s="56"/>
      <c r="I7" s="56"/>
      <c r="J7" s="61"/>
      <c r="O7" s="252">
        <v>85</v>
      </c>
      <c r="P7" s="252">
        <f t="shared" si="4"/>
        <v>0.30000000000000004</v>
      </c>
      <c r="Q7" s="253" t="str">
        <f t="shared" si="1"/>
        <v/>
      </c>
      <c r="R7" s="252">
        <f>IF($B$26="M, Mild",$B$24*1.4,IF($B$26="S, Steep",$B$25*1.92,""))</f>
        <v>4.0365310815540676</v>
      </c>
      <c r="S7" s="253">
        <f t="shared" si="2"/>
        <v>4.3365310815540674</v>
      </c>
      <c r="T7" s="252">
        <f>+IF($B$26="M, Mild",$B$24*0.85,IF($B$26="S, Steep",$B$25-(B$25-$B$24)*0.9,$B$25*1.35))</f>
        <v>1.7978814626747173</v>
      </c>
      <c r="U7" s="253">
        <f t="shared" si="3"/>
        <v>2.0978814626747173</v>
      </c>
      <c r="V7" s="252">
        <f>+IF($B$26="M, Mild",$B$25*0.7,IF($B$26="S, Steep",$B$24*0.95,$B$25*0.7))</f>
        <v>1.6758479948906526</v>
      </c>
      <c r="W7" s="253">
        <f t="shared" si="0"/>
        <v>1.9758479948906527</v>
      </c>
    </row>
    <row r="8" spans="2:33" x14ac:dyDescent="0.25">
      <c r="B8" s="60" t="s">
        <v>8</v>
      </c>
      <c r="C8" s="45">
        <v>0.5</v>
      </c>
      <c r="D8" s="88">
        <f>D7+(C8*B24)</f>
        <v>3.2640505209375288</v>
      </c>
      <c r="E8" s="89">
        <f>C17+B24</f>
        <v>1.7640505209375292</v>
      </c>
      <c r="F8" s="79"/>
      <c r="G8" s="56"/>
      <c r="H8" s="56"/>
      <c r="I8" s="56"/>
      <c r="J8" s="61"/>
      <c r="O8" s="254">
        <v>100</v>
      </c>
      <c r="P8" s="254">
        <f>+(100*$C$9)-(O8*$C$9)</f>
        <v>0</v>
      </c>
      <c r="Q8" s="255" t="str">
        <f>+IF($C$15="C",P8+$C$6,"")</f>
        <v/>
      </c>
      <c r="R8" s="254">
        <f>IF(B26="M, Mild",$B$24*1.5,IF($B$26="S, Steep",$B$25*2,""))</f>
        <v>4.204719876618821</v>
      </c>
      <c r="S8" s="255">
        <f>+R8+P8</f>
        <v>4.204719876618821</v>
      </c>
      <c r="T8" s="254">
        <f>+IF($B$26="M, Mild",$B$25,IF($B$26="S, Steep",$B$24,$B$25))</f>
        <v>1.7640505209375292</v>
      </c>
      <c r="U8" s="255">
        <f>+T8+P8</f>
        <v>1.7640505209375292</v>
      </c>
      <c r="V8" s="254">
        <f>+IF($B$26="M, Mild",$B$25,IF($B$26="S, Steep",$B$24,$B$25))</f>
        <v>1.7640505209375292</v>
      </c>
      <c r="W8" s="255">
        <f>+V8+P8</f>
        <v>1.7640505209375292</v>
      </c>
    </row>
    <row r="9" spans="2:33" x14ac:dyDescent="0.25">
      <c r="B9" s="60" t="s">
        <v>9</v>
      </c>
      <c r="C9" s="45">
        <v>0.02</v>
      </c>
      <c r="D9" s="199" t="s">
        <v>23</v>
      </c>
      <c r="E9" s="200"/>
      <c r="F9" s="80"/>
      <c r="G9" s="56"/>
      <c r="H9" s="56"/>
      <c r="I9" s="56"/>
      <c r="J9" s="61"/>
      <c r="T9" s="247" t="s">
        <v>212</v>
      </c>
    </row>
    <row r="10" spans="2:33" x14ac:dyDescent="0.25">
      <c r="B10" s="60" t="s">
        <v>10</v>
      </c>
      <c r="C10" s="45">
        <v>2.5000000000000001E-2</v>
      </c>
      <c r="D10" s="82" t="s">
        <v>19</v>
      </c>
      <c r="E10" s="83" t="s">
        <v>20</v>
      </c>
      <c r="F10" s="80"/>
      <c r="G10" s="56"/>
      <c r="H10" s="56"/>
      <c r="I10" s="56"/>
      <c r="J10" s="61"/>
      <c r="O10" s="153"/>
      <c r="P10" s="153"/>
      <c r="Q10" s="153"/>
      <c r="R10" s="153"/>
      <c r="S10" s="153"/>
      <c r="T10" s="153"/>
      <c r="U10" s="153"/>
      <c r="V10" s="153"/>
      <c r="W10" s="153"/>
    </row>
    <row r="11" spans="2:33" x14ac:dyDescent="0.25">
      <c r="B11" s="60" t="s">
        <v>3</v>
      </c>
      <c r="C11" s="45">
        <v>1.05</v>
      </c>
      <c r="D11" s="84">
        <v>0</v>
      </c>
      <c r="E11" s="85">
        <f>B24+C17</f>
        <v>1.7640505209375292</v>
      </c>
      <c r="F11" s="80"/>
      <c r="G11" s="56"/>
      <c r="H11" s="56"/>
      <c r="I11" s="56"/>
      <c r="J11" s="61"/>
      <c r="O11" s="153"/>
      <c r="P11" s="153"/>
      <c r="Q11" s="153"/>
      <c r="R11" s="153"/>
      <c r="S11" s="153"/>
      <c r="T11" s="153"/>
      <c r="U11" s="153"/>
      <c r="V11" s="153"/>
      <c r="W11" s="153"/>
    </row>
    <row r="12" spans="2:33" x14ac:dyDescent="0.25">
      <c r="B12" s="60" t="s">
        <v>11</v>
      </c>
      <c r="C12" s="45">
        <v>10</v>
      </c>
      <c r="D12" s="86">
        <f>D8</f>
        <v>3.2640505209375288</v>
      </c>
      <c r="E12" s="87">
        <f>B24+C17</f>
        <v>1.7640505209375292</v>
      </c>
      <c r="F12" s="80"/>
      <c r="G12" s="56"/>
      <c r="H12" s="56"/>
      <c r="I12" s="56"/>
      <c r="J12" s="61"/>
      <c r="O12" s="153"/>
      <c r="P12" s="153"/>
      <c r="Q12" s="153"/>
      <c r="R12" s="153"/>
      <c r="S12" s="153"/>
      <c r="T12" s="153"/>
      <c r="U12" s="153"/>
      <c r="V12" s="153"/>
      <c r="W12" s="153"/>
    </row>
    <row r="13" spans="2:33" x14ac:dyDescent="0.25">
      <c r="B13" s="60" t="s">
        <v>12</v>
      </c>
      <c r="C13" s="45">
        <v>0</v>
      </c>
      <c r="D13" s="201" t="s">
        <v>5</v>
      </c>
      <c r="E13" s="202"/>
      <c r="F13" s="80"/>
      <c r="G13" s="56"/>
      <c r="H13" s="56"/>
      <c r="I13" s="56"/>
      <c r="J13" s="61"/>
      <c r="O13" s="153"/>
      <c r="P13" s="153"/>
      <c r="Q13" s="153"/>
      <c r="R13" s="153"/>
      <c r="S13" s="153"/>
      <c r="T13" s="153"/>
      <c r="U13" s="153"/>
      <c r="V13" s="153"/>
      <c r="W13" s="153"/>
    </row>
    <row r="14" spans="2:33" x14ac:dyDescent="0.25">
      <c r="B14" s="60" t="s">
        <v>13</v>
      </c>
      <c r="C14" s="45" t="s">
        <v>14</v>
      </c>
      <c r="D14" s="82" t="s">
        <v>19</v>
      </c>
      <c r="E14" s="83" t="s">
        <v>20</v>
      </c>
      <c r="F14" s="80"/>
      <c r="G14" s="56"/>
      <c r="H14" s="56"/>
      <c r="I14" s="56"/>
      <c r="J14" s="61"/>
      <c r="O14" s="153"/>
      <c r="P14" s="153"/>
      <c r="Q14" s="153"/>
      <c r="R14" s="153"/>
      <c r="S14" s="153"/>
      <c r="T14" s="153"/>
      <c r="U14" s="153"/>
      <c r="V14" s="153"/>
      <c r="W14" s="153"/>
    </row>
    <row r="15" spans="2:33" x14ac:dyDescent="0.25">
      <c r="B15" s="60" t="s">
        <v>15</v>
      </c>
      <c r="C15" s="45" t="s">
        <v>16</v>
      </c>
      <c r="D15" s="84">
        <v>0</v>
      </c>
      <c r="E15" s="85">
        <f>B25+C17</f>
        <v>2.1023599383094105</v>
      </c>
      <c r="F15" s="80"/>
      <c r="G15" s="56"/>
      <c r="H15" s="56"/>
      <c r="I15" s="56"/>
      <c r="J15" s="61"/>
      <c r="O15" s="153"/>
      <c r="P15" s="153"/>
      <c r="Q15" s="153"/>
      <c r="R15" s="153"/>
      <c r="S15" s="153"/>
      <c r="T15" s="153"/>
      <c r="U15" s="153"/>
      <c r="V15" s="153"/>
      <c r="W15" s="153"/>
    </row>
    <row r="16" spans="2:33" x14ac:dyDescent="0.25">
      <c r="B16" s="60" t="s">
        <v>17</v>
      </c>
      <c r="C16" s="45">
        <v>64</v>
      </c>
      <c r="D16" s="84">
        <f>D12</f>
        <v>3.2640505209375288</v>
      </c>
      <c r="E16" s="85">
        <f>B25+C17</f>
        <v>2.1023599383094105</v>
      </c>
      <c r="F16" s="80"/>
      <c r="G16" s="56"/>
      <c r="H16" s="56"/>
      <c r="I16" s="56"/>
      <c r="J16" s="61"/>
      <c r="O16" s="153"/>
      <c r="P16" s="153"/>
      <c r="Q16" s="153"/>
      <c r="R16" s="153"/>
      <c r="S16" s="153"/>
      <c r="T16" s="153"/>
      <c r="U16" s="153"/>
      <c r="V16" s="153"/>
      <c r="W16" s="153"/>
    </row>
    <row r="17" spans="2:36" x14ac:dyDescent="0.25">
      <c r="B17" s="62" t="s">
        <v>21</v>
      </c>
      <c r="C17" s="77">
        <v>0</v>
      </c>
      <c r="D17" s="86"/>
      <c r="E17" s="87"/>
      <c r="F17" s="81"/>
      <c r="G17" s="64"/>
      <c r="H17" s="64"/>
      <c r="I17" s="64"/>
      <c r="J17" s="65"/>
    </row>
    <row r="18" spans="2:36" x14ac:dyDescent="0.25">
      <c r="B18" s="24"/>
      <c r="C18" s="24"/>
      <c r="D18" s="25"/>
      <c r="E18" s="25"/>
      <c r="F18" s="4"/>
      <c r="O18" s="151"/>
    </row>
    <row r="19" spans="2:36" x14ac:dyDescent="0.25">
      <c r="B19" s="3" t="s">
        <v>24</v>
      </c>
      <c r="X19" s="152"/>
    </row>
    <row r="20" spans="2:36" ht="33" x14ac:dyDescent="0.25">
      <c r="B20" s="66" t="str">
        <f t="array" ref="B20:J26">R_YnYc(C4,C5,C6,C7,C8,C9,C10,C11,C12,C13,C14,C15,C16)</f>
        <v>Depth,m</v>
      </c>
      <c r="C20" s="67" t="str">
        <v>Flow Area, mÂ²</v>
      </c>
      <c r="D20" s="67" t="str">
        <v>Wet Perimeter, m</v>
      </c>
      <c r="E20" s="67" t="str">
        <v>Top Width, m</v>
      </c>
      <c r="F20" s="67" t="str">
        <v>Hydraulic Ratio, m</v>
      </c>
      <c r="G20" s="67" t="str">
        <v>Hydraulic Depth, m</v>
      </c>
      <c r="H20" s="67" t="str">
        <v>Velocity, m/s</v>
      </c>
      <c r="I20" s="67" t="str">
        <v>Froude Number</v>
      </c>
      <c r="J20" s="68" t="str">
        <v>Circular TettaÂ°</v>
      </c>
    </row>
    <row r="21" spans="2:36" x14ac:dyDescent="0.25">
      <c r="B21" s="69" t="str">
        <v>Yn</v>
      </c>
      <c r="C21" s="29" t="str">
        <v>An</v>
      </c>
      <c r="D21" s="29" t="str">
        <v>Pn</v>
      </c>
      <c r="E21" s="29" t="str">
        <v>Tn</v>
      </c>
      <c r="F21" s="29" t="str">
        <v>Rn</v>
      </c>
      <c r="G21" s="29" t="str">
        <v>Dn</v>
      </c>
      <c r="H21" s="29" t="str">
        <v>Vn</v>
      </c>
      <c r="I21" s="29" t="str">
        <v>Fn</v>
      </c>
      <c r="J21" s="93" t="str">
        <v>Tetta YnÂ°</v>
      </c>
    </row>
    <row r="22" spans="2:36" x14ac:dyDescent="0.25">
      <c r="B22" s="69" t="str">
        <v>Yc</v>
      </c>
      <c r="C22" s="29" t="str">
        <v>Ac</v>
      </c>
      <c r="D22" s="29" t="str">
        <v>Pc</v>
      </c>
      <c r="E22" s="29" t="str">
        <v>Tc</v>
      </c>
      <c r="F22" s="29" t="str">
        <v>Rc</v>
      </c>
      <c r="G22" s="29" t="str">
        <v>Dc</v>
      </c>
      <c r="H22" s="29" t="str">
        <v>Vc</v>
      </c>
      <c r="I22" s="29" t="str">
        <v>Fc</v>
      </c>
      <c r="J22" s="42" t="str">
        <v>Tetta YcÂ°</v>
      </c>
    </row>
    <row r="23" spans="2:36" ht="33" x14ac:dyDescent="0.25">
      <c r="B23" s="69" t="str">
        <v>Slope Type</v>
      </c>
      <c r="C23" s="29" t="str">
        <v>Sc Critic Slope</v>
      </c>
      <c r="D23" s="29" t="str">
        <v/>
      </c>
      <c r="E23" s="29" t="str">
        <v/>
      </c>
      <c r="F23" s="29" t="str">
        <v/>
      </c>
      <c r="G23" s="29" t="str">
        <v/>
      </c>
      <c r="H23" s="29" t="str">
        <v>Shape</v>
      </c>
      <c r="I23" s="29" t="str">
        <v>Units</v>
      </c>
      <c r="J23" s="42" t="str">
        <v>Author, version</v>
      </c>
    </row>
    <row r="24" spans="2:36" x14ac:dyDescent="0.25">
      <c r="B24" s="70">
        <v>1.7640505209375292</v>
      </c>
      <c r="C24" s="57">
        <v>4.2020129016162784</v>
      </c>
      <c r="D24" s="57">
        <v>5.4445368805602321</v>
      </c>
      <c r="E24" s="57">
        <v>3.2640505209375292</v>
      </c>
      <c r="F24" s="57">
        <v>0.77178518463518964</v>
      </c>
      <c r="G24" s="57">
        <v>1.2873614776064617</v>
      </c>
      <c r="H24" s="57">
        <v>4.7596236537748666</v>
      </c>
      <c r="I24" s="57">
        <v>1.3396039363569743</v>
      </c>
      <c r="J24" s="71" t="str">
        <v/>
      </c>
    </row>
    <row r="25" spans="2:36" x14ac:dyDescent="0.25">
      <c r="B25" s="70">
        <v>2.1023599383094105</v>
      </c>
      <c r="C25" s="57">
        <v>5.3634985625682905</v>
      </c>
      <c r="D25" s="57">
        <v>6.2010197352321059</v>
      </c>
      <c r="E25" s="57">
        <v>3.6023599383094105</v>
      </c>
      <c r="F25" s="57">
        <v>0.86493815397727214</v>
      </c>
      <c r="G25" s="57">
        <v>1.4888846907078872</v>
      </c>
      <c r="H25" s="57">
        <v>3.7289093614342423</v>
      </c>
      <c r="I25" s="57">
        <v>0.97590007294853265</v>
      </c>
      <c r="J25" s="71" t="str">
        <v/>
      </c>
    </row>
    <row r="26" spans="2:36" ht="21" x14ac:dyDescent="0.25">
      <c r="B26" s="166" t="str">
        <v>S, Steep</v>
      </c>
      <c r="C26" s="167">
        <v>1.1072683778920157E-2</v>
      </c>
      <c r="D26" s="72" t="str">
        <v/>
      </c>
      <c r="E26" s="72" t="str">
        <v/>
      </c>
      <c r="F26" s="72" t="str">
        <v/>
      </c>
      <c r="G26" s="72" t="str">
        <v/>
      </c>
      <c r="H26" s="72" t="str">
        <v>P, Trapezoidal</v>
      </c>
      <c r="I26" s="72" t="str">
        <v>m</v>
      </c>
      <c r="J26" s="73" t="str">
        <v>https://github.com/rcfdtools</v>
      </c>
    </row>
    <row r="28" spans="2:36" x14ac:dyDescent="0.25">
      <c r="B28" s="74" t="s">
        <v>58</v>
      </c>
      <c r="C28" s="94"/>
      <c r="D28" s="204" t="s">
        <v>53</v>
      </c>
      <c r="E28" s="205"/>
      <c r="F28" s="205"/>
      <c r="G28" s="205"/>
      <c r="H28" s="205"/>
      <c r="I28" s="205"/>
      <c r="J28" s="206"/>
    </row>
    <row r="29" spans="2:36" x14ac:dyDescent="0.25">
      <c r="B29" s="75" t="s">
        <v>56</v>
      </c>
      <c r="C29" s="95" t="str">
        <f>_xlfn.CONCAT("Station, ", I26)</f>
        <v>Station, m</v>
      </c>
      <c r="D29" s="207"/>
      <c r="E29" s="208"/>
      <c r="F29" s="208"/>
      <c r="G29" s="208"/>
      <c r="H29" s="208"/>
      <c r="I29" s="208"/>
      <c r="J29" s="209"/>
      <c r="O29" s="203" t="s">
        <v>211</v>
      </c>
      <c r="P29" s="203"/>
      <c r="Q29" s="203"/>
      <c r="R29" s="203"/>
      <c r="S29" s="203"/>
      <c r="T29" s="203"/>
      <c r="U29" s="203"/>
      <c r="V29" s="203"/>
      <c r="W29" s="203"/>
      <c r="X29" s="203"/>
      <c r="Y29" s="203"/>
      <c r="Z29" s="203"/>
      <c r="AA29" s="203"/>
      <c r="AB29" s="203"/>
      <c r="AC29" s="203"/>
      <c r="AD29" s="203"/>
      <c r="AE29" s="203"/>
      <c r="AF29" s="203"/>
      <c r="AG29" s="203"/>
      <c r="AH29" s="203"/>
      <c r="AI29" s="203"/>
      <c r="AJ29" s="203"/>
    </row>
    <row r="30" spans="2:36" x14ac:dyDescent="0.25">
      <c r="B30" s="76" t="s">
        <v>57</v>
      </c>
      <c r="C30" s="96" t="str">
        <f>_xlfn.CONCAT("Elevation, ", I26)</f>
        <v>Elevation, m</v>
      </c>
      <c r="D30" s="210"/>
      <c r="E30" s="211"/>
      <c r="F30" s="211"/>
      <c r="G30" s="211"/>
      <c r="H30" s="211"/>
      <c r="I30" s="211"/>
      <c r="J30" s="212"/>
      <c r="O30" s="203"/>
      <c r="P30" s="203"/>
      <c r="Q30" s="203"/>
      <c r="R30" s="203"/>
      <c r="S30" s="203"/>
      <c r="T30" s="203"/>
      <c r="U30" s="203"/>
      <c r="V30" s="203"/>
      <c r="W30" s="203"/>
      <c r="X30" s="203"/>
      <c r="Y30" s="203"/>
      <c r="Z30" s="203"/>
      <c r="AA30" s="203"/>
      <c r="AB30" s="203"/>
      <c r="AC30" s="203"/>
      <c r="AD30" s="203"/>
      <c r="AE30" s="203"/>
      <c r="AF30" s="203"/>
      <c r="AG30" s="203"/>
      <c r="AH30" s="203"/>
      <c r="AI30" s="203"/>
      <c r="AJ30" s="203"/>
    </row>
    <row r="32" spans="2:36" ht="16.5" customHeight="1" x14ac:dyDescent="0.25">
      <c r="C32" s="1"/>
      <c r="D32" s="1"/>
      <c r="E32" s="1"/>
      <c r="F32" s="1"/>
      <c r="G32" s="1"/>
      <c r="H32" s="1"/>
      <c r="I32" s="1"/>
      <c r="J32" s="1"/>
    </row>
    <row r="33" spans="2:10" x14ac:dyDescent="0.25">
      <c r="B33" s="1"/>
      <c r="C33" s="1"/>
      <c r="D33" s="1"/>
      <c r="E33" s="1"/>
      <c r="F33" s="1"/>
      <c r="G33" s="1"/>
      <c r="H33" s="1"/>
      <c r="I33" s="1"/>
      <c r="J33" s="1"/>
    </row>
    <row r="34" spans="2:10" x14ac:dyDescent="0.25">
      <c r="B34" s="1"/>
      <c r="C34" s="1"/>
      <c r="D34" s="1"/>
      <c r="E34" s="1"/>
      <c r="F34" s="1"/>
      <c r="G34" s="1"/>
      <c r="H34" s="1"/>
      <c r="I34" s="1"/>
      <c r="J34" s="1"/>
    </row>
    <row r="35" spans="2:10" x14ac:dyDescent="0.25">
      <c r="B35" s="1"/>
      <c r="C35" s="1"/>
      <c r="D35" s="1"/>
      <c r="E35" s="1"/>
      <c r="F35" s="1"/>
      <c r="G35" s="1"/>
      <c r="H35" s="1"/>
      <c r="I35" s="1"/>
      <c r="J35" s="1"/>
    </row>
  </sheetData>
  <mergeCells count="10">
    <mergeCell ref="R2:S2"/>
    <mergeCell ref="T2:U2"/>
    <mergeCell ref="V2:W2"/>
    <mergeCell ref="D28:J30"/>
    <mergeCell ref="O1:W1"/>
    <mergeCell ref="B3:C3"/>
    <mergeCell ref="D3:E3"/>
    <mergeCell ref="D9:E9"/>
    <mergeCell ref="D13:E13"/>
    <mergeCell ref="O29:AJ30"/>
  </mergeCells>
  <pageMargins left="0.7" right="0.7" top="0.75" bottom="0.75" header="0.3" footer="0.3"/>
  <pageSetup paperSize="5" scale="84" fitToWidth="2" orientation="landscape" r:id="rId1"/>
  <colBreaks count="1" manualBreakCount="1">
    <brk id="11" max="1048575" man="1"/>
  </col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6ED5B-6BAA-451E-A493-7012F1D2BB96}">
  <sheetPr codeName="Hoja5">
    <pageSetUpPr fitToPage="1"/>
  </sheetPr>
  <dimension ref="B1:W116"/>
  <sheetViews>
    <sheetView showGridLines="0" topLeftCell="E1" zoomScale="110" zoomScaleNormal="110" workbookViewId="0">
      <selection activeCell="D30" sqref="D30"/>
    </sheetView>
  </sheetViews>
  <sheetFormatPr baseColWidth="10" defaultColWidth="11.42578125" defaultRowHeight="16.5" x14ac:dyDescent="0.25"/>
  <cols>
    <col min="1" max="1" width="2.7109375" style="3" customWidth="1"/>
    <col min="2" max="2" width="34.28515625" style="3" customWidth="1"/>
    <col min="3" max="5" width="13.42578125" style="4" customWidth="1"/>
    <col min="6" max="6" width="2.7109375" style="3" customWidth="1"/>
    <col min="7" max="7" width="2.7109375" style="5" customWidth="1"/>
    <col min="8" max="11" width="17" style="3" customWidth="1"/>
    <col min="12" max="12" width="2.7109375" style="3" customWidth="1"/>
    <col min="13" max="13" width="2.7109375" style="5" customWidth="1"/>
    <col min="14" max="15" width="21.7109375" style="3" customWidth="1"/>
    <col min="16" max="18" width="21.140625" style="3" customWidth="1"/>
    <col min="19" max="19" width="2.7109375" style="3" customWidth="1"/>
    <col min="20" max="20" width="2.7109375" style="5" customWidth="1"/>
    <col min="21" max="21" width="64.140625" style="3" customWidth="1"/>
    <col min="22" max="22" width="2.7109375" style="3" customWidth="1"/>
    <col min="23" max="23" width="2.7109375" style="5" customWidth="1"/>
    <col min="24" max="16384" width="11.42578125" style="3"/>
  </cols>
  <sheetData>
    <row r="1" spans="2:18" x14ac:dyDescent="0.25">
      <c r="E1" s="21"/>
    </row>
    <row r="2" spans="2:18" ht="15.75" customHeight="1" x14ac:dyDescent="0.25">
      <c r="B2" s="213" t="s">
        <v>162</v>
      </c>
      <c r="C2" s="213"/>
      <c r="D2" s="213"/>
      <c r="E2" s="213"/>
      <c r="N2" s="169" t="s">
        <v>59</v>
      </c>
      <c r="O2" s="169"/>
      <c r="P2" s="169"/>
      <c r="Q2" s="169"/>
      <c r="R2" s="169"/>
    </row>
    <row r="3" spans="2:18" x14ac:dyDescent="0.25">
      <c r="B3" s="3" t="s">
        <v>170</v>
      </c>
      <c r="C3" s="214"/>
      <c r="D3" s="214"/>
      <c r="H3" s="213" t="s">
        <v>146</v>
      </c>
      <c r="I3" s="213"/>
      <c r="J3" s="213"/>
      <c r="K3" s="213"/>
      <c r="N3" s="3" t="s">
        <v>135</v>
      </c>
      <c r="R3" s="4"/>
    </row>
    <row r="4" spans="2:18" ht="49.5" x14ac:dyDescent="0.25">
      <c r="B4" s="110" t="s">
        <v>60</v>
      </c>
      <c r="C4" s="111" t="s">
        <v>2</v>
      </c>
      <c r="D4" s="112">
        <v>130</v>
      </c>
      <c r="E4" s="113" t="s">
        <v>61</v>
      </c>
      <c r="I4" s="121" t="s">
        <v>19</v>
      </c>
      <c r="J4" s="122" t="s">
        <v>20</v>
      </c>
      <c r="N4" s="140" t="s">
        <v>137</v>
      </c>
      <c r="O4" s="49" t="s">
        <v>136</v>
      </c>
      <c r="P4" s="49" t="s">
        <v>130</v>
      </c>
      <c r="Q4" s="49" t="s">
        <v>131</v>
      </c>
      <c r="R4" s="50" t="s">
        <v>132</v>
      </c>
    </row>
    <row r="5" spans="2:18" x14ac:dyDescent="0.25">
      <c r="B5" s="114" t="s">
        <v>62</v>
      </c>
      <c r="C5" s="34" t="s">
        <v>63</v>
      </c>
      <c r="D5" s="98">
        <v>8.9689999999999995E-4</v>
      </c>
      <c r="E5" s="43" t="s">
        <v>64</v>
      </c>
      <c r="I5" s="123">
        <v>0</v>
      </c>
      <c r="J5" s="44">
        <f>C25+D12</f>
        <v>101.5</v>
      </c>
      <c r="N5" s="60">
        <v>0.1</v>
      </c>
      <c r="O5" s="34"/>
      <c r="P5" s="34"/>
      <c r="Q5" s="34"/>
      <c r="R5" s="43"/>
    </row>
    <row r="6" spans="2:18" x14ac:dyDescent="0.25">
      <c r="B6" s="114" t="s">
        <v>110</v>
      </c>
      <c r="C6" s="34" t="s">
        <v>4</v>
      </c>
      <c r="D6" s="33">
        <v>9.8059999999999992</v>
      </c>
      <c r="E6" s="43" t="s">
        <v>65</v>
      </c>
      <c r="I6" s="123">
        <f>C17*D12</f>
        <v>15</v>
      </c>
      <c r="J6" s="44">
        <f>C25</f>
        <v>100</v>
      </c>
      <c r="N6" s="60">
        <v>0.2</v>
      </c>
      <c r="O6" s="34"/>
      <c r="P6" s="34"/>
      <c r="Q6" s="34"/>
      <c r="R6" s="43"/>
    </row>
    <row r="7" spans="2:18" x14ac:dyDescent="0.25">
      <c r="B7" s="114" t="s">
        <v>155</v>
      </c>
      <c r="C7" s="34" t="s">
        <v>66</v>
      </c>
      <c r="D7" s="33">
        <v>1</v>
      </c>
      <c r="E7" s="43" t="s">
        <v>67</v>
      </c>
      <c r="I7" s="123">
        <f>I6+D29</f>
        <v>47.765696619697501</v>
      </c>
      <c r="J7" s="44">
        <f>C25</f>
        <v>100</v>
      </c>
      <c r="N7" s="60">
        <v>0.3</v>
      </c>
      <c r="O7" s="34"/>
      <c r="P7" s="34"/>
      <c r="Q7" s="34"/>
      <c r="R7" s="43"/>
    </row>
    <row r="8" spans="2:18" x14ac:dyDescent="0.25">
      <c r="B8" s="114" t="s">
        <v>111</v>
      </c>
      <c r="C8" s="34" t="s">
        <v>68</v>
      </c>
      <c r="D8" s="33">
        <v>15</v>
      </c>
      <c r="E8" s="43" t="s">
        <v>69</v>
      </c>
      <c r="I8" s="141">
        <f>I7+(D12*E17)</f>
        <v>62.765696619697501</v>
      </c>
      <c r="J8" s="142">
        <f>D12+C25</f>
        <v>101.5</v>
      </c>
      <c r="N8" s="60">
        <v>0.4</v>
      </c>
      <c r="O8" s="34"/>
      <c r="P8" s="34"/>
      <c r="Q8" s="34"/>
      <c r="R8" s="43"/>
    </row>
    <row r="9" spans="2:18" x14ac:dyDescent="0.25">
      <c r="B9" s="114" t="s">
        <v>153</v>
      </c>
      <c r="C9" s="34" t="s">
        <v>151</v>
      </c>
      <c r="D9" s="99">
        <f>1000-((D8-4)^2)/180</f>
        <v>999.32777777777778</v>
      </c>
      <c r="E9" s="43" t="s">
        <v>70</v>
      </c>
      <c r="I9" s="199" t="str">
        <f>_xlfn.CONCAT("Material izq, ",C14,"mm")</f>
        <v>Material izq, 10mm</v>
      </c>
      <c r="J9" s="200"/>
      <c r="N9" s="60">
        <v>0.5</v>
      </c>
      <c r="O9" s="34"/>
      <c r="P9" s="34"/>
      <c r="Q9" s="34"/>
      <c r="R9" s="43"/>
    </row>
    <row r="10" spans="2:18" x14ac:dyDescent="0.25">
      <c r="B10" s="114" t="s">
        <v>154</v>
      </c>
      <c r="C10" s="34" t="s">
        <v>152</v>
      </c>
      <c r="D10" s="99">
        <f>D9*D6</f>
        <v>9799.4081888888886</v>
      </c>
      <c r="E10" s="43" t="s">
        <v>71</v>
      </c>
      <c r="I10" s="82" t="s">
        <v>19</v>
      </c>
      <c r="J10" s="83" t="s">
        <v>20</v>
      </c>
      <c r="N10" s="60">
        <v>0.6</v>
      </c>
      <c r="O10" s="34"/>
      <c r="P10" s="34"/>
      <c r="Q10" s="34"/>
      <c r="R10" s="43"/>
    </row>
    <row r="11" spans="2:18" x14ac:dyDescent="0.25">
      <c r="B11" s="114" t="s">
        <v>156</v>
      </c>
      <c r="C11" s="34" t="s">
        <v>72</v>
      </c>
      <c r="D11" s="33">
        <v>300</v>
      </c>
      <c r="E11" s="43" t="s">
        <v>73</v>
      </c>
      <c r="I11" s="86">
        <f>AVERAGE(I5:I6)</f>
        <v>7.5</v>
      </c>
      <c r="J11" s="87">
        <f>AVERAGE(J5:J6)</f>
        <v>100.75</v>
      </c>
      <c r="N11" s="60">
        <v>0.7</v>
      </c>
      <c r="O11" s="34"/>
      <c r="P11" s="34"/>
      <c r="Q11" s="34"/>
      <c r="R11" s="43"/>
    </row>
    <row r="12" spans="2:18" x14ac:dyDescent="0.25">
      <c r="B12" s="114" t="s">
        <v>74</v>
      </c>
      <c r="C12" s="34" t="s">
        <v>75</v>
      </c>
      <c r="D12" s="33">
        <v>1.5</v>
      </c>
      <c r="E12" s="43" t="s">
        <v>73</v>
      </c>
      <c r="I12" s="199" t="str">
        <f>_xlfn.CONCAT("Material fondo, ",D14,"mm")</f>
        <v>Material fondo, 13mm</v>
      </c>
      <c r="J12" s="200"/>
      <c r="N12" s="60">
        <v>0.8</v>
      </c>
      <c r="O12" s="34"/>
      <c r="P12" s="34"/>
      <c r="Q12" s="34"/>
      <c r="R12" s="43"/>
    </row>
    <row r="13" spans="2:18" x14ac:dyDescent="0.25">
      <c r="B13" s="215" t="str">
        <f>B80</f>
        <v>d50, tamaño partículas, mm</v>
      </c>
      <c r="C13" s="34" t="s">
        <v>138</v>
      </c>
      <c r="D13" s="34" t="s">
        <v>139</v>
      </c>
      <c r="E13" s="43" t="s">
        <v>140</v>
      </c>
      <c r="I13" s="82" t="s">
        <v>19</v>
      </c>
      <c r="J13" s="83" t="s">
        <v>20</v>
      </c>
      <c r="N13" s="60">
        <v>0.9</v>
      </c>
      <c r="O13" s="34"/>
      <c r="P13" s="34"/>
      <c r="Q13" s="34"/>
      <c r="R13" s="43"/>
    </row>
    <row r="14" spans="2:18" x14ac:dyDescent="0.25">
      <c r="B14" s="215"/>
      <c r="C14" s="100">
        <f>C81</f>
        <v>10</v>
      </c>
      <c r="D14" s="100">
        <f t="shared" ref="D14:E14" si="0">D81</f>
        <v>13</v>
      </c>
      <c r="E14" s="115">
        <f t="shared" si="0"/>
        <v>10</v>
      </c>
      <c r="I14" s="86">
        <f>AVERAGE(I6:I7)</f>
        <v>31.38284830984875</v>
      </c>
      <c r="J14" s="87">
        <f>AVERAGE(J6:J7)</f>
        <v>100</v>
      </c>
      <c r="N14" s="60">
        <v>1</v>
      </c>
      <c r="O14" s="34"/>
      <c r="P14" s="34"/>
      <c r="Q14" s="34"/>
      <c r="R14" s="43"/>
    </row>
    <row r="15" spans="2:18" x14ac:dyDescent="0.25">
      <c r="B15" s="215"/>
      <c r="C15" s="101" t="str">
        <f>CONCATENATE(C92," ",ROUND(C93*100,1),"%")</f>
        <v>Estable + 4.4%</v>
      </c>
      <c r="D15" s="101" t="str">
        <f>CONCATENATE(D92," ",ROUND(D93*100,1),"%")</f>
        <v>Estable + 4.8%</v>
      </c>
      <c r="E15" s="116" t="str">
        <f>CONCATENATE(E92," ",ROUND(E93*100,1),"%")</f>
        <v>Estable + 4.4%</v>
      </c>
      <c r="I15" s="201" t="str">
        <f>_xlfn.CONCAT("Material der, ",E14,"mm")</f>
        <v>Material der, 10mm</v>
      </c>
      <c r="J15" s="202"/>
      <c r="N15" s="60">
        <v>2</v>
      </c>
      <c r="O15" s="34"/>
      <c r="P15" s="34"/>
      <c r="Q15" s="34"/>
      <c r="R15" s="43"/>
    </row>
    <row r="16" spans="2:18" x14ac:dyDescent="0.25">
      <c r="B16" s="215" t="s">
        <v>126</v>
      </c>
      <c r="C16" s="34" t="s">
        <v>76</v>
      </c>
      <c r="D16" s="228" t="s">
        <v>77</v>
      </c>
      <c r="E16" s="43" t="s">
        <v>78</v>
      </c>
      <c r="I16" s="82" t="s">
        <v>19</v>
      </c>
      <c r="J16" s="83" t="s">
        <v>20</v>
      </c>
      <c r="N16" s="60">
        <v>3</v>
      </c>
      <c r="O16" s="34"/>
      <c r="P16" s="34"/>
      <c r="Q16" s="34"/>
      <c r="R16" s="43"/>
    </row>
    <row r="17" spans="2:18" x14ac:dyDescent="0.25">
      <c r="B17" s="215"/>
      <c r="C17" s="33">
        <v>10</v>
      </c>
      <c r="D17" s="228"/>
      <c r="E17" s="45">
        <v>10</v>
      </c>
      <c r="I17" s="88">
        <f>AVERAGE(I7:I8)</f>
        <v>55.265696619697501</v>
      </c>
      <c r="J17" s="89">
        <f>AVERAGE(J7:J8)</f>
        <v>100.75</v>
      </c>
      <c r="N17" s="60">
        <v>4</v>
      </c>
      <c r="O17" s="34"/>
      <c r="P17" s="34"/>
      <c r="Q17" s="34"/>
      <c r="R17" s="43"/>
    </row>
    <row r="18" spans="2:18" x14ac:dyDescent="0.25">
      <c r="B18" s="215" t="s">
        <v>157</v>
      </c>
      <c r="C18" s="34" t="s">
        <v>120</v>
      </c>
      <c r="D18" s="228" t="s">
        <v>77</v>
      </c>
      <c r="E18" s="43" t="s">
        <v>121</v>
      </c>
      <c r="I18" s="74" t="s">
        <v>31</v>
      </c>
      <c r="J18" s="143"/>
      <c r="N18" s="60">
        <v>5</v>
      </c>
      <c r="O18" s="34"/>
      <c r="P18" s="34"/>
      <c r="Q18" s="34"/>
      <c r="R18" s="43"/>
    </row>
    <row r="19" spans="2:18" x14ac:dyDescent="0.25">
      <c r="B19" s="215"/>
      <c r="C19" s="35">
        <f>DEGREES(ATAN(1/C17))</f>
        <v>5.710593137499643</v>
      </c>
      <c r="D19" s="228"/>
      <c r="E19" s="44">
        <f>DEGREES(ATAN(1/E17))</f>
        <v>5.710593137499643</v>
      </c>
      <c r="I19" s="75" t="s">
        <v>56</v>
      </c>
      <c r="J19" s="61" t="s">
        <v>29</v>
      </c>
      <c r="N19" s="60">
        <v>6</v>
      </c>
      <c r="O19" s="34">
        <v>0.1</v>
      </c>
      <c r="P19" s="34"/>
      <c r="Q19" s="34"/>
      <c r="R19" s="43"/>
    </row>
    <row r="20" spans="2:18" x14ac:dyDescent="0.25">
      <c r="B20" s="215" t="s">
        <v>147</v>
      </c>
      <c r="C20" s="34" t="s">
        <v>119</v>
      </c>
      <c r="D20" s="36" t="s">
        <v>117</v>
      </c>
      <c r="E20" s="43" t="s">
        <v>118</v>
      </c>
      <c r="I20" s="76" t="s">
        <v>57</v>
      </c>
      <c r="J20" s="65" t="s">
        <v>30</v>
      </c>
      <c r="N20" s="60">
        <v>7</v>
      </c>
      <c r="O20" s="34">
        <v>0.12</v>
      </c>
      <c r="P20" s="34"/>
      <c r="Q20" s="34"/>
      <c r="R20" s="43"/>
    </row>
    <row r="21" spans="2:18" x14ac:dyDescent="0.25">
      <c r="B21" s="215"/>
      <c r="C21" s="33">
        <v>35</v>
      </c>
      <c r="D21" s="33">
        <v>35</v>
      </c>
      <c r="E21" s="45">
        <v>35</v>
      </c>
      <c r="N21" s="60">
        <v>8</v>
      </c>
      <c r="O21" s="34">
        <v>0.14000000000000001</v>
      </c>
      <c r="P21" s="34"/>
      <c r="Q21" s="34"/>
      <c r="R21" s="43"/>
    </row>
    <row r="22" spans="2:18" x14ac:dyDescent="0.25">
      <c r="B22" s="215" t="s">
        <v>125</v>
      </c>
      <c r="C22" s="34" t="s">
        <v>79</v>
      </c>
      <c r="D22" s="36" t="s">
        <v>80</v>
      </c>
      <c r="E22" s="117" t="s">
        <v>81</v>
      </c>
      <c r="N22" s="60">
        <v>9</v>
      </c>
      <c r="O22" s="34">
        <v>0.16</v>
      </c>
      <c r="P22" s="34"/>
      <c r="Q22" s="34"/>
      <c r="R22" s="43"/>
    </row>
    <row r="23" spans="2:18" x14ac:dyDescent="0.25">
      <c r="B23" s="215"/>
      <c r="C23" s="33">
        <v>1.7999999999999999E-2</v>
      </c>
      <c r="D23" s="33">
        <v>1.7999999999999999E-2</v>
      </c>
      <c r="E23" s="45">
        <v>1.7999999999999999E-2</v>
      </c>
      <c r="N23" s="60">
        <v>10</v>
      </c>
      <c r="O23" s="34">
        <v>0.17499999999999999</v>
      </c>
      <c r="P23" s="34"/>
      <c r="Q23" s="34"/>
      <c r="R23" s="43"/>
    </row>
    <row r="24" spans="2:18" x14ac:dyDescent="0.25">
      <c r="B24" s="114" t="s">
        <v>158</v>
      </c>
      <c r="C24" s="229" t="s">
        <v>82</v>
      </c>
      <c r="D24" s="229"/>
      <c r="E24" s="230"/>
      <c r="N24" s="60">
        <v>20</v>
      </c>
      <c r="O24" s="34">
        <v>0.33</v>
      </c>
      <c r="P24" s="34"/>
      <c r="Q24" s="34"/>
      <c r="R24" s="43"/>
    </row>
    <row r="25" spans="2:18" x14ac:dyDescent="0.25">
      <c r="B25" s="118" t="s">
        <v>144</v>
      </c>
      <c r="C25" s="119">
        <v>100</v>
      </c>
      <c r="D25" s="63"/>
      <c r="E25" s="120" t="s">
        <v>145</v>
      </c>
      <c r="N25" s="60">
        <v>30</v>
      </c>
      <c r="O25" s="34">
        <v>0.5</v>
      </c>
      <c r="P25" s="34"/>
      <c r="Q25" s="34"/>
      <c r="R25" s="43"/>
    </row>
    <row r="26" spans="2:18" x14ac:dyDescent="0.25">
      <c r="N26" s="60">
        <v>40</v>
      </c>
      <c r="O26" s="34">
        <v>0.67</v>
      </c>
      <c r="P26" s="34"/>
      <c r="Q26" s="34"/>
      <c r="R26" s="43"/>
    </row>
    <row r="27" spans="2:18" x14ac:dyDescent="0.25">
      <c r="B27" s="169" t="s">
        <v>171</v>
      </c>
      <c r="C27" s="169"/>
      <c r="D27" s="169"/>
      <c r="E27" s="169"/>
      <c r="N27" s="60">
        <v>50</v>
      </c>
      <c r="O27" s="34">
        <v>0.83499999999999996</v>
      </c>
      <c r="P27" s="34"/>
      <c r="Q27" s="34"/>
      <c r="R27" s="43"/>
    </row>
    <row r="28" spans="2:18" x14ac:dyDescent="0.25">
      <c r="B28" s="124" t="str">
        <f>B12</f>
        <v>Altura disponible sin borde libre</v>
      </c>
      <c r="C28" s="111" t="str">
        <f>C12</f>
        <v>y</v>
      </c>
      <c r="D28" s="125">
        <f>D12</f>
        <v>1.5</v>
      </c>
      <c r="E28" s="113" t="str">
        <f>E12</f>
        <v>m</v>
      </c>
      <c r="N28" s="60">
        <v>60</v>
      </c>
      <c r="O28" s="34">
        <v>1</v>
      </c>
      <c r="P28" s="34"/>
      <c r="Q28" s="34"/>
      <c r="R28" s="43"/>
    </row>
    <row r="29" spans="2:18" x14ac:dyDescent="0.25">
      <c r="B29" s="126" t="s">
        <v>159</v>
      </c>
      <c r="C29" s="34" t="s">
        <v>6</v>
      </c>
      <c r="D29" s="97">
        <v>32.765696619697501</v>
      </c>
      <c r="E29" s="43" t="s">
        <v>73</v>
      </c>
      <c r="N29" s="60">
        <v>70</v>
      </c>
      <c r="O29" s="34">
        <v>1.175</v>
      </c>
      <c r="P29" s="34"/>
      <c r="Q29" s="34"/>
      <c r="R29" s="43"/>
    </row>
    <row r="30" spans="2:18" x14ac:dyDescent="0.25">
      <c r="B30" s="127" t="s">
        <v>101</v>
      </c>
      <c r="C30" s="34" t="s">
        <v>102</v>
      </c>
      <c r="D30" s="55">
        <f>(D29*D28)+((D28^2)/2)*(C17+E17)</f>
        <v>71.648544929546247</v>
      </c>
      <c r="E30" s="43" t="s">
        <v>103</v>
      </c>
      <c r="N30" s="60">
        <v>80</v>
      </c>
      <c r="O30" s="34">
        <v>1.345</v>
      </c>
      <c r="P30" s="34"/>
      <c r="Q30" s="34"/>
      <c r="R30" s="43"/>
    </row>
    <row r="31" spans="2:18" x14ac:dyDescent="0.25">
      <c r="B31" s="127" t="s">
        <v>104</v>
      </c>
      <c r="C31" s="34" t="s">
        <v>105</v>
      </c>
      <c r="D31" s="55">
        <f>D29+D28*((SQRT(1+C17^2))+(SQRT(1+E17^2)))</f>
        <v>62.91532348306017</v>
      </c>
      <c r="E31" s="43" t="s">
        <v>73</v>
      </c>
      <c r="N31" s="60">
        <v>90</v>
      </c>
      <c r="O31" s="34">
        <v>1.52</v>
      </c>
      <c r="P31" s="34"/>
      <c r="Q31" s="34"/>
      <c r="R31" s="43"/>
    </row>
    <row r="32" spans="2:18" x14ac:dyDescent="0.25">
      <c r="B32" s="127" t="s">
        <v>106</v>
      </c>
      <c r="C32" s="34" t="s">
        <v>107</v>
      </c>
      <c r="D32" s="55">
        <f>+D30/D31</f>
        <v>1.138809132068398</v>
      </c>
      <c r="E32" s="43" t="s">
        <v>73</v>
      </c>
      <c r="N32" s="60">
        <v>100</v>
      </c>
      <c r="O32" s="34">
        <v>1.7</v>
      </c>
      <c r="P32" s="34"/>
      <c r="Q32" s="34"/>
      <c r="R32" s="43"/>
    </row>
    <row r="33" spans="2:18" x14ac:dyDescent="0.25">
      <c r="B33" s="216"/>
      <c r="C33" s="180"/>
      <c r="D33" s="180"/>
      <c r="E33" s="181"/>
      <c r="N33" s="139"/>
      <c r="O33" s="63"/>
      <c r="P33" s="63"/>
      <c r="Q33" s="63"/>
      <c r="R33" s="120"/>
    </row>
    <row r="34" spans="2:18" x14ac:dyDescent="0.25">
      <c r="B34" s="216"/>
      <c r="C34" s="180"/>
      <c r="D34" s="180"/>
      <c r="E34" s="181"/>
    </row>
    <row r="35" spans="2:18" x14ac:dyDescent="0.25">
      <c r="B35" s="216"/>
      <c r="C35" s="180"/>
      <c r="D35" s="180"/>
      <c r="E35" s="181"/>
    </row>
    <row r="36" spans="2:18" x14ac:dyDescent="0.25">
      <c r="B36" s="127" t="s">
        <v>108</v>
      </c>
      <c r="C36" s="32" t="s">
        <v>109</v>
      </c>
      <c r="D36" s="102">
        <f>D4-((D7/D23)*D30*(D32)^(2/3)*D5^(1/2))</f>
        <v>7.5124294662032298E-4</v>
      </c>
      <c r="E36" s="43"/>
    </row>
    <row r="37" spans="2:18" ht="16.5" customHeight="1" x14ac:dyDescent="0.25">
      <c r="B37" s="234" t="s">
        <v>169</v>
      </c>
      <c r="C37" s="235"/>
      <c r="D37" s="235"/>
      <c r="E37" s="236"/>
    </row>
    <row r="38" spans="2:18" x14ac:dyDescent="0.25">
      <c r="B38" s="207" t="s">
        <v>134</v>
      </c>
      <c r="C38" s="208"/>
      <c r="D38" s="208"/>
      <c r="E38" s="209"/>
    </row>
    <row r="39" spans="2:18" ht="21.75" customHeight="1" x14ac:dyDescent="0.25">
      <c r="B39" s="210"/>
      <c r="C39" s="211"/>
      <c r="D39" s="211"/>
      <c r="E39" s="212"/>
    </row>
    <row r="41" spans="2:18" x14ac:dyDescent="0.25">
      <c r="B41" s="3" t="s">
        <v>172</v>
      </c>
    </row>
    <row r="42" spans="2:18" x14ac:dyDescent="0.25">
      <c r="B42" s="231" t="s">
        <v>148</v>
      </c>
      <c r="C42" s="232"/>
      <c r="D42" s="232"/>
      <c r="E42" s="233"/>
    </row>
    <row r="43" spans="2:18" x14ac:dyDescent="0.25">
      <c r="B43" s="240" t="str">
        <f>B18</f>
        <v>Ángulo talud, °</v>
      </c>
      <c r="C43" s="34" t="str">
        <f>C18</f>
        <v>α 1</v>
      </c>
      <c r="D43" s="241" t="str">
        <f>D16</f>
        <v>Lecho o fondo</v>
      </c>
      <c r="E43" s="43" t="str">
        <f>E18</f>
        <v>α 2</v>
      </c>
    </row>
    <row r="44" spans="2:18" x14ac:dyDescent="0.25">
      <c r="B44" s="240"/>
      <c r="C44" s="35">
        <f>C19</f>
        <v>5.710593137499643</v>
      </c>
      <c r="D44" s="241"/>
      <c r="E44" s="44">
        <f>E19</f>
        <v>5.710593137499643</v>
      </c>
    </row>
    <row r="45" spans="2:18" x14ac:dyDescent="0.25">
      <c r="B45" s="240" t="str">
        <f>B20</f>
        <v>Ángulo reposo sedimento, °</v>
      </c>
      <c r="C45" s="34" t="str">
        <f>C20</f>
        <v>ϕ izq</v>
      </c>
      <c r="D45" s="36" t="str">
        <f>D20</f>
        <v>ϕ lecho</v>
      </c>
      <c r="E45" s="43" t="str">
        <f>E20</f>
        <v>ϕ der</v>
      </c>
    </row>
    <row r="46" spans="2:18" x14ac:dyDescent="0.25">
      <c r="B46" s="240"/>
      <c r="C46" s="36">
        <f>C21</f>
        <v>35</v>
      </c>
      <c r="D46" s="36">
        <f>D21</f>
        <v>35</v>
      </c>
      <c r="E46" s="117">
        <f>E21</f>
        <v>35</v>
      </c>
    </row>
    <row r="47" spans="2:18" x14ac:dyDescent="0.25">
      <c r="B47" s="215" t="s">
        <v>160</v>
      </c>
      <c r="C47" s="34" t="s">
        <v>149</v>
      </c>
      <c r="D47" s="34"/>
      <c r="E47" s="43" t="s">
        <v>150</v>
      </c>
    </row>
    <row r="48" spans="2:18" x14ac:dyDescent="0.25">
      <c r="B48" s="215"/>
      <c r="C48" s="103">
        <f>IF(C21&gt;C19,(COS(RADIANS(C19))*SQRT(1-((TAN(RADIANS(C19)))^2/(TAN(RADIANS(C21)))^2))),1)</f>
        <v>0.98483749109672314</v>
      </c>
      <c r="D48" s="103"/>
      <c r="E48" s="128">
        <f>IF(E21&gt;E19,(COS(RADIANS(E19))*SQRT(1-((TAN(RADIANS(E19)))^2/(TAN(RADIANS(E21)))^2))),1)</f>
        <v>0.98483749109672314</v>
      </c>
    </row>
    <row r="49" spans="2:18" x14ac:dyDescent="0.25">
      <c r="B49" s="215"/>
      <c r="C49" s="103">
        <f>IF(C21&gt;C19,SQRT(1-((SIN(RADIANS(C19)))^2)/((SIN(RADIANS(C21)))^2)),1)</f>
        <v>0.98483749109672314</v>
      </c>
      <c r="D49" s="103"/>
      <c r="E49" s="128">
        <f>IF(E21&gt;E19,SQRT(1-((SIN(RADIANS(E19)))^2)/((SIN(RADIANS(E21)))^2)),1)</f>
        <v>0.98483749109672314</v>
      </c>
    </row>
    <row r="50" spans="2:18" x14ac:dyDescent="0.25">
      <c r="B50" s="216"/>
      <c r="C50" s="180"/>
      <c r="D50" s="180"/>
      <c r="E50" s="181"/>
    </row>
    <row r="51" spans="2:18" x14ac:dyDescent="0.25">
      <c r="B51" s="216"/>
      <c r="C51" s="180"/>
      <c r="D51" s="180"/>
      <c r="E51" s="181"/>
    </row>
    <row r="52" spans="2:18" x14ac:dyDescent="0.25">
      <c r="B52" s="216"/>
      <c r="C52" s="180"/>
      <c r="D52" s="180"/>
      <c r="E52" s="181"/>
      <c r="N52" s="3" t="s">
        <v>136</v>
      </c>
    </row>
    <row r="53" spans="2:18" ht="15.75" customHeight="1" x14ac:dyDescent="0.25">
      <c r="B53" s="216"/>
      <c r="C53" s="180"/>
      <c r="D53" s="180"/>
      <c r="E53" s="181"/>
      <c r="N53" s="121" t="s">
        <v>83</v>
      </c>
      <c r="O53" s="122" t="s">
        <v>66</v>
      </c>
    </row>
    <row r="54" spans="2:18" x14ac:dyDescent="0.25">
      <c r="B54" s="129" t="s">
        <v>115</v>
      </c>
      <c r="C54" s="130" t="s">
        <v>116</v>
      </c>
      <c r="D54" s="63"/>
      <c r="E54" s="120"/>
      <c r="N54" s="139">
        <f t="array" ref="N54:O54">LINEST(O19:O32,N19:N32)</f>
        <v>1.6855018948595864E-2</v>
      </c>
      <c r="O54" s="120">
        <v>-4.222135846858599E-4</v>
      </c>
    </row>
    <row r="55" spans="2:18" ht="16.5" customHeight="1" x14ac:dyDescent="0.25"/>
    <row r="56" spans="2:18" x14ac:dyDescent="0.25">
      <c r="B56" s="169" t="s">
        <v>173</v>
      </c>
      <c r="C56" s="169"/>
      <c r="D56" s="169"/>
      <c r="E56" s="169"/>
      <c r="N56" s="3" t="s">
        <v>133</v>
      </c>
    </row>
    <row r="57" spans="2:18" x14ac:dyDescent="0.25">
      <c r="B57" s="169"/>
      <c r="C57" s="169"/>
      <c r="D57" s="169"/>
      <c r="E57" s="169"/>
      <c r="N57" s="169" t="s">
        <v>129</v>
      </c>
      <c r="O57" s="169"/>
      <c r="P57" s="169"/>
      <c r="Q57" s="169"/>
      <c r="R57" s="169"/>
    </row>
    <row r="58" spans="2:18" ht="16.5" customHeight="1" x14ac:dyDescent="0.25">
      <c r="B58" s="131"/>
      <c r="C58" s="111"/>
      <c r="D58" s="111"/>
      <c r="E58" s="226" t="s">
        <v>87</v>
      </c>
      <c r="N58" s="169"/>
      <c r="O58" s="169"/>
      <c r="P58" s="169"/>
      <c r="Q58" s="169"/>
      <c r="R58" s="169"/>
    </row>
    <row r="59" spans="2:18" x14ac:dyDescent="0.25">
      <c r="B59" s="132"/>
      <c r="C59" s="34"/>
      <c r="D59" s="34"/>
      <c r="E59" s="227"/>
      <c r="N59" s="169"/>
      <c r="O59" s="169"/>
      <c r="P59" s="169"/>
      <c r="Q59" s="169"/>
      <c r="R59" s="169"/>
    </row>
    <row r="60" spans="2:18" x14ac:dyDescent="0.25">
      <c r="B60" s="217"/>
      <c r="C60" s="218"/>
      <c r="D60" s="218"/>
      <c r="E60" s="219"/>
      <c r="N60" s="169"/>
      <c r="O60" s="169"/>
      <c r="P60" s="169"/>
      <c r="Q60" s="169"/>
      <c r="R60" s="169"/>
    </row>
    <row r="61" spans="2:18" x14ac:dyDescent="0.25">
      <c r="B61" s="220"/>
      <c r="C61" s="221"/>
      <c r="D61" s="221"/>
      <c r="E61" s="222"/>
      <c r="N61" s="169"/>
      <c r="O61" s="169"/>
      <c r="P61" s="169"/>
      <c r="Q61" s="169"/>
      <c r="R61" s="169"/>
    </row>
    <row r="62" spans="2:18" x14ac:dyDescent="0.25">
      <c r="B62" s="220"/>
      <c r="C62" s="221"/>
      <c r="D62" s="221"/>
      <c r="E62" s="222"/>
      <c r="N62" s="169"/>
      <c r="O62" s="169"/>
      <c r="P62" s="169"/>
      <c r="Q62" s="169"/>
      <c r="R62" s="169"/>
    </row>
    <row r="63" spans="2:18" x14ac:dyDescent="0.25">
      <c r="B63" s="220"/>
      <c r="C63" s="221"/>
      <c r="D63" s="221"/>
      <c r="E63" s="222"/>
      <c r="N63" s="169"/>
      <c r="O63" s="169"/>
      <c r="P63" s="169"/>
      <c r="Q63" s="169"/>
      <c r="R63" s="169"/>
    </row>
    <row r="64" spans="2:18" x14ac:dyDescent="0.25">
      <c r="B64" s="220"/>
      <c r="C64" s="221"/>
      <c r="D64" s="221"/>
      <c r="E64" s="222"/>
      <c r="N64" s="169"/>
      <c r="O64" s="169"/>
      <c r="P64" s="169"/>
      <c r="Q64" s="169"/>
      <c r="R64" s="169"/>
    </row>
    <row r="65" spans="2:5" x14ac:dyDescent="0.25">
      <c r="B65" s="220"/>
      <c r="C65" s="221"/>
      <c r="D65" s="221"/>
      <c r="E65" s="222"/>
    </row>
    <row r="66" spans="2:5" x14ac:dyDescent="0.25">
      <c r="B66" s="223"/>
      <c r="C66" s="224"/>
      <c r="D66" s="224"/>
      <c r="E66" s="225"/>
    </row>
    <row r="67" spans="2:5" x14ac:dyDescent="0.25">
      <c r="B67" s="127" t="str">
        <f>B9</f>
        <v>Densidad agua</v>
      </c>
      <c r="C67" s="34" t="str">
        <f>C9</f>
        <v>ρ</v>
      </c>
      <c r="D67" s="104">
        <f>D9</f>
        <v>999.32777777777778</v>
      </c>
      <c r="E67" s="133" t="str">
        <f>E9</f>
        <v>kg / m³</v>
      </c>
    </row>
    <row r="68" spans="2:5" x14ac:dyDescent="0.25">
      <c r="B68" s="127" t="str">
        <f>B32</f>
        <v>Radio hidráulico</v>
      </c>
      <c r="C68" s="34" t="str">
        <f>C32</f>
        <v>R</v>
      </c>
      <c r="D68" s="55">
        <f>D32</f>
        <v>1.138809132068398</v>
      </c>
      <c r="E68" s="61" t="str">
        <f>E32</f>
        <v>m</v>
      </c>
    </row>
    <row r="69" spans="2:5" x14ac:dyDescent="0.25">
      <c r="B69" s="127" t="str">
        <f>B5</f>
        <v>Pendiente</v>
      </c>
      <c r="C69" s="34" t="str">
        <f>C5</f>
        <v>So</v>
      </c>
      <c r="D69" s="105">
        <f>D5</f>
        <v>8.9689999999999995E-4</v>
      </c>
      <c r="E69" s="61" t="str">
        <f>E5</f>
        <v>m/m</v>
      </c>
    </row>
    <row r="70" spans="2:5" x14ac:dyDescent="0.25">
      <c r="B70" s="237" t="s">
        <v>88</v>
      </c>
      <c r="C70" s="238"/>
      <c r="D70" s="238"/>
      <c r="E70" s="239"/>
    </row>
    <row r="71" spans="2:5" ht="33" x14ac:dyDescent="0.25">
      <c r="B71" s="215" t="s">
        <v>161</v>
      </c>
      <c r="C71" s="106" t="s">
        <v>122</v>
      </c>
      <c r="D71" s="34" t="s">
        <v>123</v>
      </c>
      <c r="E71" s="134" t="s">
        <v>124</v>
      </c>
    </row>
    <row r="72" spans="2:5" x14ac:dyDescent="0.25">
      <c r="B72" s="215"/>
      <c r="C72" s="55">
        <f>0.76*D72</f>
        <v>0.7757405911759957</v>
      </c>
      <c r="D72" s="55">
        <f>D67*D68*D69</f>
        <v>1.0207113041789417</v>
      </c>
      <c r="E72" s="85">
        <f>0.76*D72</f>
        <v>0.7757405911759957</v>
      </c>
    </row>
    <row r="73" spans="2:5" x14ac:dyDescent="0.25">
      <c r="B73" s="237" t="s">
        <v>143</v>
      </c>
      <c r="C73" s="238"/>
      <c r="D73" s="238"/>
      <c r="E73" s="239"/>
    </row>
    <row r="74" spans="2:5" x14ac:dyDescent="0.25">
      <c r="B74" s="114" t="s">
        <v>82</v>
      </c>
      <c r="C74" s="107">
        <v>0</v>
      </c>
      <c r="D74" s="108"/>
      <c r="E74" s="85"/>
    </row>
    <row r="75" spans="2:5" x14ac:dyDescent="0.25">
      <c r="B75" s="114" t="s">
        <v>89</v>
      </c>
      <c r="C75" s="107">
        <v>0.1</v>
      </c>
      <c r="D75" s="108" t="s">
        <v>112</v>
      </c>
      <c r="E75" s="85"/>
    </row>
    <row r="76" spans="2:5" x14ac:dyDescent="0.25">
      <c r="B76" s="114" t="s">
        <v>90</v>
      </c>
      <c r="C76" s="107">
        <v>0.25</v>
      </c>
      <c r="D76" s="108" t="s">
        <v>113</v>
      </c>
      <c r="E76" s="85"/>
    </row>
    <row r="77" spans="2:5" x14ac:dyDescent="0.25">
      <c r="B77" s="114" t="s">
        <v>91</v>
      </c>
      <c r="C77" s="107">
        <v>0.4</v>
      </c>
      <c r="D77" s="108" t="s">
        <v>114</v>
      </c>
      <c r="E77" s="85"/>
    </row>
    <row r="78" spans="2:5" x14ac:dyDescent="0.25">
      <c r="B78" s="114" t="s">
        <v>92</v>
      </c>
      <c r="C78" s="107">
        <f>VLOOKUP(C24,B74:C77,2,FALSE)</f>
        <v>0</v>
      </c>
      <c r="D78" s="108"/>
      <c r="E78" s="85"/>
    </row>
    <row r="79" spans="2:5" x14ac:dyDescent="0.25">
      <c r="B79" s="237" t="s">
        <v>93</v>
      </c>
      <c r="C79" s="238"/>
      <c r="D79" s="238"/>
      <c r="E79" s="239"/>
    </row>
    <row r="80" spans="2:5" x14ac:dyDescent="0.25">
      <c r="B80" s="215" t="s">
        <v>142</v>
      </c>
      <c r="C80" s="55" t="str">
        <f>+C13</f>
        <v>d50 izq</v>
      </c>
      <c r="D80" s="55" t="str">
        <f>+D13</f>
        <v>d50 lecho</v>
      </c>
      <c r="E80" s="85" t="str">
        <f>+E13</f>
        <v>d50 der</v>
      </c>
    </row>
    <row r="81" spans="2:17" x14ac:dyDescent="0.25">
      <c r="B81" s="215"/>
      <c r="C81" s="109">
        <v>10</v>
      </c>
      <c r="D81" s="109">
        <v>13</v>
      </c>
      <c r="E81" s="135">
        <v>10</v>
      </c>
    </row>
    <row r="82" spans="2:17" ht="49.5" x14ac:dyDescent="0.25">
      <c r="B82" s="215" t="s">
        <v>94</v>
      </c>
      <c r="C82" s="106" t="s">
        <v>166</v>
      </c>
      <c r="D82" s="106" t="s">
        <v>167</v>
      </c>
      <c r="E82" s="134" t="s">
        <v>168</v>
      </c>
    </row>
    <row r="83" spans="2:17" x14ac:dyDescent="0.25">
      <c r="B83" s="215"/>
      <c r="C83" s="100">
        <f>IF(C81*N54+O54 &lt; 0, 0,C81*N54+O54)</f>
        <v>0.16812797590127279</v>
      </c>
      <c r="D83" s="100">
        <f>IF(D81*N54+O54 &lt; 0, 0,D81*N54+O54)</f>
        <v>0.21869303274706037</v>
      </c>
      <c r="E83" s="115">
        <f>IF(E81*N54+O54 &lt; 0, 0,E81*N54+O54)</f>
        <v>0.16812797590127279</v>
      </c>
    </row>
    <row r="84" spans="2:17" ht="33" x14ac:dyDescent="0.25">
      <c r="B84" s="215"/>
      <c r="C84" s="106" t="s">
        <v>163</v>
      </c>
      <c r="D84" s="106" t="s">
        <v>164</v>
      </c>
      <c r="E84" s="134" t="s">
        <v>165</v>
      </c>
    </row>
    <row r="85" spans="2:17" x14ac:dyDescent="0.25">
      <c r="B85" s="215"/>
      <c r="C85" s="103">
        <f>IF(C81&lt;6,(C81/13)*C49,((C83/2.2)/0.3048^2)*C49)</f>
        <v>0.81012484516496386</v>
      </c>
      <c r="D85" s="103">
        <f>IF(D81&lt;6,D81/13,(D83/2.2)/0.3048^2)</f>
        <v>1.0699964605672379</v>
      </c>
      <c r="E85" s="128">
        <f>IF(E81&lt;6,(E81/13)*E49,((E83/2.2)/0.3048^2)*E49)</f>
        <v>0.81012484516496386</v>
      </c>
    </row>
    <row r="86" spans="2:17" x14ac:dyDescent="0.25">
      <c r="B86" s="114" t="s">
        <v>95</v>
      </c>
      <c r="C86" s="103">
        <f>C85*(1-C78)</f>
        <v>0.81012484516496386</v>
      </c>
      <c r="D86" s="103">
        <f>D85*(1-C78)</f>
        <v>1.0699964605672379</v>
      </c>
      <c r="E86" s="128">
        <f>E85*(1-C78)</f>
        <v>0.81012484516496386</v>
      </c>
    </row>
    <row r="87" spans="2:17" x14ac:dyDescent="0.25">
      <c r="B87" s="243" t="s">
        <v>127</v>
      </c>
      <c r="C87" s="244"/>
      <c r="D87" s="244"/>
      <c r="E87" s="245"/>
    </row>
    <row r="88" spans="2:17" x14ac:dyDescent="0.25">
      <c r="B88" s="243" t="s">
        <v>128</v>
      </c>
      <c r="C88" s="244"/>
      <c r="D88" s="244"/>
      <c r="E88" s="245"/>
    </row>
    <row r="89" spans="2:17" x14ac:dyDescent="0.25">
      <c r="B89" s="243" t="s">
        <v>96</v>
      </c>
      <c r="C89" s="244"/>
      <c r="D89" s="244"/>
      <c r="E89" s="245"/>
    </row>
    <row r="90" spans="2:17" x14ac:dyDescent="0.25">
      <c r="B90" s="243"/>
      <c r="C90" s="244"/>
      <c r="D90" s="244"/>
      <c r="E90" s="245"/>
    </row>
    <row r="91" spans="2:17" x14ac:dyDescent="0.25">
      <c r="B91" s="240" t="s">
        <v>97</v>
      </c>
      <c r="C91" s="106" t="s">
        <v>98</v>
      </c>
      <c r="D91" s="106" t="s">
        <v>99</v>
      </c>
      <c r="E91" s="134" t="s">
        <v>100</v>
      </c>
    </row>
    <row r="92" spans="2:17" x14ac:dyDescent="0.25">
      <c r="B92" s="240"/>
      <c r="C92" s="37" t="str">
        <f>IF(C86&gt;C72,"Estable +","Inestable -")</f>
        <v>Estable +</v>
      </c>
      <c r="D92" s="37" t="str">
        <f>IF(D86&gt;D72,"Estable +","Inestable -")</f>
        <v>Estable +</v>
      </c>
      <c r="E92" s="136" t="str">
        <f>IF(E86&gt;E72,"Estable +","Inestable -")</f>
        <v>Estable +</v>
      </c>
    </row>
    <row r="93" spans="2:17" x14ac:dyDescent="0.25">
      <c r="B93" s="242"/>
      <c r="C93" s="137">
        <f>ABS(1-(C86/C72))</f>
        <v>4.4324422854865375E-2</v>
      </c>
      <c r="D93" s="137">
        <f>ABS(1-(D86/D72))</f>
        <v>4.8285108812369915E-2</v>
      </c>
      <c r="E93" s="138">
        <f>ABS(1-(E86/E72))</f>
        <v>4.4324422854865375E-2</v>
      </c>
    </row>
    <row r="96" spans="2:17" x14ac:dyDescent="0.25">
      <c r="O96" s="4"/>
      <c r="P96" s="4"/>
      <c r="Q96" s="4"/>
    </row>
    <row r="103" ht="32.25" customHeight="1" x14ac:dyDescent="0.25"/>
    <row r="113" spans="15:17" x14ac:dyDescent="0.25">
      <c r="O113" s="4"/>
      <c r="P113" s="4"/>
      <c r="Q113" s="4"/>
    </row>
    <row r="116" spans="15:17" ht="15" customHeight="1" x14ac:dyDescent="0.25"/>
  </sheetData>
  <sheetProtection algorithmName="SHA-512" hashValue="ioszZ2TAavXavDD9QoeQriGAwFAriCyhM/cy5KU2glnzDgNA2/SXKLlwONYpbsV3BL0+tB+HxcDT1OfbmBZqPw==" saltValue="fqQdOnFeeteY7076nVvP/g==" spinCount="100000" sheet="1" objects="1" scenarios="1"/>
  <mergeCells count="39">
    <mergeCell ref="B91:B93"/>
    <mergeCell ref="B80:B81"/>
    <mergeCell ref="B82:B85"/>
    <mergeCell ref="B87:E87"/>
    <mergeCell ref="B88:E88"/>
    <mergeCell ref="B89:E90"/>
    <mergeCell ref="B38:E39"/>
    <mergeCell ref="B27:E27"/>
    <mergeCell ref="B56:E57"/>
    <mergeCell ref="B37:E37"/>
    <mergeCell ref="B79:E79"/>
    <mergeCell ref="B45:B46"/>
    <mergeCell ref="B47:B49"/>
    <mergeCell ref="B70:E70"/>
    <mergeCell ref="B71:B72"/>
    <mergeCell ref="B73:E73"/>
    <mergeCell ref="B43:B44"/>
    <mergeCell ref="D43:D44"/>
    <mergeCell ref="N57:R64"/>
    <mergeCell ref="B33:E35"/>
    <mergeCell ref="B50:E53"/>
    <mergeCell ref="I9:J9"/>
    <mergeCell ref="I12:J12"/>
    <mergeCell ref="I15:J15"/>
    <mergeCell ref="B60:E66"/>
    <mergeCell ref="E58:E59"/>
    <mergeCell ref="B16:B17"/>
    <mergeCell ref="D16:D17"/>
    <mergeCell ref="B18:B19"/>
    <mergeCell ref="D18:D19"/>
    <mergeCell ref="B20:B21"/>
    <mergeCell ref="B22:B23"/>
    <mergeCell ref="C24:E24"/>
    <mergeCell ref="B42:E42"/>
    <mergeCell ref="B2:E2"/>
    <mergeCell ref="N2:R2"/>
    <mergeCell ref="C3:D3"/>
    <mergeCell ref="H3:K3"/>
    <mergeCell ref="B13:B15"/>
  </mergeCells>
  <conditionalFormatting sqref="C92:E93">
    <cfRule type="cellIs" dxfId="0" priority="1" operator="equal">
      <formula>"Inestable"</formula>
    </cfRule>
  </conditionalFormatting>
  <dataValidations count="1">
    <dataValidation type="list" allowBlank="1" showInputMessage="1" showErrorMessage="1" sqref="C24:E24" xr:uid="{3727B535-4F69-4370-B2C8-00B233BF023A}">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31745" r:id="rId4">
          <objectPr defaultSize="0" autoPict="0" r:id="rId5">
            <anchor moveWithCells="1">
              <from>
                <xdr:col>2</xdr:col>
                <xdr:colOff>762000</xdr:colOff>
                <xdr:row>57</xdr:row>
                <xdr:rowOff>19050</xdr:rowOff>
              </from>
              <to>
                <xdr:col>3</xdr:col>
                <xdr:colOff>542925</xdr:colOff>
                <xdr:row>59</xdr:row>
                <xdr:rowOff>76200</xdr:rowOff>
              </to>
            </anchor>
          </objectPr>
        </oleObject>
      </mc:Choice>
      <mc:Fallback>
        <oleObject progId="Equation.DSMT4" shapeId="31745" r:id="rId4"/>
      </mc:Fallback>
    </mc:AlternateContent>
    <mc:AlternateContent xmlns:mc="http://schemas.openxmlformats.org/markup-compatibility/2006">
      <mc:Choice Requires="x14">
        <oleObject progId="Equation.DSMT4" shapeId="31746" r:id="rId6">
          <objectPr defaultSize="0" autoPict="0" r:id="rId7">
            <anchor moveWithCells="1">
              <from>
                <xdr:col>1</xdr:col>
                <xdr:colOff>1743075</xdr:colOff>
                <xdr:row>32</xdr:row>
                <xdr:rowOff>47625</xdr:rowOff>
              </from>
              <to>
                <xdr:col>2</xdr:col>
                <xdr:colOff>628650</xdr:colOff>
                <xdr:row>34</xdr:row>
                <xdr:rowOff>161925</xdr:rowOff>
              </to>
            </anchor>
          </objectPr>
        </oleObject>
      </mc:Choice>
      <mc:Fallback>
        <oleObject progId="Equation.DSMT4" shapeId="31746" r:id="rId6"/>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Normal="100" workbookViewId="0">
      <pane ySplit="2" topLeftCell="A3" activePane="bottomLeft" state="frozen"/>
      <selection pane="bottomLeft" activeCell="B15" sqref="B15"/>
    </sheetView>
  </sheetViews>
  <sheetFormatPr baseColWidth="10" defaultColWidth="11.42578125" defaultRowHeight="14.25" x14ac:dyDescent="0.25"/>
  <cols>
    <col min="1" max="1" width="2.7109375" style="27" customWidth="1"/>
    <col min="2" max="2" width="140.7109375" style="2" customWidth="1"/>
    <col min="3" max="3" width="2.42578125" style="2" customWidth="1"/>
    <col min="4" max="4" width="2.140625" style="26" customWidth="1"/>
    <col min="5" max="16384" width="11.42578125" style="2"/>
  </cols>
  <sheetData>
    <row r="1" spans="1:2" ht="16.5" x14ac:dyDescent="0.25">
      <c r="A1" s="144"/>
      <c r="B1" s="145"/>
    </row>
    <row r="2" spans="1:2" ht="16.5" x14ac:dyDescent="0.25">
      <c r="A2" s="146"/>
      <c r="B2" s="147" t="s">
        <v>0</v>
      </c>
    </row>
    <row r="3" spans="1:2" ht="16.5" x14ac:dyDescent="0.25">
      <c r="A3" s="146"/>
      <c r="B3" s="28" t="s">
        <v>18</v>
      </c>
    </row>
    <row r="4" spans="1:2" ht="16.5" x14ac:dyDescent="0.25">
      <c r="A4" s="146"/>
      <c r="B4" s="6"/>
    </row>
    <row r="5" spans="1:2" ht="16.5" x14ac:dyDescent="0.25">
      <c r="A5" s="146"/>
      <c r="B5" s="148" t="s">
        <v>84</v>
      </c>
    </row>
    <row r="6" spans="1:2" ht="16.5" x14ac:dyDescent="0.25">
      <c r="A6" s="146"/>
      <c r="B6" s="145"/>
    </row>
    <row r="7" spans="1:2" ht="16.5" x14ac:dyDescent="0.25">
      <c r="A7" s="146"/>
      <c r="B7" s="6" t="s">
        <v>85</v>
      </c>
    </row>
    <row r="8" spans="1:2" ht="16.5" x14ac:dyDescent="0.25">
      <c r="A8" s="146"/>
      <c r="B8" s="145"/>
    </row>
    <row r="9" spans="1:2" ht="16.5" x14ac:dyDescent="0.25">
      <c r="A9" s="146"/>
      <c r="B9" s="148" t="s">
        <v>86</v>
      </c>
    </row>
    <row r="10" spans="1:2" ht="16.5" x14ac:dyDescent="0.25">
      <c r="A10" s="146"/>
      <c r="B10" s="145"/>
    </row>
    <row r="11" spans="1:2" ht="16.5" x14ac:dyDescent="0.25">
      <c r="A11" s="146"/>
      <c r="B11" s="149" t="s">
        <v>141</v>
      </c>
    </row>
    <row r="12" spans="1:2" ht="16.5" x14ac:dyDescent="0.25">
      <c r="A12" s="146"/>
      <c r="B12" s="6"/>
    </row>
    <row r="13" spans="1:2" ht="16.5" x14ac:dyDescent="0.25">
      <c r="A13" s="146"/>
      <c r="B13" s="147"/>
    </row>
    <row r="14" spans="1:2" ht="16.5" x14ac:dyDescent="0.25">
      <c r="A14" s="146"/>
      <c r="B14" s="147"/>
    </row>
    <row r="15" spans="1:2" ht="16.5" x14ac:dyDescent="0.25">
      <c r="A15" s="146"/>
      <c r="B15" s="147"/>
    </row>
    <row r="16" spans="1:2" ht="16.5" x14ac:dyDescent="0.25">
      <c r="A16" s="146"/>
      <c r="B16" s="147"/>
    </row>
    <row r="17" spans="1:2" ht="16.5" x14ac:dyDescent="0.25">
      <c r="A17" s="146"/>
      <c r="B17" s="147"/>
    </row>
    <row r="18" spans="1:2" ht="16.5" x14ac:dyDescent="0.25">
      <c r="A18" s="146"/>
      <c r="B18" s="147"/>
    </row>
    <row r="19" spans="1:2" ht="16.5" x14ac:dyDescent="0.25">
      <c r="A19" s="146"/>
      <c r="B19" s="147"/>
    </row>
    <row r="20" spans="1:2" ht="16.5" x14ac:dyDescent="0.25">
      <c r="A20" s="146"/>
      <c r="B20" s="147"/>
    </row>
    <row r="21" spans="1:2" ht="16.5" x14ac:dyDescent="0.25">
      <c r="A21" s="146"/>
      <c r="B21" s="147"/>
    </row>
    <row r="22" spans="1:2" ht="16.5" x14ac:dyDescent="0.25">
      <c r="A22" s="146"/>
      <c r="B22" s="147"/>
    </row>
    <row r="23" spans="1:2" ht="16.5" x14ac:dyDescent="0.25">
      <c r="A23" s="146"/>
      <c r="B23" s="145"/>
    </row>
    <row r="24" spans="1:2" ht="16.5" x14ac:dyDescent="0.25">
      <c r="A24" s="146"/>
      <c r="B24" s="145"/>
    </row>
    <row r="25" spans="1:2" ht="16.5" x14ac:dyDescent="0.25">
      <c r="A25" s="146"/>
      <c r="B25" s="145"/>
    </row>
    <row r="26" spans="1:2" ht="16.5" x14ac:dyDescent="0.25">
      <c r="A26" s="146"/>
      <c r="B26" s="145"/>
    </row>
    <row r="27" spans="1:2" ht="16.5" x14ac:dyDescent="0.25">
      <c r="A27" s="146"/>
      <c r="B27" s="145"/>
    </row>
    <row r="28" spans="1:2" ht="16.5" x14ac:dyDescent="0.25">
      <c r="A28" s="146"/>
      <c r="B28" s="145"/>
    </row>
    <row r="29" spans="1:2" ht="16.5" x14ac:dyDescent="0.25">
      <c r="A29" s="146"/>
      <c r="B29" s="145"/>
    </row>
    <row r="30" spans="1:2" ht="16.5" x14ac:dyDescent="0.25">
      <c r="A30" s="146"/>
      <c r="B30" s="145"/>
    </row>
    <row r="31" spans="1:2" ht="16.5" x14ac:dyDescent="0.25">
      <c r="A31" s="146"/>
      <c r="B31" s="145"/>
    </row>
    <row r="32" spans="1:2" ht="16.5" x14ac:dyDescent="0.25">
      <c r="A32" s="146"/>
      <c r="B32" s="145"/>
    </row>
    <row r="33" spans="1:2" ht="16.5" x14ac:dyDescent="0.25">
      <c r="A33" s="146"/>
      <c r="B33" s="145"/>
    </row>
    <row r="34" spans="1:2" ht="16.5" x14ac:dyDescent="0.25">
      <c r="A34" s="146"/>
      <c r="B34" s="145"/>
    </row>
    <row r="35" spans="1:2" ht="16.5" x14ac:dyDescent="0.25">
      <c r="A35" s="146"/>
      <c r="B35" s="145"/>
    </row>
    <row r="36" spans="1:2" ht="16.5" x14ac:dyDescent="0.25">
      <c r="A36" s="146"/>
      <c r="B36" s="145"/>
    </row>
    <row r="60" spans="4:6" x14ac:dyDescent="0.25">
      <c r="D60" s="2"/>
      <c r="F60" s="26"/>
    </row>
    <row r="61" spans="4:6" x14ac:dyDescent="0.25">
      <c r="D61" s="2"/>
      <c r="F61" s="26"/>
    </row>
    <row r="62" spans="4:6" x14ac:dyDescent="0.25">
      <c r="D62" s="2"/>
      <c r="F62" s="26"/>
    </row>
  </sheetData>
  <sheetProtection algorithmName="SHA-512" hashValue="sKWTWKkUJMDSMfDIhVQqh5QatN0UatVCgNOuQ9nstqhqXev4hEDPG2OTm9O5erLKqnIJ+vvCGwMWOxQCtu8uog==" saltValue="odMVFIZPOe3IsBg5hX+6KA==" spinCount="100000" sheet="1" objects="1" scenarios="1"/>
  <hyperlinks>
    <hyperlink ref="B3" r:id="rId1" xr:uid="{C67BD43C-3D62-46E6-A111-6CA23E5CA74C}"/>
  </hyperlinks>
  <pageMargins left="0.7" right="0.7" top="0.75" bottom="0.75" header="0.3" footer="0.3"/>
  <pageSetup orientation="portrait" horizontalDpi="1200" verticalDpi="120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7" sqref="B7"/>
    </sheetView>
  </sheetViews>
  <sheetFormatPr baseColWidth="10" defaultColWidth="11.42578125" defaultRowHeight="16.5" x14ac:dyDescent="0.25"/>
  <cols>
    <col min="1" max="1" width="2.7109375" style="18" customWidth="1"/>
    <col min="2" max="2" width="84.7109375" style="18" customWidth="1"/>
    <col min="3" max="256" width="11.42578125" style="18"/>
    <col min="257" max="257" width="2.7109375" style="18" customWidth="1"/>
    <col min="258" max="258" width="63.42578125" style="18" customWidth="1"/>
    <col min="259" max="512" width="11.42578125" style="18"/>
    <col min="513" max="513" width="2.7109375" style="18" customWidth="1"/>
    <col min="514" max="514" width="63.42578125" style="18" customWidth="1"/>
    <col min="515" max="768" width="11.42578125" style="18"/>
    <col min="769" max="769" width="2.7109375" style="18" customWidth="1"/>
    <col min="770" max="770" width="63.42578125" style="18" customWidth="1"/>
    <col min="771" max="1024" width="11.42578125" style="18"/>
    <col min="1025" max="1025" width="2.7109375" style="18" customWidth="1"/>
    <col min="1026" max="1026" width="63.42578125" style="18" customWidth="1"/>
    <col min="1027" max="1280" width="11.42578125" style="18"/>
    <col min="1281" max="1281" width="2.7109375" style="18" customWidth="1"/>
    <col min="1282" max="1282" width="63.42578125" style="18" customWidth="1"/>
    <col min="1283" max="1536" width="11.42578125" style="18"/>
    <col min="1537" max="1537" width="2.7109375" style="18" customWidth="1"/>
    <col min="1538" max="1538" width="63.42578125" style="18" customWidth="1"/>
    <col min="1539" max="1792" width="11.42578125" style="18"/>
    <col min="1793" max="1793" width="2.7109375" style="18" customWidth="1"/>
    <col min="1794" max="1794" width="63.42578125" style="18" customWidth="1"/>
    <col min="1795" max="2048" width="11.42578125" style="18"/>
    <col min="2049" max="2049" width="2.7109375" style="18" customWidth="1"/>
    <col min="2050" max="2050" width="63.42578125" style="18" customWidth="1"/>
    <col min="2051" max="2304" width="11.42578125" style="18"/>
    <col min="2305" max="2305" width="2.7109375" style="18" customWidth="1"/>
    <col min="2306" max="2306" width="63.42578125" style="18" customWidth="1"/>
    <col min="2307" max="2560" width="11.42578125" style="18"/>
    <col min="2561" max="2561" width="2.7109375" style="18" customWidth="1"/>
    <col min="2562" max="2562" width="63.42578125" style="18" customWidth="1"/>
    <col min="2563" max="2816" width="11.42578125" style="18"/>
    <col min="2817" max="2817" width="2.7109375" style="18" customWidth="1"/>
    <col min="2818" max="2818" width="63.42578125" style="18" customWidth="1"/>
    <col min="2819" max="3072" width="11.42578125" style="18"/>
    <col min="3073" max="3073" width="2.7109375" style="18" customWidth="1"/>
    <col min="3074" max="3074" width="63.42578125" style="18" customWidth="1"/>
    <col min="3075" max="3328" width="11.42578125" style="18"/>
    <col min="3329" max="3329" width="2.7109375" style="18" customWidth="1"/>
    <col min="3330" max="3330" width="63.42578125" style="18" customWidth="1"/>
    <col min="3331" max="3584" width="11.42578125" style="18"/>
    <col min="3585" max="3585" width="2.7109375" style="18" customWidth="1"/>
    <col min="3586" max="3586" width="63.42578125" style="18" customWidth="1"/>
    <col min="3587" max="3840" width="11.42578125" style="18"/>
    <col min="3841" max="3841" width="2.7109375" style="18" customWidth="1"/>
    <col min="3842" max="3842" width="63.42578125" style="18" customWidth="1"/>
    <col min="3843" max="4096" width="11.42578125" style="18"/>
    <col min="4097" max="4097" width="2.7109375" style="18" customWidth="1"/>
    <col min="4098" max="4098" width="63.42578125" style="18" customWidth="1"/>
    <col min="4099" max="4352" width="11.42578125" style="18"/>
    <col min="4353" max="4353" width="2.7109375" style="18" customWidth="1"/>
    <col min="4354" max="4354" width="63.42578125" style="18" customWidth="1"/>
    <col min="4355" max="4608" width="11.42578125" style="18"/>
    <col min="4609" max="4609" width="2.7109375" style="18" customWidth="1"/>
    <col min="4610" max="4610" width="63.42578125" style="18" customWidth="1"/>
    <col min="4611" max="4864" width="11.42578125" style="18"/>
    <col min="4865" max="4865" width="2.7109375" style="18" customWidth="1"/>
    <col min="4866" max="4866" width="63.42578125" style="18" customWidth="1"/>
    <col min="4867" max="5120" width="11.42578125" style="18"/>
    <col min="5121" max="5121" width="2.7109375" style="18" customWidth="1"/>
    <col min="5122" max="5122" width="63.42578125" style="18" customWidth="1"/>
    <col min="5123" max="5376" width="11.42578125" style="18"/>
    <col min="5377" max="5377" width="2.7109375" style="18" customWidth="1"/>
    <col min="5378" max="5378" width="63.42578125" style="18" customWidth="1"/>
    <col min="5379" max="5632" width="11.42578125" style="18"/>
    <col min="5633" max="5633" width="2.7109375" style="18" customWidth="1"/>
    <col min="5634" max="5634" width="63.42578125" style="18" customWidth="1"/>
    <col min="5635" max="5888" width="11.42578125" style="18"/>
    <col min="5889" max="5889" width="2.7109375" style="18" customWidth="1"/>
    <col min="5890" max="5890" width="63.42578125" style="18" customWidth="1"/>
    <col min="5891" max="6144" width="11.42578125" style="18"/>
    <col min="6145" max="6145" width="2.7109375" style="18" customWidth="1"/>
    <col min="6146" max="6146" width="63.42578125" style="18" customWidth="1"/>
    <col min="6147" max="6400" width="11.42578125" style="18"/>
    <col min="6401" max="6401" width="2.7109375" style="18" customWidth="1"/>
    <col min="6402" max="6402" width="63.42578125" style="18" customWidth="1"/>
    <col min="6403" max="6656" width="11.42578125" style="18"/>
    <col min="6657" max="6657" width="2.7109375" style="18" customWidth="1"/>
    <col min="6658" max="6658" width="63.42578125" style="18" customWidth="1"/>
    <col min="6659" max="6912" width="11.42578125" style="18"/>
    <col min="6913" max="6913" width="2.7109375" style="18" customWidth="1"/>
    <col min="6914" max="6914" width="63.42578125" style="18" customWidth="1"/>
    <col min="6915" max="7168" width="11.42578125" style="18"/>
    <col min="7169" max="7169" width="2.7109375" style="18" customWidth="1"/>
    <col min="7170" max="7170" width="63.42578125" style="18" customWidth="1"/>
    <col min="7171" max="7424" width="11.42578125" style="18"/>
    <col min="7425" max="7425" width="2.7109375" style="18" customWidth="1"/>
    <col min="7426" max="7426" width="63.42578125" style="18" customWidth="1"/>
    <col min="7427" max="7680" width="11.42578125" style="18"/>
    <col min="7681" max="7681" width="2.7109375" style="18" customWidth="1"/>
    <col min="7682" max="7682" width="63.42578125" style="18" customWidth="1"/>
    <col min="7683" max="7936" width="11.42578125" style="18"/>
    <col min="7937" max="7937" width="2.7109375" style="18" customWidth="1"/>
    <col min="7938" max="7938" width="63.42578125" style="18" customWidth="1"/>
    <col min="7939" max="8192" width="11.42578125" style="18"/>
    <col min="8193" max="8193" width="2.7109375" style="18" customWidth="1"/>
    <col min="8194" max="8194" width="63.42578125" style="18" customWidth="1"/>
    <col min="8195" max="8448" width="11.42578125" style="18"/>
    <col min="8449" max="8449" width="2.7109375" style="18" customWidth="1"/>
    <col min="8450" max="8450" width="63.42578125" style="18" customWidth="1"/>
    <col min="8451" max="8704" width="11.42578125" style="18"/>
    <col min="8705" max="8705" width="2.7109375" style="18" customWidth="1"/>
    <col min="8706" max="8706" width="63.42578125" style="18" customWidth="1"/>
    <col min="8707" max="8960" width="11.42578125" style="18"/>
    <col min="8961" max="8961" width="2.7109375" style="18" customWidth="1"/>
    <col min="8962" max="8962" width="63.42578125" style="18" customWidth="1"/>
    <col min="8963" max="9216" width="11.42578125" style="18"/>
    <col min="9217" max="9217" width="2.7109375" style="18" customWidth="1"/>
    <col min="9218" max="9218" width="63.42578125" style="18" customWidth="1"/>
    <col min="9219" max="9472" width="11.42578125" style="18"/>
    <col min="9473" max="9473" width="2.7109375" style="18" customWidth="1"/>
    <col min="9474" max="9474" width="63.42578125" style="18" customWidth="1"/>
    <col min="9475" max="9728" width="11.42578125" style="18"/>
    <col min="9729" max="9729" width="2.7109375" style="18" customWidth="1"/>
    <col min="9730" max="9730" width="63.42578125" style="18" customWidth="1"/>
    <col min="9731" max="9984" width="11.42578125" style="18"/>
    <col min="9985" max="9985" width="2.7109375" style="18" customWidth="1"/>
    <col min="9986" max="9986" width="63.42578125" style="18" customWidth="1"/>
    <col min="9987" max="10240" width="11.42578125" style="18"/>
    <col min="10241" max="10241" width="2.7109375" style="18" customWidth="1"/>
    <col min="10242" max="10242" width="63.42578125" style="18" customWidth="1"/>
    <col min="10243" max="10496" width="11.42578125" style="18"/>
    <col min="10497" max="10497" width="2.7109375" style="18" customWidth="1"/>
    <col min="10498" max="10498" width="63.42578125" style="18" customWidth="1"/>
    <col min="10499" max="10752" width="11.42578125" style="18"/>
    <col min="10753" max="10753" width="2.7109375" style="18" customWidth="1"/>
    <col min="10754" max="10754" width="63.42578125" style="18" customWidth="1"/>
    <col min="10755" max="11008" width="11.42578125" style="18"/>
    <col min="11009" max="11009" width="2.7109375" style="18" customWidth="1"/>
    <col min="11010" max="11010" width="63.42578125" style="18" customWidth="1"/>
    <col min="11011" max="11264" width="11.42578125" style="18"/>
    <col min="11265" max="11265" width="2.7109375" style="18" customWidth="1"/>
    <col min="11266" max="11266" width="63.42578125" style="18" customWidth="1"/>
    <col min="11267" max="11520" width="11.42578125" style="18"/>
    <col min="11521" max="11521" width="2.7109375" style="18" customWidth="1"/>
    <col min="11522" max="11522" width="63.42578125" style="18" customWidth="1"/>
    <col min="11523" max="11776" width="11.42578125" style="18"/>
    <col min="11777" max="11777" width="2.7109375" style="18" customWidth="1"/>
    <col min="11778" max="11778" width="63.42578125" style="18" customWidth="1"/>
    <col min="11779" max="12032" width="11.42578125" style="18"/>
    <col min="12033" max="12033" width="2.7109375" style="18" customWidth="1"/>
    <col min="12034" max="12034" width="63.42578125" style="18" customWidth="1"/>
    <col min="12035" max="12288" width="11.42578125" style="18"/>
    <col min="12289" max="12289" width="2.7109375" style="18" customWidth="1"/>
    <col min="12290" max="12290" width="63.42578125" style="18" customWidth="1"/>
    <col min="12291" max="12544" width="11.42578125" style="18"/>
    <col min="12545" max="12545" width="2.7109375" style="18" customWidth="1"/>
    <col min="12546" max="12546" width="63.42578125" style="18" customWidth="1"/>
    <col min="12547" max="12800" width="11.42578125" style="18"/>
    <col min="12801" max="12801" width="2.7109375" style="18" customWidth="1"/>
    <col min="12802" max="12802" width="63.42578125" style="18" customWidth="1"/>
    <col min="12803" max="13056" width="11.42578125" style="18"/>
    <col min="13057" max="13057" width="2.7109375" style="18" customWidth="1"/>
    <col min="13058" max="13058" width="63.42578125" style="18" customWidth="1"/>
    <col min="13059" max="13312" width="11.42578125" style="18"/>
    <col min="13313" max="13313" width="2.7109375" style="18" customWidth="1"/>
    <col min="13314" max="13314" width="63.42578125" style="18" customWidth="1"/>
    <col min="13315" max="13568" width="11.42578125" style="18"/>
    <col min="13569" max="13569" width="2.7109375" style="18" customWidth="1"/>
    <col min="13570" max="13570" width="63.42578125" style="18" customWidth="1"/>
    <col min="13571" max="13824" width="11.42578125" style="18"/>
    <col min="13825" max="13825" width="2.7109375" style="18" customWidth="1"/>
    <col min="13826" max="13826" width="63.42578125" style="18" customWidth="1"/>
    <col min="13827" max="14080" width="11.42578125" style="18"/>
    <col min="14081" max="14081" width="2.7109375" style="18" customWidth="1"/>
    <col min="14082" max="14082" width="63.42578125" style="18" customWidth="1"/>
    <col min="14083" max="14336" width="11.42578125" style="18"/>
    <col min="14337" max="14337" width="2.7109375" style="18" customWidth="1"/>
    <col min="14338" max="14338" width="63.42578125" style="18" customWidth="1"/>
    <col min="14339" max="14592" width="11.42578125" style="18"/>
    <col min="14593" max="14593" width="2.7109375" style="18" customWidth="1"/>
    <col min="14594" max="14594" width="63.42578125" style="18" customWidth="1"/>
    <col min="14595" max="14848" width="11.42578125" style="18"/>
    <col min="14849" max="14849" width="2.7109375" style="18" customWidth="1"/>
    <col min="14850" max="14850" width="63.42578125" style="18" customWidth="1"/>
    <col min="14851" max="15104" width="11.42578125" style="18"/>
    <col min="15105" max="15105" width="2.7109375" style="18" customWidth="1"/>
    <col min="15106" max="15106" width="63.42578125" style="18" customWidth="1"/>
    <col min="15107" max="15360" width="11.42578125" style="18"/>
    <col min="15361" max="15361" width="2.7109375" style="18" customWidth="1"/>
    <col min="15362" max="15362" width="63.42578125" style="18" customWidth="1"/>
    <col min="15363" max="15616" width="11.42578125" style="18"/>
    <col min="15617" max="15617" width="2.7109375" style="18" customWidth="1"/>
    <col min="15618" max="15618" width="63.42578125" style="18" customWidth="1"/>
    <col min="15619" max="15872" width="11.42578125" style="18"/>
    <col min="15873" max="15873" width="2.7109375" style="18" customWidth="1"/>
    <col min="15874" max="15874" width="63.42578125" style="18" customWidth="1"/>
    <col min="15875" max="16128" width="11.42578125" style="18"/>
    <col min="16129" max="16129" width="2.7109375" style="18" customWidth="1"/>
    <col min="16130" max="16130" width="63.42578125" style="18" customWidth="1"/>
    <col min="16131" max="16384" width="11.42578125" style="18"/>
  </cols>
  <sheetData>
    <row r="4" spans="2:2" x14ac:dyDescent="0.25">
      <c r="B4" s="18" t="s">
        <v>205</v>
      </c>
    </row>
    <row r="6" spans="2:2" x14ac:dyDescent="0.25">
      <c r="B6" s="17" t="s">
        <v>195</v>
      </c>
    </row>
    <row r="7" spans="2:2" x14ac:dyDescent="0.25">
      <c r="B7" s="19" t="s">
        <v>197</v>
      </c>
    </row>
    <row r="9" spans="2:2" x14ac:dyDescent="0.25">
      <c r="B9" s="17" t="s">
        <v>188</v>
      </c>
    </row>
    <row r="10" spans="2:2" x14ac:dyDescent="0.25">
      <c r="B10" s="19" t="s">
        <v>196</v>
      </c>
    </row>
    <row r="24" spans="2:2" x14ac:dyDescent="0.25">
      <c r="B24" s="20" t="s">
        <v>189</v>
      </c>
    </row>
    <row r="25" spans="2:2" ht="16.5" customHeight="1" x14ac:dyDescent="0.25">
      <c r="B25" s="246" t="s">
        <v>198</v>
      </c>
    </row>
    <row r="26" spans="2:2" x14ac:dyDescent="0.25">
      <c r="B26" s="246"/>
    </row>
    <row r="27" spans="2:2" x14ac:dyDescent="0.25">
      <c r="B27" s="246"/>
    </row>
    <row r="28" spans="2:2" x14ac:dyDescent="0.25">
      <c r="B28" s="246"/>
    </row>
  </sheetData>
  <sheetProtection algorithmName="SHA-512" hashValue="SeutGKcP35tvKbI2wXs3PaVK1PUbRgfj8MSmE3h5Z0ECYx5Cy0oVpsLUHFOrsg0RbSc4YRCHvm6BBKoPleptIQ==" saltValue="4cc0JVv+Qidixi47R88dDA=="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964446C04693346A0AF98EC2585F682" ma:contentTypeVersion="3" ma:contentTypeDescription="Create a new document." ma:contentTypeScope="" ma:versionID="3a8f5a3e0394b8c18c4929cddf21cb99">
  <xsd:schema xmlns:xsd="http://www.w3.org/2001/XMLSchema" xmlns:xs="http://www.w3.org/2001/XMLSchema" xmlns:p="http://schemas.microsoft.com/office/2006/metadata/properties" xmlns:ns2="3e5100b0-a006-47fd-ba72-bd72dcd2d5ec" targetNamespace="http://schemas.microsoft.com/office/2006/metadata/properties" ma:root="true" ma:fieldsID="580559ede1ce0b7ccd7d09d8121ecf80" ns2:_="">
    <xsd:import namespace="3e5100b0-a006-47fd-ba72-bd72dcd2d5ec"/>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5100b0-a006-47fd-ba72-bd72dcd2d5e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9B81738-73C0-41D4-B689-03B5DE50EC9F}"/>
</file>

<file path=customXml/itemProps2.xml><?xml version="1.0" encoding="utf-8"?>
<ds:datastoreItem xmlns:ds="http://schemas.openxmlformats.org/officeDocument/2006/customXml" ds:itemID="{12BB62BE-AC3B-42FF-8932-2C00F313F322}"/>
</file>

<file path=customXml/itemProps3.xml><?xml version="1.0" encoding="utf-8"?>
<ds:datastoreItem xmlns:ds="http://schemas.openxmlformats.org/officeDocument/2006/customXml" ds:itemID="{B5BE9482-B3E2-4C14-9484-366F6FF3863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Intro</vt:lpstr>
      <vt:lpstr>CaucePrincipal</vt:lpstr>
      <vt:lpstr>CauceLateral</vt:lpstr>
      <vt:lpstr>CauceCAD</vt:lpstr>
      <vt:lpstr>YnYc</vt:lpstr>
      <vt:lpstr>FuerzaTractiva</vt:lpstr>
      <vt:lpstr>Referencias</vt:lpstr>
      <vt:lpstr>{R}</vt:lpstr>
      <vt:lpstr>YnYc!Área_de_impresión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JUAN DAVID RODRIGUEZ ACEVEDO</cp:lastModifiedBy>
  <dcterms:created xsi:type="dcterms:W3CDTF">2018-11-28T14:19:17Z</dcterms:created>
  <dcterms:modified xsi:type="dcterms:W3CDTF">2023-09-20T17:58:03Z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0x010100F964446C04693346A0AF98EC2585F682</vt:lpwstr>
  </property>
</Properties>
</file>