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.HydroTools\DisenoGeometricoHidraulicoVertical\.old\"/>
    </mc:Choice>
  </mc:AlternateContent>
  <xr:revisionPtr revIDLastSave="0" documentId="13_ncr:1_{8207BCE1-FA76-4E78-8216-968C8E63452E}" xr6:coauthVersionLast="47" xr6:coauthVersionMax="47" xr10:uidLastSave="{00000000-0000-0000-0000-000000000000}"/>
  <bookViews>
    <workbookView xWindow="-28920" yWindow="-120" windowWidth="29040" windowHeight="15720" activeTab="1" xr2:uid="{98B088E3-E8FC-4605-8BE9-CD6B532D30F1}"/>
  </bookViews>
  <sheets>
    <sheet name="FuerzaTractiva" sheetId="1" r:id="rId1"/>
    <sheet name="Hoja1 (2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94" i="1" l="1"/>
  <c r="D56" i="1" l="1"/>
  <c r="E59" i="1"/>
  <c r="D59" i="1"/>
  <c r="C59" i="1"/>
  <c r="E58" i="1"/>
  <c r="D58" i="1"/>
  <c r="C58" i="1"/>
  <c r="B58" i="1"/>
  <c r="E56" i="1"/>
  <c r="C56" i="1"/>
  <c r="B56" i="1"/>
  <c r="L3" i="1"/>
  <c r="D98" i="1"/>
  <c r="D102" i="1" s="1"/>
  <c r="C98" i="1"/>
  <c r="E97" i="1"/>
  <c r="D97" i="1"/>
  <c r="C97" i="1"/>
  <c r="B97" i="1"/>
  <c r="E81" i="1"/>
  <c r="C81" i="1"/>
  <c r="B81" i="1"/>
  <c r="D11" i="1"/>
  <c r="D12" i="1" s="1"/>
  <c r="I9" i="1"/>
  <c r="K9" i="1" s="1"/>
  <c r="L9" i="1" s="1"/>
  <c r="I10" i="1"/>
  <c r="K10" i="1" s="1"/>
  <c r="L10" i="1" s="1"/>
  <c r="I11" i="1"/>
  <c r="K11" i="1" s="1"/>
  <c r="L11" i="1" s="1"/>
  <c r="I12" i="1"/>
  <c r="K12" i="1" s="1"/>
  <c r="L12" i="1" s="1"/>
  <c r="I13" i="1"/>
  <c r="K13" i="1" s="1"/>
  <c r="L13" i="1" s="1"/>
  <c r="I14" i="1"/>
  <c r="J14" i="1" s="1"/>
  <c r="I15" i="1"/>
  <c r="K15" i="1" s="1"/>
  <c r="L15" i="1" s="1"/>
  <c r="I8" i="1"/>
  <c r="J8" i="1" s="1"/>
  <c r="E62" i="2"/>
  <c r="D62" i="2"/>
  <c r="C62" i="2"/>
  <c r="B62" i="2"/>
  <c r="E61" i="2"/>
  <c r="C61" i="2"/>
  <c r="B61" i="2"/>
  <c r="E60" i="2"/>
  <c r="C60" i="2"/>
  <c r="B60" i="2"/>
  <c r="N57" i="2" a="1"/>
  <c r="N57" i="2" s="1"/>
  <c r="D42" i="2"/>
  <c r="E40" i="2"/>
  <c r="D40" i="2"/>
  <c r="D43" i="2" s="1"/>
  <c r="C40" i="2"/>
  <c r="B40" i="2"/>
  <c r="E19" i="2"/>
  <c r="E31" i="2" s="1"/>
  <c r="C19" i="2"/>
  <c r="C31" i="2" s="1"/>
  <c r="E15" i="2"/>
  <c r="C15" i="2"/>
  <c r="J14" i="2"/>
  <c r="J13" i="2"/>
  <c r="J12" i="2"/>
  <c r="J11" i="2"/>
  <c r="J10" i="2"/>
  <c r="I9" i="2"/>
  <c r="J9" i="2" s="1"/>
  <c r="H34" i="2" s="1" a="1"/>
  <c r="J8" i="2"/>
  <c r="J7" i="2"/>
  <c r="I7" i="2"/>
  <c r="D6" i="2"/>
  <c r="H3" i="2"/>
  <c r="J11" i="1" l="1"/>
  <c r="D81" i="1"/>
  <c r="J12" i="1"/>
  <c r="J10" i="1"/>
  <c r="J9" i="1"/>
  <c r="K8" i="1"/>
  <c r="L8" i="1" s="1"/>
  <c r="K14" i="1"/>
  <c r="L14" i="1" s="1"/>
  <c r="J13" i="1"/>
  <c r="J15" i="1"/>
  <c r="J34" i="2"/>
  <c r="I34" i="2"/>
  <c r="H34" i="2"/>
  <c r="D44" i="2"/>
  <c r="D61" i="2" s="1"/>
  <c r="C32" i="2"/>
  <c r="O57" i="2"/>
  <c r="E32" i="2"/>
  <c r="E98" i="1"/>
  <c r="H35" i="1" a="1"/>
  <c r="J35" i="1" s="1"/>
  <c r="D46" i="2" l="1"/>
  <c r="D11" i="2"/>
  <c r="D60" i="2" s="1"/>
  <c r="D63" i="2" s="1"/>
  <c r="I35" i="1"/>
  <c r="H35" i="1"/>
  <c r="E83" i="1"/>
  <c r="D83" i="1"/>
  <c r="C83" i="1"/>
  <c r="B83" i="1"/>
  <c r="E82" i="1"/>
  <c r="C82" i="1"/>
  <c r="B82" i="1"/>
  <c r="E120" i="1"/>
  <c r="D120" i="1"/>
  <c r="C120" i="1"/>
  <c r="B120" i="1"/>
  <c r="E21" i="1"/>
  <c r="C21" i="1"/>
  <c r="C61" i="1" s="1"/>
  <c r="E62" i="1" l="1"/>
  <c r="E102" i="1" s="1"/>
  <c r="E57" i="1"/>
  <c r="C57" i="1"/>
  <c r="D123" i="1"/>
  <c r="D122" i="1"/>
  <c r="D65" i="2"/>
  <c r="D64" i="2"/>
  <c r="C62" i="1"/>
  <c r="E61" i="1"/>
  <c r="P57" i="1" a="1"/>
  <c r="P57" i="1" s="1"/>
  <c r="D124" i="1" l="1"/>
  <c r="D129" i="1" s="1"/>
  <c r="Q57" i="1"/>
  <c r="C100" i="1" s="1"/>
  <c r="C102" i="1" s="1"/>
  <c r="C103" i="1" s="1"/>
  <c r="E100" i="1" l="1"/>
  <c r="D100" i="1"/>
  <c r="D82" i="1"/>
  <c r="D87" i="1" s="1"/>
  <c r="E103" i="1" l="1"/>
  <c r="D103" i="1"/>
  <c r="D113" i="1" s="1"/>
  <c r="E87" i="1"/>
  <c r="C87" i="1"/>
  <c r="D114" i="1" l="1"/>
  <c r="D17" i="1" s="1"/>
  <c r="C113" i="1"/>
  <c r="C114" i="1"/>
  <c r="E113" i="1"/>
  <c r="E114" i="1"/>
  <c r="E17" i="1" l="1"/>
  <c r="C1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5" authorId="0" shapeId="0" xr:uid="{0111A3DE-11F0-4B42-9ABD-E760BF38C3EF}">
      <text>
        <r>
          <rPr>
            <sz val="9"/>
            <color indexed="81"/>
            <rFont val="Tahoma"/>
            <family val="2"/>
          </rPr>
          <t>Cuando existe restricción establecida para el alto del canal, se debe buscar un tamaño de material en el lecho cuyo tamaño permita que el esfuerzo cortante crítico sea menor a la fuerza tractiva de arrastre. 
Evaluar inicialmente el tamaño del material disponible en el lecho, verificar si la fuerza tractiva permisible es menor a la fuerza tractiva unitaria. En caso de que exista arrastre o canal inestable será necesario encontrar el tamaño adecuado de material para estabilizar el lecho.</t>
        </r>
      </text>
    </comment>
  </commentList>
</comments>
</file>

<file path=xl/sharedStrings.xml><?xml version="1.0" encoding="utf-8"?>
<sst xmlns="http://schemas.openxmlformats.org/spreadsheetml/2006/main" count="235" uniqueCount="148">
  <si>
    <t>Caudal</t>
  </si>
  <si>
    <t>m/m</t>
  </si>
  <si>
    <t>Pendiente</t>
  </si>
  <si>
    <t>adim.</t>
  </si>
  <si>
    <t>m³/s</t>
  </si>
  <si>
    <t>Q</t>
  </si>
  <si>
    <t>So</t>
  </si>
  <si>
    <t>Factor de reducción del esfuerzo cortante crítico</t>
  </si>
  <si>
    <t>Sí 𝛼 &gt; 𝜃, aplicar factor de reducción K𝛼</t>
  </si>
  <si>
    <t>Temperatura °C</t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</si>
  <si>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Tamaño de partícula</t>
    </r>
  </si>
  <si>
    <t>Temperatura media del agua</t>
  </si>
  <si>
    <t>t</t>
  </si>
  <si>
    <t>°C</t>
  </si>
  <si>
    <t>x</t>
  </si>
  <si>
    <t>c</t>
  </si>
  <si>
    <t>x²</t>
  </si>
  <si>
    <t xml:space="preserve">La temperatura es empleada para calcular el peso específico del </t>
  </si>
  <si>
    <t>Notas</t>
  </si>
  <si>
    <t>Peso Específico del Agua</t>
  </si>
  <si>
    <r>
      <t xml:space="preserve">Peso Específico del Agua - </t>
    </r>
    <r>
      <rPr>
        <sz val="16"/>
        <color theme="1"/>
        <rFont val="Orkney Light"/>
      </rPr>
      <t>γ</t>
    </r>
  </si>
  <si>
    <r>
      <rPr>
        <sz val="14"/>
        <color theme="1"/>
        <rFont val="Orkney Light"/>
      </rPr>
      <t>γ</t>
    </r>
    <r>
      <rPr>
        <sz val="18"/>
        <color theme="1"/>
        <rFont val="Orkney Light"/>
      </rPr>
      <t xml:space="preserve"> </t>
    </r>
    <r>
      <rPr>
        <sz val="11"/>
        <color theme="1"/>
        <rFont val="Orkney Light"/>
      </rPr>
      <t>Peso Específico N / m³</t>
    </r>
  </si>
  <si>
    <t>Datos de Entrada</t>
  </si>
  <si>
    <t>γ</t>
  </si>
  <si>
    <t>N / m³</t>
  </si>
  <si>
    <t>Ancho Máximo disponible en valle</t>
  </si>
  <si>
    <t>T</t>
  </si>
  <si>
    <t>m</t>
  </si>
  <si>
    <t>Altura disponible sin borde libre</t>
  </si>
  <si>
    <t>y</t>
  </si>
  <si>
    <t>FUERZA TRACTIVA USANDO SHIELDS RESOLVIENDO ANCHO EN LA BASE Y TAMAÑO MÍNIMO DE PARTICULAS REQUERIDAS EN EL LECHO PARA SECCIÓN ESTABLE</t>
  </si>
  <si>
    <t>Esfuerzo tractivo permisible, lb/ft² (Valores recomendados)</t>
  </si>
  <si>
    <t>Canales de material grueso no cohesivo (Tamaño 25% o mayor)</t>
  </si>
  <si>
    <t>Canales con alto contenido de finos en el agua</t>
  </si>
  <si>
    <t>Canales con poco sedimento en el agua</t>
  </si>
  <si>
    <t>Canales con agua clara</t>
  </si>
  <si>
    <t>Gravedad</t>
  </si>
  <si>
    <t>g</t>
  </si>
  <si>
    <t>m/s²</t>
  </si>
  <si>
    <r>
      <t>Diámetro promedio de la partícula (mm), Shields D</t>
    </r>
    <r>
      <rPr>
        <vertAlign val="subscript"/>
        <sz val="10"/>
        <color theme="1"/>
        <rFont val="Orkney Light"/>
      </rPr>
      <t>50</t>
    </r>
    <r>
      <rPr>
        <sz val="10"/>
        <color theme="1"/>
        <rFont val="Orkney Light"/>
      </rPr>
      <t>, Lane D</t>
    </r>
    <r>
      <rPr>
        <vertAlign val="subscript"/>
        <sz val="10"/>
        <color theme="1"/>
        <rFont val="Orkney Light"/>
      </rPr>
      <t>75</t>
    </r>
  </si>
  <si>
    <t>Conocido y, encontrar el ancho del canal usando la ecuación de Manning</t>
  </si>
  <si>
    <t>Factor de conversión de unidades</t>
  </si>
  <si>
    <t>Área hidráulica</t>
  </si>
  <si>
    <t>A</t>
  </si>
  <si>
    <t>𝛼1</t>
  </si>
  <si>
    <t>𝛼2</t>
  </si>
  <si>
    <t>Izq z1:1</t>
  </si>
  <si>
    <t>Der z2:1</t>
  </si>
  <si>
    <t>Talud (m/m)</t>
  </si>
  <si>
    <t>Ángulo de reposo del sedimento (°)</t>
  </si>
  <si>
    <t>𝜃 izq</t>
  </si>
  <si>
    <t>𝜃 lecho</t>
  </si>
  <si>
    <t>𝜃 der</t>
  </si>
  <si>
    <t>n izq</t>
  </si>
  <si>
    <t>n lecho</t>
  </si>
  <si>
    <t>n der</t>
  </si>
  <si>
    <t>Rugosidad (adim.)</t>
  </si>
  <si>
    <t>Ángulo del Talud (°)</t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</si>
  <si>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izq</t>
    </r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</si>
  <si>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der</t>
    </r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</si>
  <si>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lecho</t>
    </r>
  </si>
  <si>
    <t>A resolver</t>
  </si>
  <si>
    <t>en mm</t>
  </si>
  <si>
    <t>Acho en la base a resolver</t>
  </si>
  <si>
    <t>b</t>
  </si>
  <si>
    <t>m²</t>
  </si>
  <si>
    <t>Perímetro mojado</t>
  </si>
  <si>
    <t>Pm</t>
  </si>
  <si>
    <t xml:space="preserve">0 = </t>
  </si>
  <si>
    <t>Radio hidráulico</t>
  </si>
  <si>
    <t>R</t>
  </si>
  <si>
    <t>K𝛼 izq</t>
  </si>
  <si>
    <t>K𝛼 der</t>
  </si>
  <si>
    <t>Ecuación de Manning</t>
  </si>
  <si>
    <r>
      <rPr>
        <sz val="16"/>
        <color theme="1"/>
        <rFont val="Symbol"/>
        <family val="1"/>
        <charset val="2"/>
      </rPr>
      <t>t</t>
    </r>
    <r>
      <rPr>
        <sz val="11"/>
        <color theme="1"/>
        <rFont val="Orkney Light"/>
      </rPr>
      <t>o</t>
    </r>
  </si>
  <si>
    <r>
      <t xml:space="preserve">Fuerza tractiva por unidad de área mojada,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o</t>
    </r>
  </si>
  <si>
    <t>N / m²</t>
  </si>
  <si>
    <t>Fuerza tractiva unitaria en fondo</t>
  </si>
  <si>
    <r>
      <rPr>
        <sz val="16"/>
        <color theme="1"/>
        <rFont val="Symbol"/>
        <family val="1"/>
        <charset val="2"/>
      </rPr>
      <t>t</t>
    </r>
    <r>
      <rPr>
        <sz val="11"/>
        <color theme="1"/>
        <rFont val="Orkney Light"/>
      </rPr>
      <t>o talud</t>
    </r>
  </si>
  <si>
    <t>Fuerza tractiva unitaria en talud para canales trapezoidales (Aprox.)</t>
  </si>
  <si>
    <r>
      <t xml:space="preserve">Si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o</t>
    </r>
    <r>
      <rPr>
        <sz val="11"/>
        <color theme="1"/>
        <rFont val="Orkney Light"/>
      </rPr>
      <t xml:space="preserve"> &lt;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, el canal es estable </t>
    </r>
  </si>
  <si>
    <t>Sí la fuerza tractiva en cualquier parte de la sección transversal es menor que el esfuerzo cortante crítico, el canal se considera estable.</t>
  </si>
  <si>
    <t>Aproximación de Lane</t>
  </si>
  <si>
    <t>https://www.google.com.co/search?q=peso+especifico+del+agua+a+diferentes+temperaturas&amp;tbm=isch&amp;source=iu&amp;ictx=1&amp;fir=tz8yIulDTfIgrM%253A%252CBq6jOTbD-WtrPM%252C_&amp;usg=AI4_-kSmwQJCaGv4fHU1gd33CTfhuv2LIA&amp;sa=X&amp;ved=2ahUKEwjpmtX_zdndAhWOwFkKHbIZCjwQ9QEwAXoECAYQBA#imgrc=5CxFEpcA0TPmDM:</t>
  </si>
  <si>
    <t>Densidad del Agua</t>
  </si>
  <si>
    <t>𝜌</t>
  </si>
  <si>
    <r>
      <rPr>
        <sz val="16"/>
        <color theme="1"/>
        <rFont val="Symbol"/>
        <family val="1"/>
        <charset val="2"/>
      </rPr>
      <t>r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Orkney Light"/>
      </rPr>
      <t>Densidad del Agua 
kg / m³</t>
    </r>
  </si>
  <si>
    <r>
      <rPr>
        <sz val="14"/>
        <color theme="1"/>
        <rFont val="Orkney Light"/>
      </rPr>
      <t>γ</t>
    </r>
    <r>
      <rPr>
        <sz val="18"/>
        <color theme="1"/>
        <rFont val="Orkney Light"/>
      </rPr>
      <t xml:space="preserve"> </t>
    </r>
    <r>
      <rPr>
        <sz val="11"/>
        <color theme="1"/>
        <rFont val="Orkney Light"/>
      </rPr>
      <t>Peso Específico 
N / m³</t>
    </r>
  </si>
  <si>
    <t>La temperatura es empleada para calcular el peso específico del agua</t>
  </si>
  <si>
    <t>Sistema Internacional</t>
  </si>
  <si>
    <t>Sistema Inglés</t>
  </si>
  <si>
    <t>https://www.fullquimica.com/2012/04/densidad-del-agua.html</t>
  </si>
  <si>
    <r>
      <rPr>
        <sz val="16"/>
        <color theme="1"/>
        <rFont val="Symbol"/>
        <family val="1"/>
        <charset val="2"/>
      </rPr>
      <t>r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Orkney Light"/>
      </rPr>
      <t>Densidad del Agua 
lb / ft³</t>
    </r>
  </si>
  <si>
    <t>SI</t>
  </si>
  <si>
    <t>https://es.slideshare.net/Ebene159/mcanica-de-fludos</t>
  </si>
  <si>
    <r>
      <rPr>
        <sz val="14"/>
        <color theme="1"/>
        <rFont val="Orkney Light"/>
      </rPr>
      <t>γ</t>
    </r>
    <r>
      <rPr>
        <sz val="18"/>
        <color theme="1"/>
        <rFont val="Orkney Light"/>
      </rPr>
      <t xml:space="preserve"> </t>
    </r>
    <r>
      <rPr>
        <sz val="11"/>
        <color theme="1"/>
        <rFont val="Orkney Light"/>
      </rPr>
      <t>Peso Específico 
lbf / ft³</t>
    </r>
  </si>
  <si>
    <t>r</t>
  </si>
  <si>
    <t>kg / m³</t>
  </si>
  <si>
    <r>
      <t xml:space="preserve">Si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o talud</t>
    </r>
    <r>
      <rPr>
        <sz val="11"/>
        <color theme="1"/>
        <rFont val="Orkney Light"/>
      </rPr>
      <t xml:space="preserve"> &lt;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 talud</t>
    </r>
    <r>
      <rPr>
        <sz val="11"/>
        <color theme="1"/>
        <rFont val="Orkney Light"/>
      </rPr>
      <t xml:space="preserve">, el canal es estable 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</si>
  <si>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o fondo</t>
    </r>
  </si>
  <si>
    <r>
      <t xml:space="preserve">Si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o fondo</t>
    </r>
    <r>
      <rPr>
        <sz val="11"/>
        <color theme="1"/>
        <rFont val="Orkney Light"/>
      </rPr>
      <t xml:space="preserve"> &lt;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 fondo</t>
    </r>
    <r>
      <rPr>
        <sz val="11"/>
        <color theme="1"/>
        <rFont val="Orkney Light"/>
      </rPr>
      <t xml:space="preserve">, el canal es estable </t>
    </r>
  </si>
  <si>
    <t>Buscar objetivo haciendo este valor igual a cero cambiando el ancho en la base.</t>
  </si>
  <si>
    <r>
      <t xml:space="preserve">Densidad y Peso Específico del Agua - </t>
    </r>
    <r>
      <rPr>
        <sz val="16"/>
        <color theme="1"/>
        <rFont val="Orkney Light"/>
      </rPr>
      <t>γ</t>
    </r>
  </si>
  <si>
    <t>Datos de Entrada en Sistema Internacional de Unidades</t>
  </si>
  <si>
    <t>Fuerza tractiva unitaria 
en fondo y talud (kg / m²)</t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</si>
  <si>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 </t>
    </r>
    <r>
      <rPr>
        <vertAlign val="subscript"/>
        <sz val="11"/>
        <color theme="1"/>
        <rFont val="Orkney Light"/>
      </rPr>
      <t xml:space="preserve">talud izq
</t>
    </r>
    <r>
      <rPr>
        <sz val="8"/>
        <color theme="1"/>
        <rFont val="Orkney Light"/>
      </rPr>
      <t>(kg / m²)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</si>
  <si>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 </t>
    </r>
    <r>
      <rPr>
        <vertAlign val="subscript"/>
        <sz val="11"/>
        <color theme="1"/>
        <rFont val="Orkney Light"/>
      </rPr>
      <t>fondo</t>
    </r>
    <r>
      <rPr>
        <sz val="11"/>
        <color theme="1"/>
        <rFont val="Orkney Light"/>
      </rPr>
      <t xml:space="preserve"> 
</t>
    </r>
    <r>
      <rPr>
        <sz val="8"/>
        <color theme="1"/>
        <rFont val="Orkney Light"/>
      </rPr>
      <t>(kg / m²)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</si>
  <si>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 </t>
    </r>
    <r>
      <rPr>
        <vertAlign val="subscript"/>
        <sz val="11"/>
        <color theme="1"/>
        <rFont val="Orkney Light"/>
      </rPr>
      <t xml:space="preserve">talud der
</t>
    </r>
    <r>
      <rPr>
        <sz val="8"/>
        <color theme="1"/>
        <rFont val="Orkney Light"/>
      </rPr>
      <t>(kg / m²)</t>
    </r>
  </si>
  <si>
    <t>Analisis de estabilidad</t>
  </si>
  <si>
    <t>Talud izq.</t>
  </si>
  <si>
    <t>Fondo</t>
  </si>
  <si>
    <t>Talud der.</t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</si>
  <si>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Tamaño de partícula en mm</t>
    </r>
  </si>
  <si>
    <t>Lecho o fondo</t>
  </si>
  <si>
    <t>Solicitar al usuario que indique si se trata de materiales gruesos, canales con altos o bajos sedimentos finos en el agua, ó canales que transportan agua limpia. A partir de esta selección se utiliza la regresión correspondiente para estimar la fuerza tractiva crítica sobre el fondo y los taludes</t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</si>
  <si>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 xml:space="preserve">o talud izq </t>
    </r>
    <r>
      <rPr>
        <sz val="11"/>
        <color theme="1"/>
        <rFont val="Calibri Light"/>
        <family val="2"/>
      </rPr>
      <t>= 0.76 t</t>
    </r>
    <r>
      <rPr>
        <vertAlign val="subscript"/>
        <sz val="11"/>
        <color theme="1"/>
        <rFont val="Orkney Light"/>
      </rPr>
      <t>o fondo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</si>
  <si>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 xml:space="preserve">o talud der </t>
    </r>
    <r>
      <rPr>
        <sz val="11"/>
        <color theme="1"/>
        <rFont val="Calibri Light"/>
        <family val="2"/>
      </rPr>
      <t>= 0.76 t</t>
    </r>
    <r>
      <rPr>
        <vertAlign val="subscript"/>
        <sz val="11"/>
        <color theme="1"/>
        <rFont val="Orkney Light"/>
      </rPr>
      <t>o fondo</t>
    </r>
  </si>
  <si>
    <t>Ejemplo lb/ft³ a N / m³:</t>
  </si>
  <si>
    <t>lb/ft³</t>
  </si>
  <si>
    <t xml:space="preserve"> N / m³</t>
  </si>
  <si>
    <t>FUERZA TRACTIVA RESOLVIENDO ANCHO EN LA BASE Y TAMAÑO MÍNIMO DE PARTICULAS REQUERIDAS EN EL LECHO PARA CONFORMAR SECCIÓN ESTABLE (Ejemplo 7.4 Ven Te Chow)</t>
  </si>
  <si>
    <r>
      <rPr>
        <sz val="11"/>
        <color theme="1"/>
        <rFont val="Symbol"/>
        <family val="1"/>
        <charset val="2"/>
      </rPr>
      <t>f</t>
    </r>
    <r>
      <rPr>
        <sz val="11"/>
        <color theme="1"/>
        <rFont val="Orkney Light"/>
      </rPr>
      <t>: ángulo de reposo del sedimento</t>
    </r>
  </si>
  <si>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Orkney Light"/>
      </rPr>
      <t>: ángulo del talud,</t>
    </r>
  </si>
  <si>
    <t>En canales rectos y para cada tamaño de partícula en taludes y fondo, la fuerza tractiva sobre un fondo plano y su respectiva componente lateral en los taludes es</t>
  </si>
  <si>
    <t>Canal ligeramente sinuoso</t>
  </si>
  <si>
    <t>Canal moderadamente sinuoso</t>
  </si>
  <si>
    <t>Canal muy sinuoso</t>
  </si>
  <si>
    <t>Fs cercano a 1 (iamR)</t>
  </si>
  <si>
    <t>Fs cercano a 1.25 (iamR)</t>
  </si>
  <si>
    <t>Fs cercano a 1.5 (iamR)</t>
  </si>
  <si>
    <t>Seleccione el tipo de sinuosidad</t>
  </si>
  <si>
    <t>% de reducción en canales sinuosos (Lane), Factor de sinuosidad (iamR)</t>
  </si>
  <si>
    <t>% reducción seleccionado</t>
  </si>
  <si>
    <t>Fuerza tractiva permisible</t>
  </si>
  <si>
    <t>Fuerza tractiva unitaria</t>
  </si>
  <si>
    <t>Fuerza tractiva permisible reducida</t>
  </si>
  <si>
    <t>Canal recto</t>
  </si>
  <si>
    <r>
      <t>D</t>
    </r>
    <r>
      <rPr>
        <vertAlign val="subscript"/>
        <sz val="11"/>
        <color theme="1"/>
        <rFont val="Orkney Light"/>
      </rPr>
      <t>75</t>
    </r>
    <r>
      <rPr>
        <sz val="11"/>
        <color theme="1"/>
        <rFont val="Orkney Light"/>
      </rPr>
      <t xml:space="preserve"> izq</t>
    </r>
  </si>
  <si>
    <r>
      <t>D</t>
    </r>
    <r>
      <rPr>
        <vertAlign val="subscript"/>
        <sz val="11"/>
        <color theme="1"/>
        <rFont val="Orkney Light"/>
      </rPr>
      <t>75</t>
    </r>
    <r>
      <rPr>
        <sz val="11"/>
        <color theme="1"/>
        <rFont val="Orkney Light"/>
      </rPr>
      <t xml:space="preserve"> lecho</t>
    </r>
  </si>
  <si>
    <r>
      <t>D</t>
    </r>
    <r>
      <rPr>
        <vertAlign val="subscript"/>
        <sz val="11"/>
        <color theme="1"/>
        <rFont val="Orkney Light"/>
      </rPr>
      <t>75</t>
    </r>
    <r>
      <rPr>
        <sz val="11"/>
        <color theme="1"/>
        <rFont val="Orkney Light"/>
      </rPr>
      <t xml:space="preserve"> der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</si>
  <si>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 </t>
    </r>
    <r>
      <rPr>
        <vertAlign val="subscript"/>
        <sz val="11"/>
        <color theme="1"/>
        <rFont val="Orkney Light"/>
      </rPr>
      <t xml:space="preserve">talud izq </t>
    </r>
    <r>
      <rPr>
        <sz val="11"/>
        <color theme="1"/>
        <rFont val="Orkney Light"/>
      </rPr>
      <t>d</t>
    </r>
    <r>
      <rPr>
        <sz val="10"/>
        <color theme="1"/>
        <rFont val="Orkney Light"/>
      </rPr>
      <t>&gt; 6mm</t>
    </r>
    <r>
      <rPr>
        <vertAlign val="subscript"/>
        <sz val="11"/>
        <color theme="1"/>
        <rFont val="Orkney Light"/>
      </rPr>
      <t xml:space="preserve">
</t>
    </r>
    <r>
      <rPr>
        <sz val="8"/>
        <color theme="1"/>
        <rFont val="Orkney Light"/>
      </rPr>
      <t>(lb / ft²)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</si>
  <si>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 </t>
    </r>
    <r>
      <rPr>
        <vertAlign val="subscript"/>
        <sz val="11"/>
        <color theme="1"/>
        <rFont val="Orkney Light"/>
      </rPr>
      <t>fondo</t>
    </r>
    <r>
      <rPr>
        <sz val="11"/>
        <color theme="1"/>
        <rFont val="Orkney Light"/>
      </rPr>
      <t xml:space="preserve"> d </t>
    </r>
    <r>
      <rPr>
        <sz val="10"/>
        <color theme="1"/>
        <rFont val="Orkney Light"/>
      </rPr>
      <t xml:space="preserve">&gt; 6mm </t>
    </r>
    <r>
      <rPr>
        <sz val="11"/>
        <color theme="1"/>
        <rFont val="Orkney Light"/>
      </rPr>
      <t xml:space="preserve">
</t>
    </r>
    <r>
      <rPr>
        <sz val="8"/>
        <color theme="1"/>
        <rFont val="Orkney Light"/>
      </rPr>
      <t>(lb / ft²)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</si>
  <si>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 </t>
    </r>
    <r>
      <rPr>
        <vertAlign val="subscript"/>
        <sz val="11"/>
        <color theme="1"/>
        <rFont val="Orkney Light"/>
      </rPr>
      <t>talud der</t>
    </r>
    <r>
      <rPr>
        <sz val="10"/>
        <color theme="1"/>
        <rFont val="Orkney Light"/>
      </rPr>
      <t xml:space="preserve"> d &gt; 6mm </t>
    </r>
    <r>
      <rPr>
        <vertAlign val="subscript"/>
        <sz val="11"/>
        <color theme="1"/>
        <rFont val="Orkney Light"/>
      </rPr>
      <t xml:space="preserve">
</t>
    </r>
    <r>
      <rPr>
        <sz val="8"/>
        <color theme="1"/>
        <rFont val="Orkney Light"/>
      </rPr>
      <t>(lb / ft²)</t>
    </r>
  </si>
  <si>
    <t>Curvas de esfuerzo tractivo permisible para materiales finos. Para materiales con tamaño menor a 6mm se utilizará d75 / 13.</t>
  </si>
  <si>
    <t>Lane 
0.3"&lt; d75 &lt;3"</t>
  </si>
  <si>
    <t>Book: Julian Aguirre</t>
  </si>
  <si>
    <t>Definido y de diseño, encontrar el ancho del canal usando la ecuación de Manning</t>
  </si>
  <si>
    <t xml:space="preserve">La altura de diseño y es definida a partir de la altura disponible en los cauces naturales en el punto de inicio y entrega del canal a diseñar. Cuando se trata de canales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</si>
</sst>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_-;\-* #,##0_-;_-* &quot;-&quot;_-;_-@_-"/>
    <numFmt numFmtId="165" formatCode="0.0000000"/>
    <numFmt numFmtId="166" formatCode="0.000000"/>
    <numFmt numFmtId="167" formatCode="0.000"/>
    <numFmt numFmtId="168" formatCode="0.0"/>
    <numFmt numFmtId="169" formatCode="0.0000"/>
  </numFmts>
  <fonts count="26">
    <font>
      <sz val="11"/>
      <color theme="1"/>
      <name val="Calibri"/>
      <family val="2"/>
      <scheme val="minor"/>
    </font>
    <font>
      <sz val="11"/>
      <color theme="1"/>
      <name val="Calibri Light"/>
      <family val="2"/>
    </font>
    <font>
      <sz val="11"/>
      <color theme="1"/>
      <name val="Orkney Light"/>
    </font>
    <font>
      <sz val="11"/>
      <color rgb="FF0070C0"/>
      <name val="Orkney Light"/>
    </font>
    <font>
      <sz val="18"/>
      <color theme="1"/>
      <name val="Orkney Light"/>
    </font>
    <font>
      <vertAlign val="subscript"/>
      <sz val="11"/>
      <color theme="1"/>
      <name val="Orkney Light"/>
    </font>
    <font>
      <sz val="11"/>
      <name val="Orkney Light"/>
    </font>
    <font>
      <sz val="14"/>
      <color theme="1"/>
      <name val="Orkney Light"/>
    </font>
    <font>
      <sz val="16"/>
      <color theme="1"/>
      <name val="Orkney Light"/>
    </font>
    <font>
      <sz val="10"/>
      <color theme="1"/>
      <name val="Orkney Light"/>
    </font>
    <font>
      <vertAlign val="subscript"/>
      <sz val="10"/>
      <color theme="1"/>
      <name val="Orkney Light"/>
    </font>
    <font>
      <sz val="11"/>
      <color rgb="FFC00000"/>
      <name val="Orkney Light"/>
    </font>
    <font>
      <sz val="10"/>
      <color rgb="FFC00000"/>
      <name val="Orkney Light"/>
    </font>
    <font>
      <u/>
      <sz val="11"/>
      <color theme="10"/>
      <name val="Calibri"/>
      <family val="2"/>
      <scheme val="minor"/>
    </font>
    <font>
      <sz val="9"/>
      <color theme="0" tint="-0.499984740745262"/>
      <name val="Orkney Light"/>
    </font>
    <font>
      <sz val="16"/>
      <color theme="1"/>
      <name val="Symbol"/>
      <family val="1"/>
      <charset val="2"/>
    </font>
    <font>
      <sz val="18"/>
      <color theme="1"/>
      <name val="Symbol"/>
      <family val="1"/>
      <charset val="2"/>
    </font>
    <font>
      <sz val="11"/>
      <color theme="1"/>
      <name val="Orkney Light"/>
      <family val="1"/>
      <charset val="2"/>
    </font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0"/>
      <name val="Calibri"/>
      <family val="2"/>
      <scheme val="minor"/>
    </font>
    <font>
      <sz val="8"/>
      <color theme="1"/>
      <name val="Orkney Light"/>
    </font>
    <font>
      <sz val="9"/>
      <color indexed="81"/>
      <name val="Tahoma"/>
      <family val="2"/>
    </font>
    <font>
      <sz val="10"/>
      <name val="Orkney Light"/>
    </font>
    <font>
      <sz val="10"/>
      <color theme="0" tint="-0.499984740745262"/>
      <name val="Orkney Light"/>
    </font>
    <font>
      <sz val="8"/>
      <color theme="0" tint="-0.499984740745262"/>
      <name val="Orkney Light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lightGray">
        <fgColor theme="0" tint="-0.14996795556505021"/>
        <bgColor indexed="65"/>
      </patternFill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/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dashed">
        <color theme="0" tint="-0.14996795556505021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/>
      <diagonal/>
    </border>
    <border>
      <left/>
      <right style="thin">
        <color indexed="64"/>
      </right>
      <top style="thin">
        <color theme="0" tint="-4.9989318521683403E-2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/>
      <right/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/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/>
      <diagonal/>
    </border>
    <border>
      <left style="thin">
        <color indexed="64"/>
      </left>
      <right/>
      <top/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/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4.9989318521683403E-2"/>
      </bottom>
      <diagonal/>
    </border>
    <border>
      <left/>
      <right style="thin">
        <color indexed="64"/>
      </right>
      <top/>
      <bottom style="thin">
        <color theme="0" tint="-4.9989318521683403E-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3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191">
    <xf numFmtId="0" fontId="0" fillId="0" borderId="0" xfId="0"/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15" xfId="0" applyFont="1" applyBorder="1" applyAlignment="1">
      <alignment vertical="top"/>
    </xf>
    <xf numFmtId="0" fontId="2" fillId="2" borderId="2" xfId="0" applyFont="1" applyFill="1" applyBorder="1" applyAlignment="1">
      <alignment horizontal="center" vertical="top"/>
    </xf>
    <xf numFmtId="0" fontId="2" fillId="0" borderId="4" xfId="0" applyFont="1" applyBorder="1" applyAlignment="1">
      <alignment vertical="top"/>
    </xf>
    <xf numFmtId="0" fontId="2" fillId="0" borderId="0" xfId="0" applyFont="1" applyBorder="1" applyAlignment="1">
      <alignment horizontal="center" vertical="top"/>
    </xf>
    <xf numFmtId="0" fontId="2" fillId="0" borderId="11" xfId="0" applyFont="1" applyBorder="1" applyAlignment="1">
      <alignment horizontal="center" vertical="top"/>
    </xf>
    <xf numFmtId="0" fontId="2" fillId="0" borderId="12" xfId="0" applyFont="1" applyBorder="1" applyAlignment="1">
      <alignment horizontal="center" vertical="top"/>
    </xf>
    <xf numFmtId="0" fontId="2" fillId="0" borderId="0" xfId="0" applyFont="1" applyBorder="1" applyAlignment="1">
      <alignment horizontal="left" vertical="top"/>
    </xf>
    <xf numFmtId="0" fontId="2" fillId="0" borderId="6" xfId="0" applyFont="1" applyBorder="1" applyAlignment="1">
      <alignment vertical="top"/>
    </xf>
    <xf numFmtId="0" fontId="2" fillId="0" borderId="7" xfId="0" applyFont="1" applyBorder="1" applyAlignment="1">
      <alignment horizontal="center" vertical="top"/>
    </xf>
    <xf numFmtId="0" fontId="2" fillId="0" borderId="13" xfId="0" applyFont="1" applyBorder="1" applyAlignment="1">
      <alignment horizontal="center" vertical="top"/>
    </xf>
    <xf numFmtId="0" fontId="2" fillId="0" borderId="14" xfId="0" applyFont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0" borderId="0" xfId="0" applyFont="1" applyAlignment="1"/>
    <xf numFmtId="0" fontId="2" fillId="0" borderId="1" xfId="0" applyFont="1" applyBorder="1" applyAlignment="1">
      <alignment horizontal="left" vertical="top" indent="1"/>
    </xf>
    <xf numFmtId="0" fontId="2" fillId="0" borderId="4" xfId="0" applyFont="1" applyBorder="1" applyAlignment="1">
      <alignment horizontal="left" vertical="top" indent="1"/>
    </xf>
    <xf numFmtId="0" fontId="2" fillId="0" borderId="6" xfId="0" applyFont="1" applyBorder="1" applyAlignment="1">
      <alignment horizontal="left" vertical="top" indent="1"/>
    </xf>
    <xf numFmtId="0" fontId="2" fillId="0" borderId="0" xfId="0" applyFont="1" applyAlignment="1">
      <alignment horizontal="left" vertical="top" wrapText="1"/>
    </xf>
    <xf numFmtId="0" fontId="2" fillId="0" borderId="18" xfId="0" applyFont="1" applyBorder="1" applyAlignment="1">
      <alignment horizontal="center" vertical="top"/>
    </xf>
    <xf numFmtId="0" fontId="2" fillId="0" borderId="19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9" fillId="2" borderId="9" xfId="0" applyFont="1" applyFill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right" vertical="center"/>
    </xf>
    <xf numFmtId="0" fontId="2" fillId="0" borderId="22" xfId="0" applyFont="1" applyFill="1" applyBorder="1" applyAlignment="1">
      <alignment horizontal="right" vertical="center"/>
    </xf>
    <xf numFmtId="0" fontId="2" fillId="0" borderId="24" xfId="0" applyFont="1" applyFill="1" applyBorder="1" applyAlignment="1">
      <alignment horizontal="right" vertical="center"/>
    </xf>
    <xf numFmtId="0" fontId="6" fillId="3" borderId="28" xfId="0" applyFont="1" applyFill="1" applyBorder="1" applyAlignment="1">
      <alignment vertical="center"/>
    </xf>
    <xf numFmtId="0" fontId="6" fillId="3" borderId="0" xfId="0" applyFont="1" applyFill="1" applyBorder="1" applyAlignment="1">
      <alignment vertical="center"/>
    </xf>
    <xf numFmtId="0" fontId="6" fillId="3" borderId="29" xfId="0" applyFont="1" applyFill="1" applyBorder="1" applyAlignment="1">
      <alignment vertical="center"/>
    </xf>
    <xf numFmtId="0" fontId="6" fillId="0" borderId="12" xfId="0" applyFont="1" applyBorder="1" applyAlignment="1">
      <alignment horizontal="center" vertical="center"/>
    </xf>
    <xf numFmtId="0" fontId="12" fillId="0" borderId="28" xfId="0" applyFont="1" applyFill="1" applyBorder="1" applyAlignment="1">
      <alignment horizontal="center" vertical="center"/>
    </xf>
    <xf numFmtId="165" fontId="3" fillId="0" borderId="23" xfId="0" applyNumberFormat="1" applyFont="1" applyBorder="1" applyAlignment="1">
      <alignment horizontal="center" vertical="center"/>
    </xf>
    <xf numFmtId="0" fontId="2" fillId="0" borderId="0" xfId="0" applyFont="1" applyAlignment="1">
      <alignment horizontal="right" vertical="top"/>
    </xf>
    <xf numFmtId="0" fontId="14" fillId="0" borderId="0" xfId="1" applyFont="1" applyAlignment="1">
      <alignment horizontal="right" vertical="top"/>
    </xf>
    <xf numFmtId="0" fontId="2" fillId="0" borderId="4" xfId="0" applyFont="1" applyBorder="1" applyAlignment="1">
      <alignment horizontal="right" vertical="top"/>
    </xf>
    <xf numFmtId="0" fontId="11" fillId="0" borderId="4" xfId="0" applyFont="1" applyBorder="1" applyAlignment="1">
      <alignment horizontal="right" vertical="top"/>
    </xf>
    <xf numFmtId="0" fontId="11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horizontal="right" vertical="top"/>
    </xf>
    <xf numFmtId="0" fontId="2" fillId="0" borderId="1" xfId="0" applyFont="1" applyBorder="1" applyAlignment="1">
      <alignment vertical="top" wrapText="1"/>
    </xf>
    <xf numFmtId="0" fontId="2" fillId="0" borderId="2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8" fillId="0" borderId="0" xfId="0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2" fillId="0" borderId="0" xfId="0" applyFont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4" xfId="0" applyFont="1" applyFill="1" applyBorder="1" applyAlignment="1">
      <alignment horizontal="right" vertical="center"/>
    </xf>
    <xf numFmtId="0" fontId="2" fillId="0" borderId="26" xfId="0" applyFont="1" applyFill="1" applyBorder="1" applyAlignment="1">
      <alignment horizontal="right" vertical="center"/>
    </xf>
    <xf numFmtId="0" fontId="2" fillId="0" borderId="4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2" fillId="0" borderId="4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17" fillId="2" borderId="10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2" fontId="2" fillId="0" borderId="12" xfId="0" applyNumberFormat="1" applyFont="1" applyBorder="1" applyAlignment="1">
      <alignment horizontal="center" vertical="top"/>
    </xf>
    <xf numFmtId="2" fontId="2" fillId="0" borderId="14" xfId="0" applyNumberFormat="1" applyFont="1" applyBorder="1" applyAlignment="1">
      <alignment horizontal="center" vertical="top"/>
    </xf>
    <xf numFmtId="168" fontId="2" fillId="0" borderId="12" xfId="0" applyNumberFormat="1" applyFont="1" applyBorder="1" applyAlignment="1">
      <alignment horizontal="center" vertical="top"/>
    </xf>
    <xf numFmtId="168" fontId="2" fillId="0" borderId="14" xfId="0" applyNumberFormat="1" applyFont="1" applyBorder="1" applyAlignment="1">
      <alignment horizontal="center" vertical="top"/>
    </xf>
    <xf numFmtId="0" fontId="20" fillId="0" borderId="0" xfId="1" applyFont="1" applyAlignment="1">
      <alignment vertical="top"/>
    </xf>
    <xf numFmtId="167" fontId="3" fillId="0" borderId="21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0" borderId="27" xfId="0" applyFont="1" applyBorder="1" applyAlignment="1">
      <alignment horizontal="right" vertical="center"/>
    </xf>
    <xf numFmtId="0" fontId="2" fillId="0" borderId="12" xfId="0" applyFont="1" applyBorder="1" applyAlignment="1">
      <alignment vertical="center"/>
    </xf>
    <xf numFmtId="0" fontId="17" fillId="0" borderId="23" xfId="0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168" fontId="6" fillId="0" borderId="23" xfId="0" applyNumberFormat="1" applyFont="1" applyBorder="1" applyAlignment="1">
      <alignment horizontal="center" vertical="center"/>
    </xf>
    <xf numFmtId="0" fontId="19" fillId="0" borderId="29" xfId="0" applyFont="1" applyBorder="1" applyAlignment="1">
      <alignment horizontal="center" vertical="center"/>
    </xf>
    <xf numFmtId="167" fontId="2" fillId="0" borderId="23" xfId="0" applyNumberFormat="1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top" wrapText="1"/>
    </xf>
    <xf numFmtId="167" fontId="2" fillId="0" borderId="0" xfId="0" applyNumberFormat="1" applyFont="1" applyBorder="1" applyAlignment="1">
      <alignment horizontal="center" vertical="top"/>
    </xf>
    <xf numFmtId="167" fontId="11" fillId="0" borderId="0" xfId="0" applyNumberFormat="1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2" fillId="0" borderId="31" xfId="0" applyFont="1" applyBorder="1" applyAlignment="1">
      <alignment horizontal="left" vertical="center"/>
    </xf>
    <xf numFmtId="2" fontId="2" fillId="0" borderId="23" xfId="0" applyNumberFormat="1" applyFont="1" applyBorder="1" applyAlignment="1">
      <alignment horizontal="center" vertical="center"/>
    </xf>
    <xf numFmtId="166" fontId="2" fillId="0" borderId="23" xfId="0" applyNumberFormat="1" applyFont="1" applyBorder="1" applyAlignment="1">
      <alignment horizontal="center" vertical="center"/>
    </xf>
    <xf numFmtId="0" fontId="2" fillId="4" borderId="0" xfId="0" applyFont="1" applyFill="1" applyAlignment="1">
      <alignment vertical="top"/>
    </xf>
    <xf numFmtId="0" fontId="17" fillId="0" borderId="28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167" fontId="2" fillId="0" borderId="12" xfId="0" applyNumberFormat="1" applyFont="1" applyBorder="1" applyAlignment="1">
      <alignment horizontal="center" vertical="center"/>
    </xf>
    <xf numFmtId="0" fontId="11" fillId="0" borderId="28" xfId="0" applyFont="1" applyFill="1" applyBorder="1" applyAlignment="1">
      <alignment horizontal="center" vertical="center"/>
    </xf>
    <xf numFmtId="2" fontId="2" fillId="0" borderId="12" xfId="0" applyNumberFormat="1" applyFont="1" applyBorder="1" applyAlignment="1">
      <alignment horizontal="center" vertical="center"/>
    </xf>
    <xf numFmtId="0" fontId="2" fillId="0" borderId="0" xfId="2" applyNumberFormat="1" applyFont="1" applyBorder="1" applyAlignment="1">
      <alignment horizontal="left" vertical="top"/>
    </xf>
    <xf numFmtId="0" fontId="2" fillId="4" borderId="12" xfId="0" applyFont="1" applyFill="1" applyBorder="1" applyAlignment="1">
      <alignment horizontal="center" vertical="top"/>
    </xf>
    <xf numFmtId="0" fontId="2" fillId="4" borderId="19" xfId="0" applyFont="1" applyFill="1" applyBorder="1" applyAlignment="1">
      <alignment horizontal="center" vertical="top"/>
    </xf>
    <xf numFmtId="0" fontId="2" fillId="4" borderId="14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vertical="top"/>
    </xf>
    <xf numFmtId="0" fontId="2" fillId="0" borderId="2" xfId="0" applyFont="1" applyFill="1" applyBorder="1" applyAlignment="1">
      <alignment horizontal="center" vertical="top"/>
    </xf>
    <xf numFmtId="0" fontId="2" fillId="0" borderId="4" xfId="0" applyFont="1" applyFill="1" applyBorder="1" applyAlignment="1">
      <alignment vertical="top"/>
    </xf>
    <xf numFmtId="0" fontId="2" fillId="0" borderId="0" xfId="0" applyFont="1" applyFill="1" applyBorder="1" applyAlignment="1">
      <alignment horizontal="center" vertical="top"/>
    </xf>
    <xf numFmtId="0" fontId="8" fillId="0" borderId="0" xfId="0" applyFont="1" applyFill="1" applyBorder="1" applyAlignment="1">
      <alignment horizontal="center" vertical="top"/>
    </xf>
    <xf numFmtId="0" fontId="2" fillId="0" borderId="5" xfId="0" applyFont="1" applyFill="1" applyBorder="1" applyAlignment="1">
      <alignment horizontal="center" vertical="top"/>
    </xf>
    <xf numFmtId="0" fontId="17" fillId="0" borderId="0" xfId="0" applyFont="1" applyBorder="1" applyAlignment="1">
      <alignment horizontal="left" vertical="top"/>
    </xf>
    <xf numFmtId="0" fontId="17" fillId="0" borderId="4" xfId="0" applyFont="1" applyBorder="1" applyAlignment="1">
      <alignment horizontal="right" vertical="top" indent="1"/>
    </xf>
    <xf numFmtId="0" fontId="2" fillId="0" borderId="22" xfId="0" applyFont="1" applyBorder="1" applyAlignment="1">
      <alignment horizontal="right" vertical="center" wrapText="1"/>
    </xf>
    <xf numFmtId="0" fontId="2" fillId="0" borderId="23" xfId="0" applyFont="1" applyBorder="1" applyAlignment="1">
      <alignment horizontal="center" vertical="top"/>
    </xf>
    <xf numFmtId="167" fontId="2" fillId="0" borderId="0" xfId="0" applyNumberFormat="1" applyFont="1" applyBorder="1" applyAlignment="1">
      <alignment horizontal="center" vertical="center"/>
    </xf>
    <xf numFmtId="167" fontId="2" fillId="0" borderId="5" xfId="0" applyNumberFormat="1" applyFont="1" applyBorder="1" applyAlignment="1">
      <alignment horizontal="center" vertical="center"/>
    </xf>
    <xf numFmtId="9" fontId="2" fillId="0" borderId="23" xfId="3" applyFont="1" applyBorder="1" applyAlignment="1">
      <alignment horizontal="center" vertical="center"/>
    </xf>
    <xf numFmtId="167" fontId="2" fillId="0" borderId="23" xfId="0" applyNumberFormat="1" applyFont="1" applyBorder="1" applyAlignment="1">
      <alignment horizontal="left" vertical="center"/>
    </xf>
    <xf numFmtId="0" fontId="2" fillId="0" borderId="26" xfId="0" applyFont="1" applyBorder="1" applyAlignment="1">
      <alignment horizontal="right" vertical="center"/>
    </xf>
    <xf numFmtId="0" fontId="2" fillId="0" borderId="22" xfId="0" applyFont="1" applyBorder="1" applyAlignment="1">
      <alignment horizontal="right" vertical="center"/>
    </xf>
    <xf numFmtId="0" fontId="2" fillId="0" borderId="23" xfId="0" applyFont="1" applyBorder="1" applyAlignment="1">
      <alignment horizontal="center" vertical="top" wrapText="1"/>
    </xf>
    <xf numFmtId="0" fontId="2" fillId="0" borderId="12" xfId="0" applyFont="1" applyBorder="1" applyAlignment="1">
      <alignment horizontal="center" vertical="top" wrapText="1"/>
    </xf>
    <xf numFmtId="0" fontId="23" fillId="0" borderId="23" xfId="0" applyFont="1" applyBorder="1" applyAlignment="1">
      <alignment horizontal="center" vertical="top" wrapText="1"/>
    </xf>
    <xf numFmtId="0" fontId="23" fillId="0" borderId="12" xfId="0" applyFont="1" applyBorder="1" applyAlignment="1">
      <alignment horizontal="center" vertical="top" wrapText="1"/>
    </xf>
    <xf numFmtId="10" fontId="23" fillId="0" borderId="23" xfId="3" applyNumberFormat="1" applyFont="1" applyBorder="1" applyAlignment="1">
      <alignment horizontal="center" vertical="top" wrapText="1"/>
    </xf>
    <xf numFmtId="10" fontId="23" fillId="0" borderId="12" xfId="3" applyNumberFormat="1" applyFont="1" applyBorder="1" applyAlignment="1">
      <alignment horizontal="center" vertical="top" wrapText="1"/>
    </xf>
    <xf numFmtId="0" fontId="25" fillId="0" borderId="23" xfId="0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168" fontId="2" fillId="0" borderId="29" xfId="0" applyNumberFormat="1" applyFont="1" applyBorder="1" applyAlignment="1">
      <alignment horizontal="center" vertical="center"/>
    </xf>
    <xf numFmtId="169" fontId="2" fillId="4" borderId="0" xfId="0" applyNumberFormat="1" applyFont="1" applyFill="1" applyBorder="1" applyAlignment="1">
      <alignment horizontal="center" vertical="top"/>
    </xf>
    <xf numFmtId="169" fontId="2" fillId="4" borderId="5" xfId="0" applyNumberFormat="1" applyFont="1" applyFill="1" applyBorder="1" applyAlignment="1">
      <alignment horizontal="center" vertical="top"/>
    </xf>
    <xf numFmtId="169" fontId="2" fillId="0" borderId="23" xfId="0" applyNumberFormat="1" applyFont="1" applyBorder="1" applyAlignment="1">
      <alignment horizontal="center" vertical="center"/>
    </xf>
    <xf numFmtId="169" fontId="2" fillId="0" borderId="12" xfId="0" applyNumberFormat="1" applyFont="1" applyBorder="1" applyAlignment="1">
      <alignment horizontal="center" vertical="center"/>
    </xf>
    <xf numFmtId="169" fontId="2" fillId="0" borderId="23" xfId="0" applyNumberFormat="1" applyFont="1" applyBorder="1" applyAlignment="1">
      <alignment horizontal="center" vertical="top"/>
    </xf>
    <xf numFmtId="169" fontId="2" fillId="0" borderId="12" xfId="0" applyNumberFormat="1" applyFont="1" applyBorder="1" applyAlignment="1">
      <alignment horizontal="center" vertical="top"/>
    </xf>
    <xf numFmtId="0" fontId="21" fillId="0" borderId="3" xfId="0" applyFont="1" applyFill="1" applyBorder="1" applyAlignment="1">
      <alignment horizontal="center" vertical="top" wrapText="1"/>
    </xf>
    <xf numFmtId="0" fontId="2" fillId="2" borderId="20" xfId="0" applyFont="1" applyFill="1" applyBorder="1" applyAlignment="1">
      <alignment horizontal="right" vertical="center"/>
    </xf>
    <xf numFmtId="0" fontId="2" fillId="2" borderId="22" xfId="0" applyFont="1" applyFill="1" applyBorder="1" applyAlignment="1">
      <alignment horizontal="right" vertical="center"/>
    </xf>
    <xf numFmtId="0" fontId="2" fillId="2" borderId="22" xfId="0" applyFont="1" applyFill="1" applyBorder="1" applyAlignment="1">
      <alignment horizontal="right" vertical="center" wrapText="1"/>
    </xf>
    <xf numFmtId="0" fontId="2" fillId="2" borderId="4" xfId="0" applyFont="1" applyFill="1" applyBorder="1" applyAlignment="1">
      <alignment horizontal="right" vertical="center" wrapText="1"/>
    </xf>
    <xf numFmtId="0" fontId="2" fillId="2" borderId="24" xfId="0" applyFont="1" applyFill="1" applyBorder="1" applyAlignment="1">
      <alignment horizontal="right" vertical="center"/>
    </xf>
    <xf numFmtId="0" fontId="9" fillId="0" borderId="4" xfId="0" applyFont="1" applyBorder="1" applyAlignment="1">
      <alignment horizontal="left" vertical="top" wrapText="1"/>
    </xf>
    <xf numFmtId="0" fontId="9" fillId="0" borderId="0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2" fillId="2" borderId="4" xfId="0" applyFont="1" applyFill="1" applyBorder="1" applyAlignment="1">
      <alignment horizontal="right" vertical="center"/>
    </xf>
    <xf numFmtId="0" fontId="2" fillId="2" borderId="27" xfId="0" applyFont="1" applyFill="1" applyBorder="1" applyAlignment="1">
      <alignment horizontal="right" vertical="center"/>
    </xf>
    <xf numFmtId="0" fontId="2" fillId="2" borderId="26" xfId="0" applyFont="1" applyFill="1" applyBorder="1" applyAlignment="1">
      <alignment horizontal="right" vertical="center"/>
    </xf>
    <xf numFmtId="0" fontId="2" fillId="0" borderId="0" xfId="0" applyFont="1" applyAlignment="1">
      <alignment horizontal="center" vertical="top" wrapText="1"/>
    </xf>
    <xf numFmtId="0" fontId="2" fillId="2" borderId="32" xfId="0" applyFont="1" applyFill="1" applyBorder="1" applyAlignment="1">
      <alignment horizontal="center" vertical="center" wrapText="1"/>
    </xf>
    <xf numFmtId="0" fontId="17" fillId="2" borderId="33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2" borderId="34" xfId="0" applyFont="1" applyFill="1" applyBorder="1" applyAlignment="1">
      <alignment horizontal="center" vertical="center" wrapText="1"/>
    </xf>
    <xf numFmtId="0" fontId="2" fillId="2" borderId="30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left" vertical="top" wrapText="1"/>
    </xf>
    <xf numFmtId="0" fontId="24" fillId="0" borderId="28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7" fontId="3" fillId="0" borderId="28" xfId="0" applyNumberFormat="1" applyFont="1" applyBorder="1" applyAlignment="1">
      <alignment horizontal="center" vertical="center"/>
    </xf>
    <xf numFmtId="167" fontId="3" fillId="0" borderId="19" xfId="0" applyNumberFormat="1" applyFont="1" applyBorder="1" applyAlignment="1">
      <alignment horizontal="center" vertical="center"/>
    </xf>
    <xf numFmtId="0" fontId="2" fillId="0" borderId="22" xfId="0" applyFont="1" applyBorder="1" applyAlignment="1">
      <alignment horizontal="right" vertical="center" wrapText="1"/>
    </xf>
    <xf numFmtId="0" fontId="2" fillId="0" borderId="4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0" borderId="26" xfId="0" applyFont="1" applyBorder="1" applyAlignment="1">
      <alignment horizontal="right" vertical="center" wrapText="1"/>
    </xf>
    <xf numFmtId="0" fontId="2" fillId="0" borderId="27" xfId="0" applyFont="1" applyBorder="1" applyAlignment="1">
      <alignment horizontal="right" vertical="center" wrapText="1"/>
    </xf>
    <xf numFmtId="0" fontId="2" fillId="0" borderId="4" xfId="0" applyFont="1" applyBorder="1" applyAlignment="1">
      <alignment horizontal="right" vertical="center" wrapText="1"/>
    </xf>
    <xf numFmtId="0" fontId="2" fillId="0" borderId="22" xfId="0" applyFont="1" applyFill="1" applyBorder="1" applyAlignment="1">
      <alignment horizontal="right" vertical="center"/>
    </xf>
    <xf numFmtId="0" fontId="6" fillId="0" borderId="2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27" xfId="0" applyFont="1" applyFill="1" applyBorder="1" applyAlignment="1">
      <alignment horizontal="center" vertical="center" wrapText="1"/>
    </xf>
    <xf numFmtId="0" fontId="2" fillId="2" borderId="29" xfId="0" applyFont="1" applyFill="1" applyBorder="1" applyAlignment="1">
      <alignment horizontal="center" vertical="center" wrapText="1"/>
    </xf>
    <xf numFmtId="0" fontId="2" fillId="2" borderId="3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2" fillId="0" borderId="22" xfId="0" applyFont="1" applyBorder="1" applyAlignment="1">
      <alignment horizontal="right" vertical="center"/>
    </xf>
    <xf numFmtId="0" fontId="2" fillId="0" borderId="4" xfId="0" applyFont="1" applyFill="1" applyBorder="1" applyAlignment="1">
      <alignment horizontal="right" vertical="center"/>
    </xf>
    <xf numFmtId="0" fontId="2" fillId="0" borderId="27" xfId="0" applyFont="1" applyFill="1" applyBorder="1" applyAlignment="1">
      <alignment horizontal="right" vertical="center"/>
    </xf>
    <xf numFmtId="0" fontId="13" fillId="0" borderId="0" xfId="1" applyAlignment="1">
      <alignment horizontal="left" vertical="top" wrapText="1"/>
    </xf>
    <xf numFmtId="0" fontId="2" fillId="0" borderId="26" xfId="0" applyFont="1" applyFill="1" applyBorder="1" applyAlignment="1">
      <alignment horizontal="right" vertical="center"/>
    </xf>
  </cellXfs>
  <cellStyles count="4">
    <cellStyle name="Comma [0]" xfId="2" builtinId="6"/>
    <cellStyle name="Hyperlink" xfId="1" builtinId="8"/>
    <cellStyle name="Normal" xfId="0" builtinId="0"/>
    <cellStyle name="Percent" xfId="3" builtinId="5"/>
  </cellStyles>
  <dxfs count="1"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Orkney Light" panose="00000400000000000000" pitchFamily="2" charset="0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2220692344134334"/>
          <c:y val="0.13346555224726983"/>
          <c:w val="0.72006002788889989"/>
          <c:h val="0.685919817439017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FuerzaTractiva!$J$6</c:f>
              <c:strCache>
                <c:ptCount val="1"/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137451513839378"/>
                  <c:y val="-8.2351240877793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FuerzaTractiva!$H$8:$H$15</c:f>
              <c:numCache>
                <c:formatCode>General</c:formatCode>
                <c:ptCount val="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60</c:v>
                </c:pt>
                <c:pt idx="6">
                  <c:v>80</c:v>
                </c:pt>
                <c:pt idx="7">
                  <c:v>100</c:v>
                </c:pt>
              </c:numCache>
            </c:numRef>
          </c:xVal>
          <c:yVal>
            <c:numRef>
              <c:f>FuerzaTractiva!$J$8:$J$15</c:f>
              <c:numCache>
                <c:formatCode>0.00</c:formatCode>
                <c:ptCount val="8"/>
                <c:pt idx="0">
                  <c:v>9805.1283555555547</c:v>
                </c:pt>
                <c:pt idx="1">
                  <c:v>9805.9455222222205</c:v>
                </c:pt>
                <c:pt idx="2">
                  <c:v>9804.0387999999984</c:v>
                </c:pt>
                <c:pt idx="3">
                  <c:v>9792.0536888888873</c:v>
                </c:pt>
                <c:pt idx="4">
                  <c:v>9735.3967999999986</c:v>
                </c:pt>
                <c:pt idx="5">
                  <c:v>9635.1576888888885</c:v>
                </c:pt>
                <c:pt idx="6">
                  <c:v>9491.3363555555552</c:v>
                </c:pt>
                <c:pt idx="7">
                  <c:v>9303.9327999999987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63-44B0-A5B2-9A6A9E821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451103"/>
        <c:axId val="779753183"/>
      </c:scatterChart>
      <c:valAx>
        <c:axId val="97445110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Temperatura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779753183"/>
        <c:crosses val="autoZero"/>
        <c:crossBetween val="midCat"/>
        <c:majorUnit val="10"/>
      </c:valAx>
      <c:valAx>
        <c:axId val="7797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Peso Específico del Agua </a:t>
                </a:r>
                <a:r>
                  <a:rPr lang="el-GR"/>
                  <a:t>γ</a:t>
                </a:r>
                <a:r>
                  <a:rPr lang="en-US"/>
                  <a:t> (N / m³)</a:t>
                </a: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974451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dash"/>
      <a:round/>
    </a:ln>
    <a:effectLst/>
  </c:spPr>
  <c:txPr>
    <a:bodyPr/>
    <a:lstStyle/>
    <a:p>
      <a:pPr>
        <a:defRPr sz="1000">
          <a:latin typeface="Orkney Light" panose="00000400000000000000" pitchFamily="2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726361657391722"/>
          <c:y val="1.9148925262800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Orkney Light" panose="00000400000000000000" pitchFamily="2" charset="0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9.4360912935738006E-2"/>
          <c:y val="0.15644430693405201"/>
          <c:w val="0.84776842611131564"/>
          <c:h val="0.662941220639947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FuerzaTractiva!$Q$6</c:f>
              <c:strCache>
                <c:ptCount val="1"/>
                <c:pt idx="0">
                  <c:v>Canales de material grueso no cohesivo (Tamaño 25% o mayor)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095279311556756"/>
                  <c:y val="-6.1059745938869554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FuerzaTractiva!$P$21:$P$34</c:f>
              <c:numCache>
                <c:formatCode>General</c:formatCode>
                <c:ptCount val="1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90</c:v>
                </c:pt>
                <c:pt idx="13">
                  <c:v>100</c:v>
                </c:pt>
              </c:numCache>
            </c:numRef>
          </c:xVal>
          <c:yVal>
            <c:numRef>
              <c:f>FuerzaTractiva!$Q$21:$Q$34</c:f>
              <c:numCache>
                <c:formatCode>General</c:formatCode>
                <c:ptCount val="14"/>
                <c:pt idx="0">
                  <c:v>0.1</c:v>
                </c:pt>
                <c:pt idx="1">
                  <c:v>0.12</c:v>
                </c:pt>
                <c:pt idx="2">
                  <c:v>0.14000000000000001</c:v>
                </c:pt>
                <c:pt idx="3">
                  <c:v>0.16</c:v>
                </c:pt>
                <c:pt idx="4">
                  <c:v>0.17499999999999999</c:v>
                </c:pt>
                <c:pt idx="5">
                  <c:v>0.33</c:v>
                </c:pt>
                <c:pt idx="6">
                  <c:v>0.5</c:v>
                </c:pt>
                <c:pt idx="7">
                  <c:v>0.67</c:v>
                </c:pt>
                <c:pt idx="8">
                  <c:v>0.83499999999999996</c:v>
                </c:pt>
                <c:pt idx="9">
                  <c:v>1</c:v>
                </c:pt>
                <c:pt idx="10">
                  <c:v>1.175</c:v>
                </c:pt>
                <c:pt idx="11">
                  <c:v>1.345</c:v>
                </c:pt>
                <c:pt idx="12">
                  <c:v>1.52</c:v>
                </c:pt>
                <c:pt idx="13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FB8-40D5-9F49-81A0907B9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451103"/>
        <c:axId val="779753183"/>
      </c:scatterChart>
      <c:valAx>
        <c:axId val="97445110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Diámetro promedio de la partícula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779753183"/>
        <c:crosses val="autoZero"/>
        <c:crossBetween val="midCat"/>
        <c:majorUnit val="10"/>
      </c:valAx>
      <c:valAx>
        <c:axId val="7797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Esfuerzo tractivo permisible (lb/ft² 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974451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dash"/>
      <a:round/>
    </a:ln>
    <a:effectLst/>
  </c:spPr>
  <c:txPr>
    <a:bodyPr/>
    <a:lstStyle/>
    <a:p>
      <a:pPr>
        <a:defRPr sz="1000">
          <a:latin typeface="Orkney Light" panose="00000400000000000000" pitchFamily="2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Orkney Light" panose="00000400000000000000" pitchFamily="2" charset="0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9566797422318402"/>
          <c:y val="0.13346555224726983"/>
          <c:w val="0.74646137651638367"/>
          <c:h val="0.685919817439017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'Hoja1 (2)'!$J$6</c:f>
              <c:strCache>
                <c:ptCount val="1"/>
                <c:pt idx="0">
                  <c:v>γ Peso Específico N / m³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137451513839378"/>
                  <c:y val="-8.2351240877793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'Hoja1 (2)'!$H$7:$H$14</c:f>
              <c:numCache>
                <c:formatCode>General</c:formatCode>
                <c:ptCount val="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60</c:v>
                </c:pt>
                <c:pt idx="6">
                  <c:v>80</c:v>
                </c:pt>
                <c:pt idx="7">
                  <c:v>100</c:v>
                </c:pt>
              </c:numCache>
            </c:numRef>
          </c:xVal>
          <c:yVal>
            <c:numRef>
              <c:f>'Hoja1 (2)'!$J$7:$J$14</c:f>
              <c:numCache>
                <c:formatCode>General</c:formatCode>
                <c:ptCount val="8"/>
                <c:pt idx="0">
                  <c:v>9804.234919999999</c:v>
                </c:pt>
                <c:pt idx="1">
                  <c:v>9806</c:v>
                </c:pt>
                <c:pt idx="2">
                  <c:v>9803.7446199999995</c:v>
                </c:pt>
                <c:pt idx="3">
                  <c:v>9789.2317399999993</c:v>
                </c:pt>
                <c:pt idx="4">
                  <c:v>9730.0034999999989</c:v>
                </c:pt>
                <c:pt idx="5">
                  <c:v>9640.5727799999986</c:v>
                </c:pt>
                <c:pt idx="6">
                  <c:v>9527.5095999999994</c:v>
                </c:pt>
                <c:pt idx="7">
                  <c:v>9394.6382999999987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708-4806-8BD9-F354E000D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451103"/>
        <c:axId val="779753183"/>
      </c:scatterChart>
      <c:valAx>
        <c:axId val="97445110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Temperatura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779753183"/>
        <c:crosses val="autoZero"/>
        <c:crossBetween val="midCat"/>
        <c:majorUnit val="10"/>
      </c:valAx>
      <c:valAx>
        <c:axId val="7797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Peso Específico del Agua </a:t>
                </a:r>
                <a:r>
                  <a:rPr lang="el-GR"/>
                  <a:t>γ</a:t>
                </a:r>
                <a:r>
                  <a:rPr lang="en-US"/>
                  <a:t> (N / m³)</a:t>
                </a: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974451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dash"/>
      <a:round/>
    </a:ln>
    <a:effectLst/>
  </c:spPr>
  <c:txPr>
    <a:bodyPr/>
    <a:lstStyle/>
    <a:p>
      <a:pPr>
        <a:defRPr sz="1000">
          <a:latin typeface="Orkney Light" panose="00000400000000000000" pitchFamily="2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726361657391722"/>
          <c:y val="1.9148925262800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Orkney Light" panose="00000400000000000000" pitchFamily="2" charset="0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9566797422318402"/>
          <c:y val="0.15644430693405201"/>
          <c:w val="0.74646137651638367"/>
          <c:h val="0.662941220639947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'Hoja1 (2)'!$O$6</c:f>
              <c:strCache>
                <c:ptCount val="1"/>
                <c:pt idx="0">
                  <c:v>Canales de material grueso no cohesivo (Tamaño 25% o mayor)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095279311556756"/>
                  <c:y val="-6.1059745938869554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'Hoja1 (2)'!$N$21:$N$34</c:f>
              <c:numCache>
                <c:formatCode>General</c:formatCode>
                <c:ptCount val="1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90</c:v>
                </c:pt>
                <c:pt idx="13">
                  <c:v>100</c:v>
                </c:pt>
              </c:numCache>
            </c:numRef>
          </c:xVal>
          <c:yVal>
            <c:numRef>
              <c:f>'Hoja1 (2)'!$O$21:$O$34</c:f>
              <c:numCache>
                <c:formatCode>General</c:formatCode>
                <c:ptCount val="14"/>
                <c:pt idx="0">
                  <c:v>0.1</c:v>
                </c:pt>
                <c:pt idx="1">
                  <c:v>0.12</c:v>
                </c:pt>
                <c:pt idx="2">
                  <c:v>0.14000000000000001</c:v>
                </c:pt>
                <c:pt idx="3">
                  <c:v>0.16</c:v>
                </c:pt>
                <c:pt idx="4">
                  <c:v>0.17499999999999999</c:v>
                </c:pt>
                <c:pt idx="5">
                  <c:v>0.33</c:v>
                </c:pt>
                <c:pt idx="6">
                  <c:v>0.5</c:v>
                </c:pt>
                <c:pt idx="7">
                  <c:v>0.67</c:v>
                </c:pt>
                <c:pt idx="8">
                  <c:v>0.83499999999999996</c:v>
                </c:pt>
                <c:pt idx="9">
                  <c:v>1</c:v>
                </c:pt>
                <c:pt idx="10">
                  <c:v>1.175</c:v>
                </c:pt>
                <c:pt idx="11">
                  <c:v>1.345</c:v>
                </c:pt>
                <c:pt idx="12">
                  <c:v>1.52</c:v>
                </c:pt>
                <c:pt idx="13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7B-4D2C-9DE1-19F86A8EB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451103"/>
        <c:axId val="779753183"/>
      </c:scatterChart>
      <c:valAx>
        <c:axId val="97445110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Diámetro promedio de la partícula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779753183"/>
        <c:crosses val="autoZero"/>
        <c:crossBetween val="midCat"/>
        <c:majorUnit val="10"/>
      </c:valAx>
      <c:valAx>
        <c:axId val="7797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Esfuerzo tractivo permisible (lb/ft² 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974451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dash"/>
      <a:round/>
    </a:ln>
    <a:effectLst/>
  </c:spPr>
  <c:txPr>
    <a:bodyPr/>
    <a:lstStyle/>
    <a:p>
      <a:pPr>
        <a:defRPr sz="1000">
          <a:latin typeface="Orkney Light" panose="00000400000000000000" pitchFamily="2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chart" Target="../charts/chart1.xml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4.png"/><Relationship Id="rId16" Type="http://schemas.openxmlformats.org/officeDocument/2006/relationships/image" Target="../media/image16.png"/><Relationship Id="rId1" Type="http://schemas.openxmlformats.org/officeDocument/2006/relationships/image" Target="../media/image3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chart" Target="../charts/chart2.xml"/><Relationship Id="rId9" Type="http://schemas.openxmlformats.org/officeDocument/2006/relationships/image" Target="../media/image9.png"/><Relationship Id="rId14" Type="http://schemas.openxmlformats.org/officeDocument/2006/relationships/image" Target="../media/image14.gi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chart" Target="../charts/chart3.xml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4.png"/><Relationship Id="rId16" Type="http://schemas.openxmlformats.org/officeDocument/2006/relationships/image" Target="../media/image14.gif"/><Relationship Id="rId1" Type="http://schemas.openxmlformats.org/officeDocument/2006/relationships/image" Target="../media/image3.png"/><Relationship Id="rId6" Type="http://schemas.openxmlformats.org/officeDocument/2006/relationships/image" Target="../media/image19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5" Type="http://schemas.openxmlformats.org/officeDocument/2006/relationships/image" Target="../media/image20.png"/><Relationship Id="rId10" Type="http://schemas.openxmlformats.org/officeDocument/2006/relationships/image" Target="../media/image9.png"/><Relationship Id="rId4" Type="http://schemas.openxmlformats.org/officeDocument/2006/relationships/chart" Target="../charts/chart4.xml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333375</xdr:colOff>
      <xdr:row>24</xdr:row>
      <xdr:rowOff>57150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3876675" y="3676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twoCellAnchor editAs="oneCell">
    <xdr:from>
      <xdr:col>1</xdr:col>
      <xdr:colOff>1062659</xdr:colOff>
      <xdr:row>62</xdr:row>
      <xdr:rowOff>105190</xdr:rowOff>
    </xdr:from>
    <xdr:to>
      <xdr:col>2</xdr:col>
      <xdr:colOff>66261</xdr:colOff>
      <xdr:row>65</xdr:row>
      <xdr:rowOff>67464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0784" y="6934615"/>
          <a:ext cx="1499152" cy="562348"/>
        </a:xfrm>
        <a:prstGeom prst="rect">
          <a:avLst/>
        </a:prstGeom>
      </xdr:spPr>
    </xdr:pic>
    <xdr:clientData/>
  </xdr:twoCellAnchor>
  <xdr:twoCellAnchor editAs="oneCell">
    <xdr:from>
      <xdr:col>2</xdr:col>
      <xdr:colOff>648528</xdr:colOff>
      <xdr:row>62</xdr:row>
      <xdr:rowOff>182216</xdr:rowOff>
    </xdr:from>
    <xdr:to>
      <xdr:col>4</xdr:col>
      <xdr:colOff>71032</xdr:colOff>
      <xdr:row>65</xdr:row>
      <xdr:rowOff>47626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2203" y="7011641"/>
          <a:ext cx="1208234" cy="465484"/>
        </a:xfrm>
        <a:prstGeom prst="rect">
          <a:avLst/>
        </a:prstGeom>
      </xdr:spPr>
    </xdr:pic>
    <xdr:clientData/>
  </xdr:twoCellAnchor>
  <xdr:twoCellAnchor editAs="oneCell">
    <xdr:from>
      <xdr:col>7</xdr:col>
      <xdr:colOff>9523</xdr:colOff>
      <xdr:row>15</xdr:row>
      <xdr:rowOff>195262</xdr:rowOff>
    </xdr:from>
    <xdr:to>
      <xdr:col>10</xdr:col>
      <xdr:colOff>180975</xdr:colOff>
      <xdr:row>32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15</xdr:col>
      <xdr:colOff>333375</xdr:colOff>
      <xdr:row>44</xdr:row>
      <xdr:rowOff>57150</xdr:rowOff>
    </xdr:from>
    <xdr:ext cx="65" cy="172227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5362575" y="508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twoCellAnchor editAs="oneCell">
    <xdr:from>
      <xdr:col>15</xdr:col>
      <xdr:colOff>74839</xdr:colOff>
      <xdr:row>35</xdr:row>
      <xdr:rowOff>186418</xdr:rowOff>
    </xdr:from>
    <xdr:to>
      <xdr:col>19</xdr:col>
      <xdr:colOff>796637</xdr:colOff>
      <xdr:row>52</xdr:row>
      <xdr:rowOff>155864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235404</xdr:colOff>
      <xdr:row>36</xdr:row>
      <xdr:rowOff>17008</xdr:rowOff>
    </xdr:from>
    <xdr:to>
      <xdr:col>22</xdr:col>
      <xdr:colOff>4153915</xdr:colOff>
      <xdr:row>55</xdr:row>
      <xdr:rowOff>146325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285904" y="7327446"/>
          <a:ext cx="3918511" cy="3806381"/>
        </a:xfrm>
        <a:prstGeom prst="rect">
          <a:avLst/>
        </a:prstGeom>
      </xdr:spPr>
    </xdr:pic>
    <xdr:clientData/>
  </xdr:twoCellAnchor>
  <xdr:twoCellAnchor>
    <xdr:from>
      <xdr:col>22</xdr:col>
      <xdr:colOff>710293</xdr:colOff>
      <xdr:row>41</xdr:row>
      <xdr:rowOff>85046</xdr:rowOff>
    </xdr:from>
    <xdr:to>
      <xdr:col>22</xdr:col>
      <xdr:colOff>4000500</xdr:colOff>
      <xdr:row>41</xdr:row>
      <xdr:rowOff>85046</xdr:rowOff>
    </xdr:to>
    <xdr:cxnSp macro="">
      <xdr:nvCxnSpPr>
        <xdr:cNvPr id="14" name="Conector rect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>
          <a:off x="18753364" y="8861653"/>
          <a:ext cx="3290207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168329</xdr:colOff>
      <xdr:row>2</xdr:row>
      <xdr:rowOff>0</xdr:rowOff>
    </xdr:from>
    <xdr:to>
      <xdr:col>22</xdr:col>
      <xdr:colOff>4025938</xdr:colOff>
      <xdr:row>5</xdr:row>
      <xdr:rowOff>2020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81980"/>
        <a:stretch/>
      </xdr:blipFill>
      <xdr:spPr>
        <a:xfrm>
          <a:off x="23218829" y="381000"/>
          <a:ext cx="3857609" cy="655162"/>
        </a:xfrm>
        <a:prstGeom prst="rect">
          <a:avLst/>
        </a:prstGeom>
      </xdr:spPr>
    </xdr:pic>
    <xdr:clientData/>
  </xdr:twoCellAnchor>
  <xdr:twoCellAnchor editAs="oneCell">
    <xdr:from>
      <xdr:col>22</xdr:col>
      <xdr:colOff>119062</xdr:colOff>
      <xdr:row>4</xdr:row>
      <xdr:rowOff>281658</xdr:rowOff>
    </xdr:from>
    <xdr:to>
      <xdr:col>22</xdr:col>
      <xdr:colOff>4112273</xdr:colOff>
      <xdr:row>9</xdr:row>
      <xdr:rowOff>88780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69562" y="1043658"/>
          <a:ext cx="3993211" cy="1645447"/>
        </a:xfrm>
        <a:prstGeom prst="rect">
          <a:avLst/>
        </a:prstGeom>
      </xdr:spPr>
    </xdr:pic>
    <xdr:clientData/>
  </xdr:twoCellAnchor>
  <xdr:twoCellAnchor editAs="oneCell">
    <xdr:from>
      <xdr:col>22</xdr:col>
      <xdr:colOff>214312</xdr:colOff>
      <xdr:row>13</xdr:row>
      <xdr:rowOff>71437</xdr:rowOff>
    </xdr:from>
    <xdr:to>
      <xdr:col>22</xdr:col>
      <xdr:colOff>3928182</xdr:colOff>
      <xdr:row>33</xdr:row>
      <xdr:rowOff>156003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64812" y="2976562"/>
          <a:ext cx="3713870" cy="3918379"/>
        </a:xfrm>
        <a:prstGeom prst="rect">
          <a:avLst/>
        </a:prstGeom>
      </xdr:spPr>
    </xdr:pic>
    <xdr:clientData/>
  </xdr:twoCellAnchor>
  <xdr:twoCellAnchor editAs="oneCell">
    <xdr:from>
      <xdr:col>22</xdr:col>
      <xdr:colOff>261937</xdr:colOff>
      <xdr:row>57</xdr:row>
      <xdr:rowOff>0</xdr:rowOff>
    </xdr:from>
    <xdr:to>
      <xdr:col>22</xdr:col>
      <xdr:colOff>4042629</xdr:colOff>
      <xdr:row>70</xdr:row>
      <xdr:rowOff>219684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83250" y="11477626"/>
          <a:ext cx="3780692" cy="2787363"/>
        </a:xfrm>
        <a:prstGeom prst="rect">
          <a:avLst/>
        </a:prstGeom>
      </xdr:spPr>
    </xdr:pic>
    <xdr:clientData/>
  </xdr:twoCellAnchor>
  <xdr:twoCellAnchor editAs="oneCell">
    <xdr:from>
      <xdr:col>22</xdr:col>
      <xdr:colOff>433388</xdr:colOff>
      <xdr:row>72</xdr:row>
      <xdr:rowOff>161358</xdr:rowOff>
    </xdr:from>
    <xdr:to>
      <xdr:col>22</xdr:col>
      <xdr:colOff>3948873</xdr:colOff>
      <xdr:row>86</xdr:row>
      <xdr:rowOff>42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1" y="14520296"/>
          <a:ext cx="3515485" cy="2792677"/>
        </a:xfrm>
        <a:prstGeom prst="rect">
          <a:avLst/>
        </a:prstGeom>
      </xdr:spPr>
    </xdr:pic>
    <xdr:clientData/>
  </xdr:twoCellAnchor>
  <xdr:twoCellAnchor editAs="oneCell">
    <xdr:from>
      <xdr:col>22</xdr:col>
      <xdr:colOff>557212</xdr:colOff>
      <xdr:row>81</xdr:row>
      <xdr:rowOff>114391</xdr:rowOff>
    </xdr:from>
    <xdr:to>
      <xdr:col>22</xdr:col>
      <xdr:colOff>4090244</xdr:colOff>
      <xdr:row>98</xdr:row>
      <xdr:rowOff>395365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78525" y="17521329"/>
          <a:ext cx="3533032" cy="37928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120716</xdr:colOff>
      <xdr:row>70</xdr:row>
      <xdr:rowOff>91045</xdr:rowOff>
    </xdr:from>
    <xdr:to>
      <xdr:col>1</xdr:col>
      <xdr:colOff>1177991</xdr:colOff>
      <xdr:row>71</xdr:row>
      <xdr:rowOff>243143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4556" y="14393785"/>
          <a:ext cx="1057275" cy="424842"/>
        </a:xfrm>
        <a:prstGeom prst="rect">
          <a:avLst/>
        </a:prstGeom>
      </xdr:spPr>
    </xdr:pic>
    <xdr:clientData/>
  </xdr:twoCellAnchor>
  <xdr:twoCellAnchor editAs="oneCell">
    <xdr:from>
      <xdr:col>1</xdr:col>
      <xdr:colOff>1294718</xdr:colOff>
      <xdr:row>70</xdr:row>
      <xdr:rowOff>169133</xdr:rowOff>
    </xdr:from>
    <xdr:to>
      <xdr:col>2</xdr:col>
      <xdr:colOff>488892</xdr:colOff>
      <xdr:row>71</xdr:row>
      <xdr:rowOff>183361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38558" y="14471873"/>
          <a:ext cx="1762114" cy="288811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152400</xdr:colOff>
      <xdr:row>2</xdr:row>
      <xdr:rowOff>138546</xdr:rowOff>
    </xdr:from>
    <xdr:to>
      <xdr:col>32</xdr:col>
      <xdr:colOff>419099</xdr:colOff>
      <xdr:row>26</xdr:row>
      <xdr:rowOff>28402</xdr:rowOff>
    </xdr:to>
    <xdr:pic>
      <xdr:nvPicPr>
        <xdr:cNvPr id="23" name="Imagen 22" descr="tabla densidad agua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04436" y="526473"/>
          <a:ext cx="5794663" cy="5452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600074</xdr:colOff>
      <xdr:row>17</xdr:row>
      <xdr:rowOff>104775</xdr:rowOff>
    </xdr:from>
    <xdr:to>
      <xdr:col>13</xdr:col>
      <xdr:colOff>193868</xdr:colOff>
      <xdr:row>27</xdr:row>
      <xdr:rowOff>152400</xdr:rowOff>
    </xdr:to>
    <xdr:pic>
      <xdr:nvPicPr>
        <xdr:cNvPr id="28" name="Imagen 27" descr="Image result for peso especifico del agua a diferentes temperaturas sistema ingles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68" t="16631" r="17896" b="21602"/>
        <a:stretch/>
      </xdr:blipFill>
      <xdr:spPr bwMode="auto">
        <a:xfrm>
          <a:off x="10382249" y="4410075"/>
          <a:ext cx="3234077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919369</xdr:colOff>
      <xdr:row>72</xdr:row>
      <xdr:rowOff>82827</xdr:rowOff>
    </xdr:from>
    <xdr:to>
      <xdr:col>4</xdr:col>
      <xdr:colOff>123596</xdr:colOff>
      <xdr:row>79</xdr:row>
      <xdr:rowOff>16564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565" y="9309653"/>
          <a:ext cx="3486335" cy="1325215"/>
        </a:xfrm>
        <a:prstGeom prst="rect">
          <a:avLst/>
        </a:prstGeom>
      </xdr:spPr>
    </xdr:pic>
    <xdr:clientData/>
  </xdr:twoCellAnchor>
  <xdr:twoCellAnchor editAs="oneCell">
    <xdr:from>
      <xdr:col>1</xdr:col>
      <xdr:colOff>778566</xdr:colOff>
      <xdr:row>31</xdr:row>
      <xdr:rowOff>66261</xdr:rowOff>
    </xdr:from>
    <xdr:to>
      <xdr:col>4</xdr:col>
      <xdr:colOff>182218</xdr:colOff>
      <xdr:row>54</xdr:row>
      <xdr:rowOff>110686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0354" y="7114761"/>
          <a:ext cx="3689902" cy="4675040"/>
        </a:xfrm>
        <a:prstGeom prst="rect">
          <a:avLst/>
        </a:prstGeom>
      </xdr:spPr>
    </xdr:pic>
    <xdr:clientData/>
  </xdr:twoCellAnchor>
  <xdr:twoCellAnchor editAs="oneCell">
    <xdr:from>
      <xdr:col>3</xdr:col>
      <xdr:colOff>738459</xdr:colOff>
      <xdr:row>71</xdr:row>
      <xdr:rowOff>4104</xdr:rowOff>
    </xdr:from>
    <xdr:to>
      <xdr:col>4</xdr:col>
      <xdr:colOff>829409</xdr:colOff>
      <xdr:row>72</xdr:row>
      <xdr:rowOff>23380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72259" y="14497344"/>
          <a:ext cx="1012969" cy="30121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676275</xdr:colOff>
          <xdr:row>70</xdr:row>
          <xdr:rowOff>47625</xdr:rowOff>
        </xdr:from>
        <xdr:to>
          <xdr:col>3</xdr:col>
          <xdr:colOff>552450</xdr:colOff>
          <xdr:row>72</xdr:row>
          <xdr:rowOff>47625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2076450</xdr:colOff>
          <xdr:row>124</xdr:row>
          <xdr:rowOff>133350</xdr:rowOff>
        </xdr:from>
        <xdr:to>
          <xdr:col>2</xdr:col>
          <xdr:colOff>752475</xdr:colOff>
          <xdr:row>127</xdr:row>
          <xdr:rowOff>66675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199695</xdr:colOff>
      <xdr:row>4</xdr:row>
      <xdr:rowOff>36783</xdr:rowOff>
    </xdr:from>
    <xdr:to>
      <xdr:col>0</xdr:col>
      <xdr:colOff>451695</xdr:colOff>
      <xdr:row>5</xdr:row>
      <xdr:rowOff>23004</xdr:rowOff>
    </xdr:to>
    <xdr:sp macro="" textlink="">
      <xdr:nvSpPr>
        <xdr:cNvPr id="25" name="Elips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99695" y="804038"/>
          <a:ext cx="252000" cy="27000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bIns="0" rtlCol="0" anchor="ctr"/>
        <a:lstStyle/>
        <a:p>
          <a:pPr algn="ctr"/>
          <a:r>
            <a:rPr lang="es-CO" sz="1000" b="0">
              <a:solidFill>
                <a:schemeClr val="bg1"/>
              </a:solidFill>
              <a:latin typeface="Orkney Light" panose="00000400000000000000" pitchFamily="2" charset="0"/>
            </a:rPr>
            <a:t>1</a:t>
          </a:r>
          <a:endParaRPr lang="es-CO" sz="1000" b="1">
            <a:solidFill>
              <a:schemeClr val="bg1"/>
            </a:solidFill>
            <a:latin typeface="Orkney Light" panose="00000400000000000000" pitchFamily="2" charset="0"/>
          </a:endParaRPr>
        </a:p>
      </xdr:txBody>
    </xdr:sp>
    <xdr:clientData/>
  </xdr:twoCellAnchor>
  <xdr:twoCellAnchor editAs="oneCell">
    <xdr:from>
      <xdr:col>1</xdr:col>
      <xdr:colOff>99847</xdr:colOff>
      <xdr:row>14</xdr:row>
      <xdr:rowOff>168161</xdr:rowOff>
    </xdr:from>
    <xdr:to>
      <xdr:col>1</xdr:col>
      <xdr:colOff>351847</xdr:colOff>
      <xdr:row>16</xdr:row>
      <xdr:rowOff>44023</xdr:rowOff>
    </xdr:to>
    <xdr:sp macro="" textlink="">
      <xdr:nvSpPr>
        <xdr:cNvPr id="27" name="Elips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620109" y="3578768"/>
          <a:ext cx="252000" cy="27000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bIns="0" rtlCol="0" anchor="ctr"/>
        <a:lstStyle/>
        <a:p>
          <a:pPr algn="ctr"/>
          <a:r>
            <a:rPr lang="es-CO" sz="1000" b="0">
              <a:solidFill>
                <a:schemeClr val="bg1"/>
              </a:solidFill>
              <a:latin typeface="Orkney Light" panose="00000400000000000000" pitchFamily="2" charset="0"/>
            </a:rPr>
            <a:t>x</a:t>
          </a:r>
          <a:endParaRPr lang="es-CO" sz="1000" b="1">
            <a:solidFill>
              <a:schemeClr val="bg1"/>
            </a:solidFill>
            <a:latin typeface="Orkney Light" panose="00000400000000000000" pitchFamily="2" charset="0"/>
          </a:endParaRPr>
        </a:p>
      </xdr:txBody>
    </xdr:sp>
    <xdr:clientData/>
  </xdr:twoCellAnchor>
  <xdr:twoCellAnchor editAs="oneCell">
    <xdr:from>
      <xdr:col>0</xdr:col>
      <xdr:colOff>225972</xdr:colOff>
      <xdr:row>116</xdr:row>
      <xdr:rowOff>152400</xdr:rowOff>
    </xdr:from>
    <xdr:to>
      <xdr:col>0</xdr:col>
      <xdr:colOff>477972</xdr:colOff>
      <xdr:row>118</xdr:row>
      <xdr:rowOff>44027</xdr:rowOff>
    </xdr:to>
    <xdr:sp macro="" textlink="">
      <xdr:nvSpPr>
        <xdr:cNvPr id="29" name="Elips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225972" y="24179048"/>
          <a:ext cx="252000" cy="27000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bIns="0" rtlCol="0" anchor="ctr"/>
        <a:lstStyle/>
        <a:p>
          <a:pPr algn="ctr"/>
          <a:r>
            <a:rPr lang="es-CO" sz="1000" b="0">
              <a:solidFill>
                <a:schemeClr val="bg1"/>
              </a:solidFill>
              <a:latin typeface="Orkney Light" panose="00000400000000000000" pitchFamily="2" charset="0"/>
            </a:rPr>
            <a:t>2</a:t>
          </a:r>
          <a:endParaRPr lang="es-CO" sz="1000" b="1">
            <a:solidFill>
              <a:schemeClr val="bg1"/>
            </a:solidFill>
            <a:latin typeface="Orkney Light" panose="00000400000000000000" pitchFamily="2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333375</xdr:colOff>
      <xdr:row>23</xdr:row>
      <xdr:rowOff>57150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5962650" y="508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twoCellAnchor editAs="oneCell">
    <xdr:from>
      <xdr:col>1</xdr:col>
      <xdr:colOff>1062659</xdr:colOff>
      <xdr:row>32</xdr:row>
      <xdr:rowOff>105190</xdr:rowOff>
    </xdr:from>
    <xdr:to>
      <xdr:col>2</xdr:col>
      <xdr:colOff>66261</xdr:colOff>
      <xdr:row>35</xdr:row>
      <xdr:rowOff>67463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0784" y="6934615"/>
          <a:ext cx="1499152" cy="562348"/>
        </a:xfrm>
        <a:prstGeom prst="rect">
          <a:avLst/>
        </a:prstGeom>
      </xdr:spPr>
    </xdr:pic>
    <xdr:clientData/>
  </xdr:twoCellAnchor>
  <xdr:twoCellAnchor editAs="oneCell">
    <xdr:from>
      <xdr:col>2</xdr:col>
      <xdr:colOff>648528</xdr:colOff>
      <xdr:row>32</xdr:row>
      <xdr:rowOff>182216</xdr:rowOff>
    </xdr:from>
    <xdr:to>
      <xdr:col>4</xdr:col>
      <xdr:colOff>104162</xdr:colOff>
      <xdr:row>35</xdr:row>
      <xdr:rowOff>47625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2203" y="7011641"/>
          <a:ext cx="1208234" cy="465484"/>
        </a:xfrm>
        <a:prstGeom prst="rect">
          <a:avLst/>
        </a:prstGeom>
      </xdr:spPr>
    </xdr:pic>
    <xdr:clientData/>
  </xdr:twoCellAnchor>
  <xdr:twoCellAnchor editAs="oneCell">
    <xdr:from>
      <xdr:col>7</xdr:col>
      <xdr:colOff>9523</xdr:colOff>
      <xdr:row>14</xdr:row>
      <xdr:rowOff>195262</xdr:rowOff>
    </xdr:from>
    <xdr:to>
      <xdr:col>9</xdr:col>
      <xdr:colOff>1438274</xdr:colOff>
      <xdr:row>31</xdr:row>
      <xdr:rowOff>152400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13</xdr:col>
      <xdr:colOff>333375</xdr:colOff>
      <xdr:row>44</xdr:row>
      <xdr:rowOff>57150</xdr:rowOff>
    </xdr:from>
    <xdr:ext cx="65" cy="172227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2192000" y="92868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twoCellAnchor editAs="oneCell">
    <xdr:from>
      <xdr:col>13</xdr:col>
      <xdr:colOff>74838</xdr:colOff>
      <xdr:row>35</xdr:row>
      <xdr:rowOff>186418</xdr:rowOff>
    </xdr:from>
    <xdr:to>
      <xdr:col>17</xdr:col>
      <xdr:colOff>1401536</xdr:colOff>
      <xdr:row>52</xdr:row>
      <xdr:rowOff>139474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20</xdr:col>
      <xdr:colOff>235404</xdr:colOff>
      <xdr:row>36</xdr:row>
      <xdr:rowOff>17008</xdr:rowOff>
    </xdr:from>
    <xdr:to>
      <xdr:col>20</xdr:col>
      <xdr:colOff>4153915</xdr:colOff>
      <xdr:row>56</xdr:row>
      <xdr:rowOff>13389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71179" y="7646533"/>
          <a:ext cx="3918511" cy="3996881"/>
        </a:xfrm>
        <a:prstGeom prst="rect">
          <a:avLst/>
        </a:prstGeom>
      </xdr:spPr>
    </xdr:pic>
    <xdr:clientData/>
  </xdr:twoCellAnchor>
  <xdr:twoCellAnchor>
    <xdr:from>
      <xdr:col>20</xdr:col>
      <xdr:colOff>710293</xdr:colOff>
      <xdr:row>41</xdr:row>
      <xdr:rowOff>85046</xdr:rowOff>
    </xdr:from>
    <xdr:to>
      <xdr:col>20</xdr:col>
      <xdr:colOff>4000500</xdr:colOff>
      <xdr:row>41</xdr:row>
      <xdr:rowOff>85046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/>
      </xdr:nvCxnSpPr>
      <xdr:spPr>
        <a:xfrm>
          <a:off x="20246068" y="8714696"/>
          <a:ext cx="3290207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1514475</xdr:colOff>
      <xdr:row>47</xdr:row>
      <xdr:rowOff>38100</xdr:rowOff>
    </xdr:from>
    <xdr:to>
      <xdr:col>3</xdr:col>
      <xdr:colOff>495027</xdr:colOff>
      <xdr:row>54</xdr:row>
      <xdr:rowOff>28401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2600" y="9867900"/>
          <a:ext cx="2180952" cy="1390476"/>
        </a:xfrm>
        <a:prstGeom prst="rect">
          <a:avLst/>
        </a:prstGeom>
      </xdr:spPr>
    </xdr:pic>
    <xdr:clientData/>
  </xdr:twoCellAnchor>
  <xdr:twoCellAnchor editAs="oneCell">
    <xdr:from>
      <xdr:col>20</xdr:col>
      <xdr:colOff>168329</xdr:colOff>
      <xdr:row>2</xdr:row>
      <xdr:rowOff>0</xdr:rowOff>
    </xdr:from>
    <xdr:to>
      <xdr:col>20</xdr:col>
      <xdr:colOff>4025938</xdr:colOff>
      <xdr:row>5</xdr:row>
      <xdr:rowOff>2020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81980"/>
        <a:stretch/>
      </xdr:blipFill>
      <xdr:spPr>
        <a:xfrm>
          <a:off x="19704104" y="400050"/>
          <a:ext cx="3857609" cy="678295"/>
        </a:xfrm>
        <a:prstGeom prst="rect">
          <a:avLst/>
        </a:prstGeom>
      </xdr:spPr>
    </xdr:pic>
    <xdr:clientData/>
  </xdr:twoCellAnchor>
  <xdr:twoCellAnchor editAs="oneCell">
    <xdr:from>
      <xdr:col>20</xdr:col>
      <xdr:colOff>119062</xdr:colOff>
      <xdr:row>4</xdr:row>
      <xdr:rowOff>281658</xdr:rowOff>
    </xdr:from>
    <xdr:to>
      <xdr:col>20</xdr:col>
      <xdr:colOff>4112273</xdr:colOff>
      <xdr:row>11</xdr:row>
      <xdr:rowOff>164980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54837" y="1072233"/>
          <a:ext cx="3993211" cy="1702597"/>
        </a:xfrm>
        <a:prstGeom prst="rect">
          <a:avLst/>
        </a:prstGeom>
      </xdr:spPr>
    </xdr:pic>
    <xdr:clientData/>
  </xdr:twoCellAnchor>
  <xdr:twoCellAnchor editAs="oneCell">
    <xdr:from>
      <xdr:col>20</xdr:col>
      <xdr:colOff>214312</xdr:colOff>
      <xdr:row>13</xdr:row>
      <xdr:rowOff>71437</xdr:rowOff>
    </xdr:from>
    <xdr:to>
      <xdr:col>20</xdr:col>
      <xdr:colOff>3928182</xdr:colOff>
      <xdr:row>33</xdr:row>
      <xdr:rowOff>156003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50087" y="3081337"/>
          <a:ext cx="3713870" cy="4104116"/>
        </a:xfrm>
        <a:prstGeom prst="rect">
          <a:avLst/>
        </a:prstGeom>
      </xdr:spPr>
    </xdr:pic>
    <xdr:clientData/>
  </xdr:twoCellAnchor>
  <xdr:twoCellAnchor editAs="oneCell">
    <xdr:from>
      <xdr:col>20</xdr:col>
      <xdr:colOff>261937</xdr:colOff>
      <xdr:row>57</xdr:row>
      <xdr:rowOff>166688</xdr:rowOff>
    </xdr:from>
    <xdr:to>
      <xdr:col>20</xdr:col>
      <xdr:colOff>4042629</xdr:colOff>
      <xdr:row>70</xdr:row>
      <xdr:rowOff>48926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97712" y="12091988"/>
          <a:ext cx="3780692" cy="2930238"/>
        </a:xfrm>
        <a:prstGeom prst="rect">
          <a:avLst/>
        </a:prstGeom>
      </xdr:spPr>
    </xdr:pic>
    <xdr:clientData/>
  </xdr:twoCellAnchor>
  <xdr:twoCellAnchor editAs="oneCell">
    <xdr:from>
      <xdr:col>20</xdr:col>
      <xdr:colOff>433388</xdr:colOff>
      <xdr:row>73</xdr:row>
      <xdr:rowOff>161358</xdr:rowOff>
    </xdr:from>
    <xdr:to>
      <xdr:col>20</xdr:col>
      <xdr:colOff>3948873</xdr:colOff>
      <xdr:row>88</xdr:row>
      <xdr:rowOff>96535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969163" y="15734733"/>
          <a:ext cx="3515485" cy="2935552"/>
        </a:xfrm>
        <a:prstGeom prst="rect">
          <a:avLst/>
        </a:prstGeom>
      </xdr:spPr>
    </xdr:pic>
    <xdr:clientData/>
  </xdr:twoCellAnchor>
  <xdr:twoCellAnchor editAs="oneCell">
    <xdr:from>
      <xdr:col>20</xdr:col>
      <xdr:colOff>557212</xdr:colOff>
      <xdr:row>89</xdr:row>
      <xdr:rowOff>114391</xdr:rowOff>
    </xdr:from>
    <xdr:to>
      <xdr:col>20</xdr:col>
      <xdr:colOff>4090244</xdr:colOff>
      <xdr:row>109</xdr:row>
      <xdr:rowOff>97191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92987" y="18888166"/>
          <a:ext cx="3533032" cy="39833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1114425</xdr:colOff>
      <xdr:row>57</xdr:row>
      <xdr:rowOff>19050</xdr:rowOff>
    </xdr:from>
    <xdr:to>
      <xdr:col>1</xdr:col>
      <xdr:colOff>2171700</xdr:colOff>
      <xdr:row>58</xdr:row>
      <xdr:rowOff>170234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2550" y="11944350"/>
          <a:ext cx="1057275" cy="427409"/>
        </a:xfrm>
        <a:prstGeom prst="rect">
          <a:avLst/>
        </a:prstGeom>
      </xdr:spPr>
    </xdr:pic>
    <xdr:clientData/>
  </xdr:twoCellAnchor>
  <xdr:oneCellAnchor>
    <xdr:from>
      <xdr:col>9</xdr:col>
      <xdr:colOff>209550</xdr:colOff>
      <xdr:row>46</xdr:row>
      <xdr:rowOff>185737</xdr:rowOff>
    </xdr:from>
    <xdr:ext cx="1790700" cy="5635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SpPr txBox="1"/>
          </xdr:nvSpPr>
          <xdr:spPr>
            <a:xfrm>
              <a:off x="8734425" y="9815512"/>
              <a:ext cx="1790700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n-US" sz="36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𝑒𝑞</m:t>
                  </m:r>
                  <m:r>
                    <a:rPr lang="en-US" sz="36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: </m:t>
                  </m:r>
                  <m:r>
                    <a:rPr lang="es-CO" sz="36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𝜏</m:t>
                  </m:r>
                </m:oMath>
              </a14:m>
              <a:r>
                <a:rPr lang="es-CO" sz="3600"/>
                <a:t>o</a:t>
              </a:r>
            </a:p>
          </xdr:txBody>
        </xdr:sp>
      </mc:Choice>
      <mc:Fallback xmlns="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7E2DA5A6-D731-4F4D-9B1C-58758B0AF1D5}"/>
                </a:ext>
              </a:extLst>
            </xdr:cNvPr>
            <xdr:cNvSpPr txBox="1"/>
          </xdr:nvSpPr>
          <xdr:spPr>
            <a:xfrm>
              <a:off x="8734425" y="9815512"/>
              <a:ext cx="1790700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3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𝑒𝑞: </a:t>
              </a:r>
              <a:r>
                <a:rPr lang="es-CO" sz="36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𝜏</a:t>
              </a:r>
              <a:r>
                <a:rPr lang="es-CO" sz="3600"/>
                <a:t>o</a:t>
              </a:r>
            </a:p>
          </xdr:txBody>
        </xdr:sp>
      </mc:Fallback>
    </mc:AlternateContent>
    <xdr:clientData/>
  </xdr:oneCellAnchor>
  <xdr:twoCellAnchor editAs="oneCell">
    <xdr:from>
      <xdr:col>2</xdr:col>
      <xdr:colOff>219075</xdr:colOff>
      <xdr:row>57</xdr:row>
      <xdr:rowOff>65767</xdr:rowOff>
    </xdr:from>
    <xdr:to>
      <xdr:col>4</xdr:col>
      <xdr:colOff>171450</xdr:colOff>
      <xdr:row>58</xdr:row>
      <xdr:rowOff>76154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2750" y="11991067"/>
          <a:ext cx="1704975" cy="286612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69</xdr:row>
      <xdr:rowOff>142875</xdr:rowOff>
    </xdr:from>
    <xdr:to>
      <xdr:col>3</xdr:col>
      <xdr:colOff>523876</xdr:colOff>
      <xdr:row>71</xdr:row>
      <xdr:rowOff>51012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5601" y="14916150"/>
          <a:ext cx="1066800" cy="308187"/>
        </a:xfrm>
        <a:prstGeom prst="rect">
          <a:avLst/>
        </a:prstGeom>
      </xdr:spPr>
    </xdr:pic>
    <xdr:clientData/>
  </xdr:twoCellAnchor>
  <xdr:twoCellAnchor editAs="oneCell">
    <xdr:from>
      <xdr:col>23</xdr:col>
      <xdr:colOff>152400</xdr:colOff>
      <xdr:row>2</xdr:row>
      <xdr:rowOff>138546</xdr:rowOff>
    </xdr:from>
    <xdr:to>
      <xdr:col>30</xdr:col>
      <xdr:colOff>419099</xdr:colOff>
      <xdr:row>28</xdr:row>
      <xdr:rowOff>104602</xdr:rowOff>
    </xdr:to>
    <xdr:pic>
      <xdr:nvPicPr>
        <xdr:cNvPr id="21" name="Imagen 20" descr="tabla densidad agua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03050" y="538596"/>
          <a:ext cx="5600699" cy="55953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3" Type="http://schemas.openxmlformats.org/officeDocument/2006/relationships/printerSettings" Target="../printerSettings/printerSettings1.bin"/><Relationship Id="rId7" Type="http://schemas.openxmlformats.org/officeDocument/2006/relationships/image" Target="../media/image1.emf"/><Relationship Id="rId2" Type="http://schemas.openxmlformats.org/officeDocument/2006/relationships/hyperlink" Target="https://es.slideshare.net/Ebene159/mcanica-de-fludos" TargetMode="External"/><Relationship Id="rId1" Type="http://schemas.openxmlformats.org/officeDocument/2006/relationships/hyperlink" Target="https://www.fullquimica.com/2012/04/densidad-del-agua.html" TargetMode="External"/><Relationship Id="rId6" Type="http://schemas.openxmlformats.org/officeDocument/2006/relationships/oleObject" Target="../embeddings/oleObject1.bin"/><Relationship Id="rId5" Type="http://schemas.openxmlformats.org/officeDocument/2006/relationships/vmlDrawing" Target="../drawings/vmlDrawing1.vml"/><Relationship Id="rId10" Type="http://schemas.openxmlformats.org/officeDocument/2006/relationships/comments" Target="../comments1.xml"/><Relationship Id="rId4" Type="http://schemas.openxmlformats.org/officeDocument/2006/relationships/drawing" Target="../drawings/drawing1.xml"/><Relationship Id="rId9" Type="http://schemas.openxmlformats.org/officeDocument/2006/relationships/image" Target="../media/image2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google.com.co/search?q=peso+especifico+del+agua+a+diferentes+temperaturas&amp;tbm=isch&amp;source=iu&amp;ictx=1&amp;fir=tz8yIulDTfIgrM%253A%252CBq6jOTbD-WtrPM%252C_&amp;usg=AI4_-kSmwQJCaGv4fHU1gd33CTfhuv2LIA&amp;sa=X&amp;ved=2ahUKEwjpmtX_zdndAhWOwFkKHbIZCjwQ9QEwAXoECAYQB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274B5-7287-438C-ADA8-F9BA87E900FA}">
  <sheetPr codeName="Hoja1">
    <pageSetUpPr fitToPage="1"/>
  </sheetPr>
  <dimension ref="B1:AC135"/>
  <sheetViews>
    <sheetView showGridLines="0" zoomScale="115" zoomScaleNormal="115" workbookViewId="0">
      <selection activeCell="E1" sqref="E1"/>
    </sheetView>
  </sheetViews>
  <sheetFormatPr defaultColWidth="11.3984375" defaultRowHeight="14.65"/>
  <cols>
    <col min="1" max="1" width="7.59765625" style="1" customWidth="1"/>
    <col min="2" max="2" width="37.3984375" style="1" customWidth="1"/>
    <col min="3" max="5" width="13.3984375" style="2" customWidth="1"/>
    <col min="6" max="6" width="3.265625" style="1" customWidth="1"/>
    <col min="7" max="7" width="3.265625" style="3" customWidth="1"/>
    <col min="8" max="9" width="21.73046875" style="1" customWidth="1"/>
    <col min="10" max="10" width="18.86328125" style="1" bestFit="1" customWidth="1"/>
    <col min="11" max="11" width="21.73046875" style="1" customWidth="1"/>
    <col min="12" max="12" width="18.86328125" style="1" bestFit="1" customWidth="1"/>
    <col min="13" max="13" width="14.1328125" style="1" customWidth="1"/>
    <col min="14" max="14" width="3.265625" style="1" customWidth="1"/>
    <col min="15" max="15" width="3.265625" style="3" customWidth="1"/>
    <col min="16" max="18" width="21.73046875" style="1" customWidth="1"/>
    <col min="19" max="19" width="17.73046875" style="1" customWidth="1"/>
    <col min="20" max="20" width="12.3984375" style="1" customWidth="1"/>
    <col min="21" max="21" width="3.265625" style="1" customWidth="1"/>
    <col min="22" max="22" width="3.265625" style="3" customWidth="1"/>
    <col min="23" max="23" width="64.1328125" style="1" customWidth="1"/>
    <col min="24" max="24" width="3.265625" style="1" customWidth="1"/>
    <col min="25" max="25" width="3.265625" style="3" customWidth="1"/>
    <col min="26" max="16384" width="11.3984375" style="1"/>
  </cols>
  <sheetData>
    <row r="1" spans="2:29">
      <c r="E1" s="51"/>
    </row>
    <row r="2" spans="2:29" ht="15.75" customHeight="1">
      <c r="B2" s="156" t="s">
        <v>120</v>
      </c>
      <c r="C2" s="156"/>
      <c r="D2" s="156"/>
      <c r="E2" s="156"/>
      <c r="I2" s="77"/>
      <c r="P2" s="152" t="s">
        <v>85</v>
      </c>
      <c r="Q2" s="152"/>
      <c r="R2" s="152"/>
      <c r="S2" s="152"/>
      <c r="T2" s="152"/>
    </row>
    <row r="3" spans="2:29">
      <c r="B3" s="156"/>
      <c r="C3" s="156"/>
      <c r="D3" s="156"/>
      <c r="E3" s="156"/>
      <c r="I3" s="50" t="s">
        <v>117</v>
      </c>
      <c r="J3" s="1">
        <v>62.42</v>
      </c>
      <c r="K3" s="1" t="s">
        <v>118</v>
      </c>
      <c r="L3" s="26">
        <f>(J3*D8/2.20462)/0.3048^3</f>
        <v>9804.761236486398</v>
      </c>
      <c r="M3" s="26" t="s">
        <v>119</v>
      </c>
      <c r="P3" s="26"/>
      <c r="Q3" s="26"/>
      <c r="R3" s="26"/>
      <c r="S3" s="26"/>
      <c r="T3" s="26"/>
    </row>
    <row r="4" spans="2:29">
      <c r="B4" s="156"/>
      <c r="C4" s="156"/>
      <c r="D4" s="156"/>
      <c r="E4" s="156"/>
    </row>
    <row r="5" spans="2:29" ht="21.75">
      <c r="B5" s="22" t="s">
        <v>103</v>
      </c>
      <c r="E5" s="92" t="s">
        <v>93</v>
      </c>
      <c r="H5" s="22" t="s">
        <v>102</v>
      </c>
      <c r="I5" s="22"/>
      <c r="M5" s="6"/>
      <c r="P5" s="22" t="s">
        <v>31</v>
      </c>
      <c r="T5" s="6"/>
    </row>
    <row r="6" spans="2:29" ht="43.15">
      <c r="B6" s="144" t="s">
        <v>0</v>
      </c>
      <c r="C6" s="31" t="s">
        <v>5</v>
      </c>
      <c r="D6" s="78">
        <v>0.36</v>
      </c>
      <c r="E6" s="33" t="s">
        <v>4</v>
      </c>
      <c r="H6" s="161" t="s">
        <v>9</v>
      </c>
      <c r="I6" s="157" t="s">
        <v>89</v>
      </c>
      <c r="J6" s="158"/>
      <c r="K6" s="157" t="s">
        <v>90</v>
      </c>
      <c r="L6" s="158"/>
      <c r="M6" s="14" t="s">
        <v>18</v>
      </c>
      <c r="P6" s="30" t="s">
        <v>39</v>
      </c>
      <c r="Q6" s="30" t="s">
        <v>32</v>
      </c>
      <c r="R6" s="30" t="s">
        <v>33</v>
      </c>
      <c r="S6" s="30" t="s">
        <v>34</v>
      </c>
      <c r="T6" s="30" t="s">
        <v>35</v>
      </c>
    </row>
    <row r="7" spans="2:29" ht="38.65">
      <c r="B7" s="145" t="s">
        <v>2</v>
      </c>
      <c r="C7" s="34" t="s">
        <v>6</v>
      </c>
      <c r="D7" s="49">
        <v>1E-4</v>
      </c>
      <c r="E7" s="36" t="s">
        <v>1</v>
      </c>
      <c r="H7" s="162"/>
      <c r="I7" s="71" t="s">
        <v>86</v>
      </c>
      <c r="J7" s="15" t="s">
        <v>87</v>
      </c>
      <c r="K7" s="71" t="s">
        <v>92</v>
      </c>
      <c r="L7" s="15" t="s">
        <v>95</v>
      </c>
      <c r="M7" s="72"/>
      <c r="P7" s="7">
        <v>0.1</v>
      </c>
      <c r="Q7" s="8"/>
      <c r="R7" s="105"/>
      <c r="S7" s="105"/>
      <c r="T7" s="105"/>
    </row>
    <row r="8" spans="2:29">
      <c r="B8" s="145" t="s">
        <v>36</v>
      </c>
      <c r="C8" s="34" t="s">
        <v>37</v>
      </c>
      <c r="D8" s="35">
        <v>9.8059999999999992</v>
      </c>
      <c r="E8" s="36" t="s">
        <v>38</v>
      </c>
      <c r="H8" s="7">
        <v>0</v>
      </c>
      <c r="I8" s="75">
        <f>1000-((H8-4)^2)/180</f>
        <v>999.91111111111115</v>
      </c>
      <c r="J8" s="73">
        <f>+I8*$D$8</f>
        <v>9805.1283555555547</v>
      </c>
      <c r="K8" s="73">
        <f t="shared" ref="K8:K15" si="0">I8*2.20462*0.3048^3</f>
        <v>62.422337188203173</v>
      </c>
      <c r="L8" s="73">
        <f>K8*($D$8*0.3048)</f>
        <v>186.5721760449002</v>
      </c>
      <c r="M8" s="159" t="s">
        <v>88</v>
      </c>
      <c r="P8" s="7">
        <v>0.2</v>
      </c>
      <c r="Q8" s="8"/>
      <c r="R8" s="105"/>
      <c r="S8" s="105"/>
      <c r="T8" s="105"/>
    </row>
    <row r="9" spans="2:29">
      <c r="B9" s="145" t="s">
        <v>41</v>
      </c>
      <c r="C9" s="34" t="s">
        <v>15</v>
      </c>
      <c r="D9" s="35">
        <v>1</v>
      </c>
      <c r="E9" s="36" t="s">
        <v>3</v>
      </c>
      <c r="H9" s="7">
        <v>5</v>
      </c>
      <c r="I9" s="75">
        <f t="shared" ref="I9:I15" si="1">1000-((H9-4)^2)/180</f>
        <v>999.99444444444441</v>
      </c>
      <c r="J9" s="73">
        <f t="shared" ref="J9:J13" si="2">+I9*$D$8</f>
        <v>9805.9455222222205</v>
      </c>
      <c r="K9" s="73">
        <f t="shared" si="0"/>
        <v>62.427539512064307</v>
      </c>
      <c r="L9" s="73">
        <f t="shared" ref="L9:L15" si="3">K9*($D$8*0.3048)</f>
        <v>186.58772510837625</v>
      </c>
      <c r="M9" s="159"/>
      <c r="P9" s="7">
        <v>0.3</v>
      </c>
      <c r="Q9" s="8"/>
      <c r="R9" s="105"/>
      <c r="S9" s="105"/>
      <c r="T9" s="105"/>
    </row>
    <row r="10" spans="2:29">
      <c r="B10" s="145" t="s">
        <v>11</v>
      </c>
      <c r="C10" s="34" t="s">
        <v>12</v>
      </c>
      <c r="D10" s="35">
        <v>15</v>
      </c>
      <c r="E10" s="36" t="s">
        <v>13</v>
      </c>
      <c r="H10" s="7">
        <v>10</v>
      </c>
      <c r="I10" s="75">
        <f t="shared" si="1"/>
        <v>999.8</v>
      </c>
      <c r="J10" s="73">
        <f t="shared" si="2"/>
        <v>9804.0387999999984</v>
      </c>
      <c r="K10" s="73">
        <f t="shared" si="0"/>
        <v>62.415400756388316</v>
      </c>
      <c r="L10" s="73">
        <f t="shared" si="3"/>
        <v>186.55144396026543</v>
      </c>
      <c r="M10" s="159"/>
      <c r="P10" s="7">
        <v>0.4</v>
      </c>
      <c r="Q10" s="8"/>
      <c r="R10" s="105"/>
      <c r="S10" s="105"/>
      <c r="T10" s="105"/>
    </row>
    <row r="11" spans="2:29">
      <c r="B11" s="146" t="s">
        <v>84</v>
      </c>
      <c r="C11" s="85" t="s">
        <v>96</v>
      </c>
      <c r="D11" s="86">
        <f>1000-((D10-4)^2)/180</f>
        <v>999.32777777777778</v>
      </c>
      <c r="E11" s="36" t="s">
        <v>97</v>
      </c>
      <c r="H11" s="7">
        <v>20</v>
      </c>
      <c r="I11" s="75">
        <f t="shared" si="1"/>
        <v>998.57777777777778</v>
      </c>
      <c r="J11" s="73">
        <f t="shared" si="2"/>
        <v>9792.0536888888873</v>
      </c>
      <c r="K11" s="73">
        <f t="shared" si="0"/>
        <v>62.33910000642495</v>
      </c>
      <c r="L11" s="73">
        <f t="shared" si="3"/>
        <v>186.32339102928333</v>
      </c>
      <c r="M11" s="159"/>
      <c r="P11" s="7">
        <v>0.5</v>
      </c>
      <c r="Q11" s="8"/>
      <c r="R11" s="105"/>
      <c r="S11" s="105"/>
      <c r="T11" s="105"/>
    </row>
    <row r="12" spans="2:29">
      <c r="B12" s="145" t="s">
        <v>19</v>
      </c>
      <c r="C12" s="34" t="s">
        <v>23</v>
      </c>
      <c r="D12" s="86">
        <f>D11*D8</f>
        <v>9799.4081888888886</v>
      </c>
      <c r="E12" s="36" t="s">
        <v>24</v>
      </c>
      <c r="H12" s="7">
        <v>40</v>
      </c>
      <c r="I12" s="75">
        <f t="shared" si="1"/>
        <v>992.8</v>
      </c>
      <c r="J12" s="73">
        <f t="shared" si="2"/>
        <v>9735.3967999999986</v>
      </c>
      <c r="K12" s="73">
        <f t="shared" si="0"/>
        <v>61.97840555205272</v>
      </c>
      <c r="L12" s="73">
        <f t="shared" si="3"/>
        <v>185.24532262827717</v>
      </c>
      <c r="M12" s="159"/>
      <c r="P12" s="7">
        <v>0.6</v>
      </c>
      <c r="Q12" s="8"/>
      <c r="R12" s="105"/>
      <c r="S12" s="105"/>
      <c r="T12" s="105"/>
    </row>
    <row r="13" spans="2:29">
      <c r="B13" s="145" t="s">
        <v>25</v>
      </c>
      <c r="C13" s="34" t="s">
        <v>26</v>
      </c>
      <c r="D13" s="35">
        <v>300</v>
      </c>
      <c r="E13" s="36" t="s">
        <v>27</v>
      </c>
      <c r="H13" s="7">
        <v>60</v>
      </c>
      <c r="I13" s="75">
        <f t="shared" si="1"/>
        <v>982.57777777777778</v>
      </c>
      <c r="J13" s="73">
        <f t="shared" si="2"/>
        <v>9635.1576888888885</v>
      </c>
      <c r="K13" s="73">
        <f t="shared" si="0"/>
        <v>61.340253825086478</v>
      </c>
      <c r="L13" s="73">
        <f t="shared" si="3"/>
        <v>183.33797084188163</v>
      </c>
      <c r="M13" s="159"/>
      <c r="P13" s="7">
        <v>0.7</v>
      </c>
      <c r="Q13" s="8"/>
      <c r="R13" s="105"/>
      <c r="S13" s="105"/>
      <c r="T13" s="105"/>
      <c r="AC13"/>
    </row>
    <row r="14" spans="2:29">
      <c r="B14" s="145" t="s">
        <v>28</v>
      </c>
      <c r="C14" s="34" t="s">
        <v>29</v>
      </c>
      <c r="D14" s="35">
        <v>0.30786000000000002</v>
      </c>
      <c r="E14" s="36" t="s">
        <v>27</v>
      </c>
      <c r="H14" s="7">
        <v>80</v>
      </c>
      <c r="I14" s="75">
        <f t="shared" si="1"/>
        <v>967.91111111111115</v>
      </c>
      <c r="J14" s="73">
        <f>+I14*$D$8</f>
        <v>9491.3363555555552</v>
      </c>
      <c r="K14" s="73">
        <f t="shared" si="0"/>
        <v>60.424644825526201</v>
      </c>
      <c r="L14" s="73">
        <f t="shared" si="3"/>
        <v>180.60133567009672</v>
      </c>
      <c r="M14" s="159"/>
      <c r="P14" s="7">
        <v>0.8</v>
      </c>
      <c r="Q14" s="28"/>
      <c r="R14" s="106"/>
      <c r="S14" s="106"/>
      <c r="T14" s="106"/>
    </row>
    <row r="15" spans="2:29" ht="16.149999999999999">
      <c r="B15" s="155" t="s">
        <v>112</v>
      </c>
      <c r="C15" s="34" t="s">
        <v>137</v>
      </c>
      <c r="D15" s="66" t="s">
        <v>138</v>
      </c>
      <c r="E15" s="36" t="s">
        <v>139</v>
      </c>
      <c r="H15" s="12">
        <v>100</v>
      </c>
      <c r="I15" s="76">
        <f t="shared" si="1"/>
        <v>948.8</v>
      </c>
      <c r="J15" s="74">
        <f>+I15*$D$8</f>
        <v>9303.9327999999987</v>
      </c>
      <c r="K15" s="74">
        <f t="shared" si="0"/>
        <v>59.231578553371904</v>
      </c>
      <c r="L15" s="74">
        <f t="shared" si="3"/>
        <v>177.03541711292243</v>
      </c>
      <c r="M15" s="160"/>
      <c r="P15" s="7">
        <v>0.9</v>
      </c>
      <c r="Q15" s="28"/>
      <c r="R15" s="106"/>
      <c r="S15" s="106"/>
      <c r="T15" s="106"/>
    </row>
    <row r="16" spans="2:29">
      <c r="B16" s="153"/>
      <c r="C16" s="132">
        <v>0.35</v>
      </c>
      <c r="D16" s="102">
        <v>0.35</v>
      </c>
      <c r="E16" s="133">
        <v>0.35</v>
      </c>
      <c r="P16" s="7">
        <v>1</v>
      </c>
      <c r="Q16" s="28"/>
      <c r="R16" s="106"/>
      <c r="S16" s="106"/>
      <c r="T16" s="106"/>
    </row>
    <row r="17" spans="2:20" ht="15.75" customHeight="1">
      <c r="B17" s="154"/>
      <c r="C17" s="130" t="str">
        <f>CONCATENATE(C113," ",ROUND(C114*100,1),"%")</f>
        <v>Estable 6.7%</v>
      </c>
      <c r="D17" s="130" t="str">
        <f>CONCATENATE(D113," ",ROUND(D114*100,1),"%")</f>
        <v>Estable 4.7%</v>
      </c>
      <c r="E17" s="131" t="str">
        <f>CONCATENATE(E113," ",ROUND(E114*100,1),"%")</f>
        <v>Estable 6.7%</v>
      </c>
      <c r="P17" s="27">
        <v>2</v>
      </c>
      <c r="Q17" s="28"/>
      <c r="R17" s="106"/>
      <c r="S17" s="106"/>
      <c r="T17" s="106"/>
    </row>
    <row r="18" spans="2:20">
      <c r="B18" s="155" t="s">
        <v>48</v>
      </c>
      <c r="C18" s="34" t="s">
        <v>46</v>
      </c>
      <c r="D18" s="164" t="s">
        <v>113</v>
      </c>
      <c r="E18" s="36" t="s">
        <v>47</v>
      </c>
      <c r="P18" s="27">
        <v>3</v>
      </c>
      <c r="Q18" s="28"/>
      <c r="R18" s="106"/>
      <c r="S18" s="106"/>
      <c r="T18" s="106"/>
    </row>
    <row r="19" spans="2:20">
      <c r="B19" s="154"/>
      <c r="C19" s="35">
        <v>3</v>
      </c>
      <c r="D19" s="165"/>
      <c r="E19" s="38">
        <v>3</v>
      </c>
      <c r="P19" s="27">
        <v>4</v>
      </c>
      <c r="Q19" s="28"/>
      <c r="R19" s="106"/>
      <c r="S19" s="106"/>
      <c r="T19" s="106"/>
    </row>
    <row r="20" spans="2:20">
      <c r="B20" s="153" t="s">
        <v>57</v>
      </c>
      <c r="C20" s="34" t="s">
        <v>44</v>
      </c>
      <c r="D20" s="164" t="s">
        <v>113</v>
      </c>
      <c r="E20" s="36" t="s">
        <v>45</v>
      </c>
      <c r="P20" s="27">
        <v>5</v>
      </c>
      <c r="Q20" s="28"/>
      <c r="R20" s="106"/>
      <c r="S20" s="106"/>
      <c r="T20" s="106"/>
    </row>
    <row r="21" spans="2:20">
      <c r="B21" s="154"/>
      <c r="C21" s="94">
        <f>DEGREES(ATAN(1/C19))</f>
        <v>18.43494882292201</v>
      </c>
      <c r="D21" s="165"/>
      <c r="E21" s="103">
        <f>DEGREES(ATAN(1/E19))</f>
        <v>18.43494882292201</v>
      </c>
      <c r="K21"/>
      <c r="P21" s="27">
        <v>6</v>
      </c>
      <c r="Q21" s="28">
        <v>0.1</v>
      </c>
      <c r="R21" s="106"/>
      <c r="S21" s="106"/>
      <c r="T21" s="106"/>
    </row>
    <row r="22" spans="2:20">
      <c r="B22" s="155" t="s">
        <v>49</v>
      </c>
      <c r="C22" s="34" t="s">
        <v>50</v>
      </c>
      <c r="D22" s="37" t="s">
        <v>51</v>
      </c>
      <c r="E22" s="36" t="s">
        <v>52</v>
      </c>
      <c r="P22" s="27">
        <v>7</v>
      </c>
      <c r="Q22" s="28">
        <v>0.12</v>
      </c>
      <c r="R22" s="106"/>
      <c r="S22" s="106"/>
      <c r="T22" s="106"/>
    </row>
    <row r="23" spans="2:20">
      <c r="B23" s="154"/>
      <c r="C23" s="35">
        <v>30</v>
      </c>
      <c r="D23" s="35">
        <v>30</v>
      </c>
      <c r="E23" s="38">
        <v>30</v>
      </c>
      <c r="P23" s="27">
        <v>8</v>
      </c>
      <c r="Q23" s="28">
        <v>0.14000000000000001</v>
      </c>
      <c r="R23" s="106"/>
      <c r="S23" s="106"/>
      <c r="T23" s="106"/>
    </row>
    <row r="24" spans="2:20">
      <c r="B24" s="155" t="s">
        <v>56</v>
      </c>
      <c r="C24" s="34" t="s">
        <v>53</v>
      </c>
      <c r="D24" s="37" t="s">
        <v>54</v>
      </c>
      <c r="E24" s="47" t="s">
        <v>55</v>
      </c>
      <c r="P24" s="27">
        <v>9</v>
      </c>
      <c r="Q24" s="28">
        <v>0.16</v>
      </c>
      <c r="R24" s="106"/>
      <c r="S24" s="106"/>
      <c r="T24" s="106"/>
    </row>
    <row r="25" spans="2:20">
      <c r="B25" s="154"/>
      <c r="C25" s="35">
        <v>1.7999999999999999E-2</v>
      </c>
      <c r="D25" s="35">
        <v>1.7999999999999999E-2</v>
      </c>
      <c r="E25" s="38">
        <v>1.7999999999999999E-2</v>
      </c>
      <c r="P25" s="27">
        <v>10</v>
      </c>
      <c r="Q25" s="28">
        <v>0.17499999999999999</v>
      </c>
      <c r="R25" s="106"/>
      <c r="S25" s="106"/>
      <c r="T25" s="106"/>
    </row>
    <row r="26" spans="2:20">
      <c r="B26" s="147" t="s">
        <v>130</v>
      </c>
      <c r="C26" s="166" t="s">
        <v>136</v>
      </c>
      <c r="D26" s="166"/>
      <c r="E26" s="167"/>
      <c r="P26" s="27">
        <v>20</v>
      </c>
      <c r="Q26" s="28">
        <v>0.33</v>
      </c>
      <c r="R26" s="106"/>
      <c r="S26" s="106"/>
      <c r="T26" s="106"/>
    </row>
    <row r="27" spans="2:20">
      <c r="B27" s="148"/>
      <c r="C27" s="39"/>
      <c r="D27" s="39"/>
      <c r="E27" s="40"/>
      <c r="P27" s="27">
        <v>30</v>
      </c>
      <c r="Q27" s="28">
        <v>0.5</v>
      </c>
      <c r="R27" s="106"/>
      <c r="S27" s="106"/>
      <c r="T27" s="106"/>
    </row>
    <row r="28" spans="2:20">
      <c r="P28" s="27">
        <v>40</v>
      </c>
      <c r="Q28" s="28">
        <v>0.67</v>
      </c>
      <c r="R28" s="106"/>
      <c r="S28" s="106"/>
      <c r="T28" s="106"/>
    </row>
    <row r="29" spans="2:20">
      <c r="B29" s="22" t="s">
        <v>7</v>
      </c>
      <c r="P29" s="27">
        <v>50</v>
      </c>
      <c r="Q29" s="28">
        <v>0.83499999999999996</v>
      </c>
      <c r="R29" s="106"/>
      <c r="S29" s="106"/>
      <c r="T29" s="106"/>
    </row>
    <row r="30" spans="2:20">
      <c r="B30" s="23"/>
      <c r="C30" s="16"/>
      <c r="D30" s="16"/>
      <c r="E30" s="17"/>
      <c r="P30" s="27">
        <v>60</v>
      </c>
      <c r="Q30" s="28">
        <v>1</v>
      </c>
      <c r="R30" s="106"/>
      <c r="S30" s="106"/>
      <c r="T30" s="106"/>
    </row>
    <row r="31" spans="2:20">
      <c r="B31" s="183" t="s">
        <v>8</v>
      </c>
      <c r="C31" s="184"/>
      <c r="D31" s="184"/>
      <c r="E31" s="185"/>
      <c r="P31" s="27">
        <v>70</v>
      </c>
      <c r="Q31" s="28">
        <v>1.175</v>
      </c>
      <c r="R31" s="106"/>
      <c r="S31" s="106"/>
      <c r="T31" s="106"/>
    </row>
    <row r="32" spans="2:20">
      <c r="B32" s="65"/>
      <c r="C32" s="66"/>
      <c r="D32" s="66"/>
      <c r="E32" s="67"/>
      <c r="P32" s="27">
        <v>80</v>
      </c>
      <c r="Q32" s="28">
        <v>1.345</v>
      </c>
      <c r="R32" s="106"/>
      <c r="S32" s="106"/>
      <c r="T32" s="106"/>
    </row>
    <row r="33" spans="2:20">
      <c r="B33" s="65"/>
      <c r="C33" s="66"/>
      <c r="D33" s="66"/>
      <c r="E33" s="67"/>
      <c r="P33" s="27">
        <v>90</v>
      </c>
      <c r="Q33" s="28">
        <v>1.52</v>
      </c>
      <c r="R33" s="106"/>
      <c r="S33" s="106"/>
      <c r="T33" s="106"/>
    </row>
    <row r="34" spans="2:20">
      <c r="B34" s="65"/>
      <c r="C34" s="66"/>
      <c r="D34" s="66"/>
      <c r="E34" s="67"/>
      <c r="H34" s="20" t="s">
        <v>16</v>
      </c>
      <c r="I34" s="4" t="s">
        <v>14</v>
      </c>
      <c r="J34" s="21" t="s">
        <v>15</v>
      </c>
      <c r="P34" s="27">
        <v>100</v>
      </c>
      <c r="Q34" s="28">
        <v>1.7</v>
      </c>
      <c r="R34" s="106"/>
      <c r="S34" s="106"/>
      <c r="T34" s="106"/>
    </row>
    <row r="35" spans="2:20">
      <c r="B35" s="65"/>
      <c r="C35" s="66"/>
      <c r="D35" s="66"/>
      <c r="E35" s="67"/>
      <c r="H35" s="18">
        <f t="array" ref="H35:J35">LINEST(J8:J15,H8:H15^{1,2},TRUE,TRUE)</f>
        <v>-5.4477777777777937E-2</v>
      </c>
      <c r="I35" s="11">
        <v>0.43582222222224415</v>
      </c>
      <c r="J35" s="19">
        <v>9805.1283555555528</v>
      </c>
      <c r="P35" s="12"/>
      <c r="Q35" s="13"/>
      <c r="R35" s="107"/>
      <c r="S35" s="107"/>
      <c r="T35" s="107"/>
    </row>
    <row r="36" spans="2:20">
      <c r="B36" s="65"/>
      <c r="C36" s="66"/>
      <c r="D36" s="66"/>
      <c r="E36" s="67"/>
    </row>
    <row r="37" spans="2:20">
      <c r="B37" s="65"/>
      <c r="C37" s="66"/>
      <c r="D37" s="66"/>
      <c r="E37" s="67"/>
    </row>
    <row r="38" spans="2:20">
      <c r="B38" s="65"/>
      <c r="C38" s="66"/>
      <c r="D38" s="66"/>
      <c r="E38" s="67"/>
    </row>
    <row r="39" spans="2:20">
      <c r="B39" s="65"/>
      <c r="C39" s="66"/>
      <c r="D39" s="66"/>
      <c r="E39" s="67"/>
      <c r="H39" s="96" t="s">
        <v>2</v>
      </c>
      <c r="I39" s="96"/>
      <c r="J39" s="96"/>
      <c r="K39" s="96"/>
      <c r="L39" s="96"/>
      <c r="M39" s="96"/>
    </row>
    <row r="40" spans="2:20">
      <c r="B40" s="65"/>
      <c r="C40" s="66"/>
      <c r="D40" s="66"/>
      <c r="E40" s="67"/>
      <c r="H40" s="96" t="s">
        <v>143</v>
      </c>
      <c r="I40" s="96"/>
      <c r="J40" s="96"/>
      <c r="K40" s="96"/>
      <c r="L40" s="96"/>
      <c r="M40" s="96"/>
    </row>
    <row r="41" spans="2:20" ht="21.75" customHeight="1">
      <c r="B41" s="65"/>
      <c r="C41" s="66"/>
      <c r="D41" s="66"/>
      <c r="E41" s="67"/>
      <c r="H41" s="163" t="s">
        <v>114</v>
      </c>
      <c r="I41" s="163"/>
      <c r="J41" s="163"/>
      <c r="K41" s="163"/>
      <c r="L41" s="163"/>
      <c r="M41" s="163"/>
    </row>
    <row r="42" spans="2:20">
      <c r="B42" s="65"/>
      <c r="C42" s="66"/>
      <c r="D42" s="66"/>
      <c r="E42" s="67"/>
      <c r="H42" s="163"/>
      <c r="I42" s="163"/>
      <c r="J42" s="163"/>
      <c r="K42" s="163"/>
      <c r="L42" s="163"/>
      <c r="M42" s="163"/>
    </row>
    <row r="43" spans="2:20">
      <c r="B43" s="65"/>
      <c r="C43" s="66"/>
      <c r="D43" s="66"/>
      <c r="E43" s="67"/>
      <c r="H43" s="163"/>
      <c r="I43" s="163"/>
      <c r="J43" s="163"/>
      <c r="K43" s="163"/>
      <c r="L43" s="163"/>
      <c r="M43" s="163"/>
    </row>
    <row r="44" spans="2:20">
      <c r="B44" s="65"/>
      <c r="C44" s="66"/>
      <c r="D44" s="66"/>
      <c r="E44" s="67"/>
      <c r="H44" s="96"/>
      <c r="I44" s="96"/>
      <c r="J44" s="96"/>
      <c r="K44" s="96"/>
      <c r="L44" s="96"/>
      <c r="M44" s="96"/>
    </row>
    <row r="45" spans="2:20">
      <c r="B45" s="65"/>
      <c r="C45" s="66"/>
      <c r="D45" s="66"/>
      <c r="E45" s="67"/>
    </row>
    <row r="46" spans="2:20">
      <c r="B46" s="65"/>
      <c r="C46" s="66"/>
      <c r="D46" s="66"/>
      <c r="E46" s="67"/>
      <c r="H46" s="77" t="s">
        <v>94</v>
      </c>
    </row>
    <row r="47" spans="2:20">
      <c r="B47" s="65"/>
      <c r="C47" s="66"/>
      <c r="D47" s="66"/>
      <c r="E47" s="67"/>
      <c r="H47" s="77" t="s">
        <v>91</v>
      </c>
    </row>
    <row r="48" spans="2:20">
      <c r="B48" s="65"/>
      <c r="C48" s="66"/>
      <c r="D48" s="66"/>
      <c r="E48" s="67"/>
      <c r="H48" s="1" t="s">
        <v>145</v>
      </c>
    </row>
    <row r="49" spans="2:17">
      <c r="B49" s="65"/>
      <c r="C49" s="66"/>
      <c r="D49" s="66"/>
      <c r="E49" s="67"/>
    </row>
    <row r="50" spans="2:17">
      <c r="B50" s="65"/>
      <c r="C50" s="66"/>
      <c r="D50" s="66"/>
      <c r="E50" s="67"/>
    </row>
    <row r="51" spans="2:17">
      <c r="B51" s="65"/>
      <c r="C51" s="66"/>
      <c r="D51" s="66"/>
      <c r="E51" s="67"/>
    </row>
    <row r="52" spans="2:17">
      <c r="B52" s="65"/>
      <c r="C52" s="66"/>
      <c r="D52" s="66"/>
      <c r="E52" s="67"/>
    </row>
    <row r="53" spans="2:17">
      <c r="B53" s="65"/>
      <c r="C53" s="66"/>
      <c r="D53" s="66"/>
      <c r="E53" s="67"/>
    </row>
    <row r="54" spans="2:17">
      <c r="B54" s="65"/>
      <c r="C54" s="66"/>
      <c r="D54" s="66"/>
      <c r="E54" s="67"/>
    </row>
    <row r="55" spans="2:17">
      <c r="B55" s="183"/>
      <c r="C55" s="184"/>
      <c r="D55" s="184"/>
      <c r="E55" s="185"/>
      <c r="P55" s="1" t="s">
        <v>32</v>
      </c>
    </row>
    <row r="56" spans="2:17">
      <c r="B56" s="175" t="str">
        <f>B20</f>
        <v>Ángulo del Talud (°)</v>
      </c>
      <c r="C56" s="34" t="str">
        <f>C20</f>
        <v>𝛼1</v>
      </c>
      <c r="D56" s="176" t="str">
        <f>D18</f>
        <v>Lecho o fondo</v>
      </c>
      <c r="E56" s="36" t="str">
        <f>E20</f>
        <v>𝛼2</v>
      </c>
      <c r="P56" s="20" t="s">
        <v>14</v>
      </c>
      <c r="Q56" s="21" t="s">
        <v>15</v>
      </c>
    </row>
    <row r="57" spans="2:17">
      <c r="B57" s="175"/>
      <c r="C57" s="94">
        <f>C21</f>
        <v>18.43494882292201</v>
      </c>
      <c r="D57" s="176"/>
      <c r="E57" s="103">
        <f>E21</f>
        <v>18.43494882292201</v>
      </c>
      <c r="P57" s="18">
        <f t="array" ref="P57:Q57">LINEST(Q21:Q34,P21:P34)</f>
        <v>1.6855018948595864E-2</v>
      </c>
      <c r="Q57" s="19">
        <v>-4.222135846858599E-4</v>
      </c>
    </row>
    <row r="58" spans="2:17" ht="15.75" customHeight="1">
      <c r="B58" s="175" t="str">
        <f>B22</f>
        <v>Ángulo de reposo del sedimento (°)</v>
      </c>
      <c r="C58" s="34" t="str">
        <f>C22</f>
        <v>𝜃 izq</v>
      </c>
      <c r="D58" s="37" t="str">
        <f t="shared" ref="D58:E58" si="4">D22</f>
        <v>𝜃 lecho</v>
      </c>
      <c r="E58" s="36" t="str">
        <f t="shared" si="4"/>
        <v>𝜃 der</v>
      </c>
    </row>
    <row r="59" spans="2:17">
      <c r="B59" s="175"/>
      <c r="C59" s="37">
        <f t="shared" ref="C59:E59" si="5">C23</f>
        <v>30</v>
      </c>
      <c r="D59" s="37">
        <f t="shared" si="5"/>
        <v>30</v>
      </c>
      <c r="E59" s="47">
        <f t="shared" si="5"/>
        <v>30</v>
      </c>
    </row>
    <row r="60" spans="2:17">
      <c r="B60" s="168" t="s">
        <v>7</v>
      </c>
      <c r="C60" s="117" t="s">
        <v>71</v>
      </c>
      <c r="D60" s="117"/>
      <c r="E60" s="8" t="s">
        <v>72</v>
      </c>
    </row>
    <row r="61" spans="2:17">
      <c r="B61" s="168"/>
      <c r="C61" s="141">
        <f>IF(C23&gt;C21,(COS(RADIANS(C21))*SQRT(1-((TAN(RADIANS(C21)))^2/(TAN(RADIANS(C23)))^2))),1)</f>
        <v>0.7745966692414834</v>
      </c>
      <c r="D61" s="141"/>
      <c r="E61" s="142">
        <f>IF(E23&gt;E21,(COS(RADIANS(E21))*SQRT(1-((TAN(RADIANS(E21)))^2/(TAN(RADIANS(E23)))^2))),1)</f>
        <v>0.7745966692414834</v>
      </c>
    </row>
    <row r="62" spans="2:17">
      <c r="B62" s="168"/>
      <c r="C62" s="141">
        <f>IF(C23&gt;C21,SQRT(1-((SIN(RADIANS(C21)))^2)/((SIN(RADIANS(C23)))^2)),1)</f>
        <v>0.77459666924148329</v>
      </c>
      <c r="D62" s="141"/>
      <c r="E62" s="142">
        <f>IF(E23&gt;E21,SQRT(1-((SIN(RADIANS(E21)))^2)/((SIN(RADIANS(E23)))^2)),1)</f>
        <v>0.77459666924148329</v>
      </c>
    </row>
    <row r="63" spans="2:17">
      <c r="B63" s="24"/>
      <c r="C63" s="66"/>
      <c r="D63" s="66"/>
      <c r="E63" s="67"/>
    </row>
    <row r="64" spans="2:17">
      <c r="B64" s="24"/>
      <c r="C64" s="66"/>
      <c r="D64" s="66"/>
      <c r="E64" s="67"/>
    </row>
    <row r="65" spans="2:5">
      <c r="B65" s="24"/>
      <c r="C65" s="66"/>
      <c r="D65" s="66"/>
      <c r="E65" s="67"/>
    </row>
    <row r="66" spans="2:5">
      <c r="B66" s="24"/>
      <c r="C66" s="66"/>
      <c r="D66" s="66"/>
      <c r="E66" s="67"/>
    </row>
    <row r="67" spans="2:5">
      <c r="B67" s="115" t="s">
        <v>122</v>
      </c>
      <c r="C67" s="114" t="s">
        <v>121</v>
      </c>
      <c r="D67" s="66"/>
      <c r="E67" s="67"/>
    </row>
    <row r="68" spans="2:5">
      <c r="B68" s="25"/>
      <c r="C68" s="11"/>
      <c r="D68" s="11"/>
      <c r="E68" s="19"/>
    </row>
    <row r="70" spans="2:5" ht="22.5">
      <c r="B70" s="1" t="s">
        <v>75</v>
      </c>
    </row>
    <row r="71" spans="2:5" ht="21.75">
      <c r="B71" s="108"/>
      <c r="C71" s="109"/>
      <c r="D71" s="109"/>
      <c r="E71" s="143" t="s">
        <v>144</v>
      </c>
    </row>
    <row r="72" spans="2:5" ht="21.75">
      <c r="B72" s="110"/>
      <c r="C72" s="111"/>
      <c r="D72" s="112"/>
      <c r="E72" s="113"/>
    </row>
    <row r="73" spans="2:5">
      <c r="B73" s="110"/>
      <c r="C73" s="111"/>
      <c r="D73" s="111"/>
      <c r="E73" s="113"/>
    </row>
    <row r="74" spans="2:5">
      <c r="B74" s="110"/>
      <c r="C74" s="111"/>
      <c r="D74" s="111"/>
      <c r="E74" s="113"/>
    </row>
    <row r="75" spans="2:5">
      <c r="B75" s="110"/>
      <c r="C75" s="111"/>
      <c r="D75" s="111"/>
      <c r="E75" s="113"/>
    </row>
    <row r="76" spans="2:5">
      <c r="B76" s="110"/>
      <c r="C76" s="111"/>
      <c r="D76" s="111"/>
      <c r="E76" s="113"/>
    </row>
    <row r="77" spans="2:5">
      <c r="B77" s="110"/>
      <c r="C77" s="111"/>
      <c r="D77" s="111"/>
      <c r="E77" s="113"/>
    </row>
    <row r="78" spans="2:5">
      <c r="B78" s="110"/>
      <c r="C78" s="111"/>
      <c r="D78" s="111"/>
      <c r="E78" s="113"/>
    </row>
    <row r="79" spans="2:5">
      <c r="B79" s="110"/>
      <c r="C79" s="111"/>
      <c r="D79" s="111"/>
      <c r="E79" s="113"/>
    </row>
    <row r="80" spans="2:5">
      <c r="B80" s="110"/>
      <c r="C80" s="111"/>
      <c r="D80" s="111"/>
      <c r="E80" s="113"/>
    </row>
    <row r="81" spans="2:5">
      <c r="B81" s="82" t="str">
        <f>B11</f>
        <v>Densidad del Agua</v>
      </c>
      <c r="C81" s="87" t="str">
        <f>C11</f>
        <v>r</v>
      </c>
      <c r="D81" s="136">
        <f>D11</f>
        <v>999.32777777777778</v>
      </c>
      <c r="E81" s="93" t="str">
        <f>E11</f>
        <v>kg / m³</v>
      </c>
    </row>
    <row r="82" spans="2:5">
      <c r="B82" s="123" t="str">
        <f>B124</f>
        <v>Radio hidráulico</v>
      </c>
      <c r="C82" s="34" t="str">
        <f>C124</f>
        <v>R</v>
      </c>
      <c r="D82" s="88">
        <f>D124</f>
        <v>0.25725987010072865</v>
      </c>
      <c r="E82" s="83" t="str">
        <f>E124</f>
        <v>m</v>
      </c>
    </row>
    <row r="83" spans="2:5">
      <c r="B83" s="123" t="str">
        <f>B7</f>
        <v>Pendiente</v>
      </c>
      <c r="C83" s="34" t="str">
        <f>C7</f>
        <v>So</v>
      </c>
      <c r="D83" s="95">
        <f>D7</f>
        <v>1E-4</v>
      </c>
      <c r="E83" s="83" t="str">
        <f>E7</f>
        <v>m/m</v>
      </c>
    </row>
    <row r="84" spans="2:5">
      <c r="B84" s="122"/>
      <c r="C84" s="34"/>
      <c r="D84" s="95"/>
      <c r="E84" s="83"/>
    </row>
    <row r="85" spans="2:5">
      <c r="B85" s="180" t="s">
        <v>134</v>
      </c>
      <c r="C85" s="181"/>
      <c r="D85" s="181"/>
      <c r="E85" s="182"/>
    </row>
    <row r="86" spans="2:5" ht="36.75">
      <c r="B86" s="172" t="s">
        <v>104</v>
      </c>
      <c r="C86" s="98" t="s">
        <v>115</v>
      </c>
      <c r="D86" s="84" t="s">
        <v>99</v>
      </c>
      <c r="E86" s="99" t="s">
        <v>116</v>
      </c>
    </row>
    <row r="87" spans="2:5">
      <c r="B87" s="173"/>
      <c r="C87" s="88">
        <f>0.76*D87</f>
        <v>1.9538607006736233E-2</v>
      </c>
      <c r="D87" s="88">
        <f>D81*D82*D83</f>
        <v>2.5708693429916094E-2</v>
      </c>
      <c r="E87" s="101">
        <f>0.76*D87</f>
        <v>1.9538607006736233E-2</v>
      </c>
    </row>
    <row r="88" spans="2:5">
      <c r="B88" s="68"/>
      <c r="C88" s="118"/>
      <c r="D88" s="118"/>
      <c r="E88" s="119"/>
    </row>
    <row r="89" spans="2:5">
      <c r="B89" s="177" t="s">
        <v>131</v>
      </c>
      <c r="C89" s="178"/>
      <c r="D89" s="178"/>
      <c r="E89" s="179"/>
    </row>
    <row r="90" spans="2:5">
      <c r="B90" s="116" t="s">
        <v>136</v>
      </c>
      <c r="C90" s="120">
        <v>0</v>
      </c>
      <c r="D90" s="121"/>
      <c r="E90" s="101"/>
    </row>
    <row r="91" spans="2:5">
      <c r="B91" s="116" t="s">
        <v>124</v>
      </c>
      <c r="C91" s="120">
        <v>0.1</v>
      </c>
      <c r="D91" s="121" t="s">
        <v>127</v>
      </c>
      <c r="E91" s="101"/>
    </row>
    <row r="92" spans="2:5">
      <c r="B92" s="116" t="s">
        <v>125</v>
      </c>
      <c r="C92" s="120">
        <v>0.25</v>
      </c>
      <c r="D92" s="121" t="s">
        <v>128</v>
      </c>
      <c r="E92" s="101"/>
    </row>
    <row r="93" spans="2:5">
      <c r="B93" s="116" t="s">
        <v>126</v>
      </c>
      <c r="C93" s="120">
        <v>0.4</v>
      </c>
      <c r="D93" s="121" t="s">
        <v>129</v>
      </c>
      <c r="E93" s="101"/>
    </row>
    <row r="94" spans="2:5">
      <c r="B94" s="116" t="s">
        <v>132</v>
      </c>
      <c r="C94" s="120">
        <f>VLOOKUP(C26,B90:C93,2,FALSE)</f>
        <v>0</v>
      </c>
      <c r="D94" s="121"/>
      <c r="E94" s="101"/>
    </row>
    <row r="95" spans="2:5">
      <c r="B95" s="68"/>
      <c r="C95" s="118"/>
      <c r="D95" s="118"/>
      <c r="E95" s="119"/>
    </row>
    <row r="96" spans="2:5">
      <c r="B96" s="180" t="s">
        <v>133</v>
      </c>
      <c r="C96" s="181"/>
      <c r="D96" s="181"/>
      <c r="E96" s="182"/>
    </row>
    <row r="97" spans="2:5">
      <c r="B97" s="172" t="str">
        <f>+B15</f>
        <v>D50 Tamaño de partícula en mm</v>
      </c>
      <c r="C97" s="88" t="str">
        <f>+C15</f>
        <v>D75 izq</v>
      </c>
      <c r="D97" s="88" t="str">
        <f>+D15</f>
        <v>D75 lecho</v>
      </c>
      <c r="E97" s="101" t="str">
        <f>+E15</f>
        <v>D75 der</v>
      </c>
    </row>
    <row r="98" spans="2:5">
      <c r="B98" s="173"/>
      <c r="C98" s="139">
        <f>+C16</f>
        <v>0.35</v>
      </c>
      <c r="D98" s="139">
        <f>+D16</f>
        <v>0.35</v>
      </c>
      <c r="E98" s="140">
        <f>+E16</f>
        <v>0.35</v>
      </c>
    </row>
    <row r="99" spans="2:5" ht="47.65">
      <c r="B99" s="172" t="s">
        <v>123</v>
      </c>
      <c r="C99" s="98" t="s">
        <v>140</v>
      </c>
      <c r="D99" s="97" t="s">
        <v>141</v>
      </c>
      <c r="E99" s="99" t="s">
        <v>142</v>
      </c>
    </row>
    <row r="100" spans="2:5">
      <c r="B100" s="174"/>
      <c r="C100" s="137">
        <f>IF(C98*P57+Q57 &lt; 0, 0,C98*P57+Q57)</f>
        <v>5.4770430473226927E-3</v>
      </c>
      <c r="D100" s="137">
        <f>IF(D98*P57+Q57 &lt; 0, 0,D98*P57+Q57)</f>
        <v>5.4770430473226927E-3</v>
      </c>
      <c r="E100" s="138">
        <f>IF(E98*P57+Q57 &lt; 0, 0,E98*P57+Q57)</f>
        <v>5.4770430473226927E-3</v>
      </c>
    </row>
    <row r="101" spans="2:5" ht="31.5">
      <c r="B101" s="174"/>
      <c r="C101" s="97" t="s">
        <v>105</v>
      </c>
      <c r="D101" s="97" t="s">
        <v>106</v>
      </c>
      <c r="E101" s="100" t="s">
        <v>107</v>
      </c>
    </row>
    <row r="102" spans="2:5">
      <c r="B102" s="173"/>
      <c r="C102" s="139">
        <f>IF(C98&lt;6,(C98/13)*C62,((C100/2.2)/0.3048^2)*C62)</f>
        <v>2.0854525710347627E-2</v>
      </c>
      <c r="D102" s="139">
        <f>IF(D98&lt;6,D98/13,(D100/2.2)/0.3048^2)</f>
        <v>2.6923076923076921E-2</v>
      </c>
      <c r="E102" s="140">
        <f>IF(E98&lt;6,(E98/13)*E62,((E100/2.2)/0.3048^2)*E62)</f>
        <v>2.0854525710347627E-2</v>
      </c>
    </row>
    <row r="103" spans="2:5">
      <c r="B103" s="116" t="s">
        <v>135</v>
      </c>
      <c r="C103" s="139">
        <f>C102*(1-C94)</f>
        <v>2.0854525710347627E-2</v>
      </c>
      <c r="D103" s="139">
        <f>D102*(1-C94)</f>
        <v>2.6923076923076921E-2</v>
      </c>
      <c r="E103" s="140">
        <f>E102*(1-C94)</f>
        <v>2.0854525710347627E-2</v>
      </c>
    </row>
    <row r="104" spans="2:5">
      <c r="B104" s="5"/>
      <c r="C104" s="69"/>
      <c r="D104" s="69"/>
      <c r="E104" s="70"/>
    </row>
    <row r="105" spans="2:5">
      <c r="B105" s="169" t="s">
        <v>98</v>
      </c>
      <c r="C105" s="170"/>
      <c r="D105" s="170"/>
      <c r="E105" s="171"/>
    </row>
    <row r="106" spans="2:5">
      <c r="B106" s="169"/>
      <c r="C106" s="170"/>
      <c r="D106" s="170"/>
      <c r="E106" s="171"/>
    </row>
    <row r="107" spans="2:5">
      <c r="B107" s="169" t="s">
        <v>100</v>
      </c>
      <c r="C107" s="170"/>
      <c r="D107" s="170"/>
      <c r="E107" s="171"/>
    </row>
    <row r="108" spans="2:5">
      <c r="B108" s="169"/>
      <c r="C108" s="170"/>
      <c r="D108" s="170"/>
      <c r="E108" s="171"/>
    </row>
    <row r="109" spans="2:5">
      <c r="B109" s="169" t="s">
        <v>81</v>
      </c>
      <c r="C109" s="170"/>
      <c r="D109" s="170"/>
      <c r="E109" s="171"/>
    </row>
    <row r="110" spans="2:5">
      <c r="B110" s="169"/>
      <c r="C110" s="170"/>
      <c r="D110" s="170"/>
      <c r="E110" s="171"/>
    </row>
    <row r="111" spans="2:5">
      <c r="B111" s="79"/>
      <c r="C111" s="80"/>
      <c r="D111" s="80"/>
      <c r="E111" s="81"/>
    </row>
    <row r="112" spans="2:5">
      <c r="B112" s="186" t="s">
        <v>108</v>
      </c>
      <c r="C112" s="124" t="s">
        <v>109</v>
      </c>
      <c r="D112" s="124" t="s">
        <v>110</v>
      </c>
      <c r="E112" s="125" t="s">
        <v>111</v>
      </c>
    </row>
    <row r="113" spans="2:5">
      <c r="B113" s="186"/>
      <c r="C113" s="126" t="str">
        <f>IF(C103&gt;C87,"Estable","Inestable")</f>
        <v>Estable</v>
      </c>
      <c r="D113" s="126" t="str">
        <f>IF(D103&gt;D87,"Estable","Inestable")</f>
        <v>Estable</v>
      </c>
      <c r="E113" s="127" t="str">
        <f>IF(E103&gt;E87,"Estable","Inestable")</f>
        <v>Estable</v>
      </c>
    </row>
    <row r="114" spans="2:5">
      <c r="B114" s="186"/>
      <c r="C114" s="128">
        <f>ABS(1-(C103/C87))</f>
        <v>6.7349668436327725E-2</v>
      </c>
      <c r="D114" s="128">
        <f>ABS(1-(D103/D87))</f>
        <v>4.7236297576589426E-2</v>
      </c>
      <c r="E114" s="129">
        <f>ABS(1-(E103/E87))</f>
        <v>6.7349668436327725E-2</v>
      </c>
    </row>
    <row r="115" spans="2:5">
      <c r="B115" s="10"/>
      <c r="C115" s="11"/>
      <c r="D115" s="11"/>
      <c r="E115" s="19"/>
    </row>
    <row r="118" spans="2:5">
      <c r="B118" s="1" t="s">
        <v>146</v>
      </c>
      <c r="C118" s="29"/>
      <c r="D118" s="29"/>
      <c r="E118" s="29"/>
    </row>
    <row r="119" spans="2:5">
      <c r="B119" s="56"/>
      <c r="C119" s="57"/>
      <c r="D119" s="57"/>
      <c r="E119" s="58"/>
    </row>
    <row r="120" spans="2:5">
      <c r="B120" s="52" t="str">
        <f>B14</f>
        <v>Altura disponible sin borde libre</v>
      </c>
      <c r="C120" s="66" t="str">
        <f>C14</f>
        <v>y</v>
      </c>
      <c r="D120" s="90">
        <f>D14</f>
        <v>0.30786000000000002</v>
      </c>
      <c r="E120" s="67" t="str">
        <f>E14</f>
        <v>m</v>
      </c>
    </row>
    <row r="121" spans="2:5">
      <c r="B121" s="53" t="s">
        <v>63</v>
      </c>
      <c r="C121" s="66" t="s">
        <v>64</v>
      </c>
      <c r="D121" s="91">
        <v>4.280059998255985</v>
      </c>
      <c r="E121" s="67" t="s">
        <v>27</v>
      </c>
    </row>
    <row r="122" spans="2:5">
      <c r="B122" s="52" t="s">
        <v>42</v>
      </c>
      <c r="C122" s="66" t="s">
        <v>43</v>
      </c>
      <c r="D122" s="90">
        <f>(D121*D120)+((D120^2)/2)*(C19+E19)</f>
        <v>1.6019926098630877</v>
      </c>
      <c r="E122" s="67" t="s">
        <v>65</v>
      </c>
    </row>
    <row r="123" spans="2:5">
      <c r="B123" s="52" t="s">
        <v>66</v>
      </c>
      <c r="C123" s="66" t="s">
        <v>67</v>
      </c>
      <c r="D123" s="90">
        <f>D121+D120*((SQRT(1+C19^2))+(SQRT(1+E19^2)))</f>
        <v>6.2271375991748599</v>
      </c>
      <c r="E123" s="67" t="s">
        <v>27</v>
      </c>
    </row>
    <row r="124" spans="2:5">
      <c r="B124" s="52" t="s">
        <v>69</v>
      </c>
      <c r="C124" s="66" t="s">
        <v>70</v>
      </c>
      <c r="D124" s="90">
        <f>+D122/D123</f>
        <v>0.25725987010072865</v>
      </c>
      <c r="E124" s="67" t="s">
        <v>27</v>
      </c>
    </row>
    <row r="125" spans="2:5">
      <c r="B125" s="52"/>
      <c r="C125" s="134"/>
      <c r="D125" s="90"/>
      <c r="E125" s="135"/>
    </row>
    <row r="126" spans="2:5">
      <c r="B126" s="183"/>
      <c r="C126" s="184"/>
      <c r="D126" s="184"/>
      <c r="E126" s="185"/>
    </row>
    <row r="127" spans="2:5">
      <c r="B127" s="52"/>
      <c r="C127" s="134"/>
      <c r="D127" s="90"/>
      <c r="E127" s="135"/>
    </row>
    <row r="128" spans="2:5">
      <c r="B128" s="52"/>
      <c r="C128" s="66"/>
      <c r="D128" s="66"/>
      <c r="E128" s="67"/>
    </row>
    <row r="129" spans="2:5">
      <c r="B129" s="52" t="s">
        <v>73</v>
      </c>
      <c r="C129" s="55" t="s">
        <v>68</v>
      </c>
      <c r="D129" s="104">
        <f>D6-((D9/D25)*D122*(D124)^(2/3)*D7^(1/2))</f>
        <v>-1.6560693355538447E-7</v>
      </c>
      <c r="E129" s="67"/>
    </row>
    <row r="130" spans="2:5" ht="54.4">
      <c r="B130" s="5"/>
      <c r="C130" s="66"/>
      <c r="D130" s="89" t="s">
        <v>101</v>
      </c>
      <c r="E130" s="67"/>
    </row>
    <row r="131" spans="2:5" ht="15" customHeight="1">
      <c r="B131" s="149" t="s">
        <v>147</v>
      </c>
      <c r="C131" s="150"/>
      <c r="D131" s="150"/>
      <c r="E131" s="151"/>
    </row>
    <row r="132" spans="2:5">
      <c r="B132" s="149"/>
      <c r="C132" s="150"/>
      <c r="D132" s="150"/>
      <c r="E132" s="151"/>
    </row>
    <row r="133" spans="2:5">
      <c r="B133" s="149"/>
      <c r="C133" s="150"/>
      <c r="D133" s="150"/>
      <c r="E133" s="151"/>
    </row>
    <row r="134" spans="2:5">
      <c r="B134" s="149"/>
      <c r="C134" s="150"/>
      <c r="D134" s="150"/>
      <c r="E134" s="151"/>
    </row>
    <row r="135" spans="2:5">
      <c r="B135" s="10"/>
      <c r="C135" s="11"/>
      <c r="D135" s="11"/>
      <c r="E135" s="19"/>
    </row>
  </sheetData>
  <mergeCells count="33">
    <mergeCell ref="B126:E126"/>
    <mergeCell ref="B112:B114"/>
    <mergeCell ref="B109:E110"/>
    <mergeCell ref="B15:B17"/>
    <mergeCell ref="B107:E108"/>
    <mergeCell ref="B86:B87"/>
    <mergeCell ref="B99:B102"/>
    <mergeCell ref="B97:B98"/>
    <mergeCell ref="B56:B57"/>
    <mergeCell ref="D56:D57"/>
    <mergeCell ref="B58:B59"/>
    <mergeCell ref="B89:E89"/>
    <mergeCell ref="B96:E96"/>
    <mergeCell ref="B85:E85"/>
    <mergeCell ref="B105:E106"/>
    <mergeCell ref="B55:E55"/>
    <mergeCell ref="B31:E31"/>
    <mergeCell ref="B131:E134"/>
    <mergeCell ref="P2:T2"/>
    <mergeCell ref="B20:B21"/>
    <mergeCell ref="B22:B23"/>
    <mergeCell ref="B18:B19"/>
    <mergeCell ref="B24:B25"/>
    <mergeCell ref="B2:E4"/>
    <mergeCell ref="I6:J6"/>
    <mergeCell ref="K6:L6"/>
    <mergeCell ref="M8:M15"/>
    <mergeCell ref="H6:H7"/>
    <mergeCell ref="H41:M43"/>
    <mergeCell ref="D18:D19"/>
    <mergeCell ref="D20:D21"/>
    <mergeCell ref="C26:E26"/>
    <mergeCell ref="B60:B62"/>
  </mergeCells>
  <conditionalFormatting sqref="C113:E114">
    <cfRule type="cellIs" dxfId="0" priority="1" operator="equal">
      <formula>"Inestable"</formula>
    </cfRule>
  </conditionalFormatting>
  <dataValidations disablePrompts="1" count="1">
    <dataValidation type="list" allowBlank="1" showInputMessage="1" showErrorMessage="1" sqref="C26:E26" xr:uid="{F2251538-9DB5-4A36-807D-6DD23D95E91C}">
      <formula1>$B$90:$B$93</formula1>
    </dataValidation>
  </dataValidations>
  <hyperlinks>
    <hyperlink ref="H47" r:id="rId1" xr:uid="{06E32021-97DD-4B60-BDE4-23ACCD2FE76F}"/>
    <hyperlink ref="H46" r:id="rId2" xr:uid="{0747166E-B16D-4DCF-80B1-F835EE58F7F8}"/>
  </hyperlinks>
  <pageMargins left="0.7" right="0.7" top="0.75" bottom="0.75" header="0.3" footer="0.3"/>
  <pageSetup paperSize="8" scale="32" orientation="landscape" r:id="rId3"/>
  <drawing r:id="rId4"/>
  <legacyDrawing r:id="rId5"/>
  <oleObjects>
    <mc:AlternateContent xmlns:mc="http://schemas.openxmlformats.org/markup-compatibility/2006">
      <mc:Choice Requires="x14">
        <oleObject progId="Equation.DSMT4" shapeId="1033" r:id="rId6">
          <objectPr defaultSize="0" autoPict="0" r:id="rId7">
            <anchor moveWithCells="1">
              <from>
                <xdr:col>2</xdr:col>
                <xdr:colOff>676275</xdr:colOff>
                <xdr:row>70</xdr:row>
                <xdr:rowOff>47625</xdr:rowOff>
              </from>
              <to>
                <xdr:col>3</xdr:col>
                <xdr:colOff>552450</xdr:colOff>
                <xdr:row>72</xdr:row>
                <xdr:rowOff>47625</xdr:rowOff>
              </to>
            </anchor>
          </objectPr>
        </oleObject>
      </mc:Choice>
      <mc:Fallback>
        <oleObject progId="Equation.DSMT4" shapeId="1033" r:id="rId6"/>
      </mc:Fallback>
    </mc:AlternateContent>
    <mc:AlternateContent xmlns:mc="http://schemas.openxmlformats.org/markup-compatibility/2006">
      <mc:Choice Requires="x14">
        <oleObject progId="Equation.DSMT4" shapeId="1034" r:id="rId8">
          <objectPr defaultSize="0" autoPict="0" r:id="rId9">
            <anchor moveWithCells="1">
              <from>
                <xdr:col>1</xdr:col>
                <xdr:colOff>2076450</xdr:colOff>
                <xdr:row>124</xdr:row>
                <xdr:rowOff>133350</xdr:rowOff>
              </from>
              <to>
                <xdr:col>2</xdr:col>
                <xdr:colOff>752475</xdr:colOff>
                <xdr:row>127</xdr:row>
                <xdr:rowOff>66675</xdr:rowOff>
              </to>
            </anchor>
          </objectPr>
        </oleObject>
      </mc:Choice>
      <mc:Fallback>
        <oleObject progId="Equation.DSMT4" shapeId="1034" r:id="rId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1CED1-DD8B-4490-894D-D790696C0F82}">
  <sheetPr codeName="Hoja2"/>
  <dimension ref="B1:AA73"/>
  <sheetViews>
    <sheetView showGridLines="0" tabSelected="1" zoomScale="85" zoomScaleNormal="85" workbookViewId="0">
      <selection activeCell="E1" sqref="E1"/>
    </sheetView>
  </sheetViews>
  <sheetFormatPr defaultColWidth="11.3984375" defaultRowHeight="14.65"/>
  <cols>
    <col min="1" max="1" width="3.59765625" style="1" customWidth="1"/>
    <col min="2" max="2" width="37.3984375" style="1" customWidth="1"/>
    <col min="3" max="3" width="10.59765625" style="2" customWidth="1"/>
    <col min="4" max="4" width="15.73046875" style="2" customWidth="1"/>
    <col min="5" max="5" width="10.59765625" style="2" customWidth="1"/>
    <col min="6" max="6" width="3.265625" style="1" customWidth="1"/>
    <col min="7" max="7" width="3.265625" style="3" customWidth="1"/>
    <col min="8" max="11" width="21.73046875" style="1" customWidth="1"/>
    <col min="12" max="12" width="3.265625" style="1" customWidth="1"/>
    <col min="13" max="13" width="3.265625" style="3" customWidth="1"/>
    <col min="14" max="18" width="21.73046875" style="1" customWidth="1"/>
    <col min="19" max="19" width="3.265625" style="1" customWidth="1"/>
    <col min="20" max="20" width="3.265625" style="3" customWidth="1"/>
    <col min="21" max="21" width="64.1328125" style="1" customWidth="1"/>
    <col min="22" max="22" width="3.265625" style="1" customWidth="1"/>
    <col min="23" max="23" width="3.265625" style="3" customWidth="1"/>
    <col min="24" max="16384" width="11.3984375" style="1"/>
  </cols>
  <sheetData>
    <row r="1" spans="2:27">
      <c r="E1" s="51"/>
    </row>
    <row r="2" spans="2:27">
      <c r="B2" s="156" t="s">
        <v>30</v>
      </c>
      <c r="C2" s="156"/>
      <c r="D2" s="156"/>
      <c r="E2" s="156"/>
      <c r="H2" s="189" t="s">
        <v>83</v>
      </c>
      <c r="I2" s="189"/>
      <c r="J2" s="152"/>
      <c r="K2" s="152"/>
      <c r="N2" s="152"/>
      <c r="O2" s="152"/>
      <c r="P2" s="152"/>
      <c r="Q2" s="152"/>
      <c r="R2" s="152"/>
    </row>
    <row r="3" spans="2:27">
      <c r="B3" s="156"/>
      <c r="C3" s="156"/>
      <c r="D3" s="156"/>
      <c r="E3" s="156"/>
      <c r="H3" s="62">
        <f>(62.3*9.806/2.2)/0.3048^3</f>
        <v>9806.462382980968</v>
      </c>
      <c r="I3" s="62"/>
      <c r="J3" s="62"/>
      <c r="K3" s="62"/>
      <c r="N3" s="62"/>
      <c r="O3" s="62"/>
      <c r="P3" s="62"/>
      <c r="Q3" s="62"/>
      <c r="R3" s="62"/>
    </row>
    <row r="4" spans="2:27">
      <c r="B4" s="156"/>
      <c r="C4" s="156"/>
      <c r="D4" s="156"/>
      <c r="E4" s="156"/>
    </row>
    <row r="5" spans="2:27" ht="21.75">
      <c r="B5" s="22" t="s">
        <v>22</v>
      </c>
      <c r="H5" s="22" t="s">
        <v>20</v>
      </c>
      <c r="I5" s="22"/>
      <c r="K5" s="66"/>
      <c r="N5" s="22" t="s">
        <v>31</v>
      </c>
      <c r="R5" s="66"/>
    </row>
    <row r="6" spans="2:27" ht="43.15">
      <c r="B6" s="41" t="s">
        <v>0</v>
      </c>
      <c r="C6" s="31" t="s">
        <v>5</v>
      </c>
      <c r="D6" s="32">
        <f>400*0.3048^3</f>
        <v>11.326738636800002</v>
      </c>
      <c r="E6" s="33" t="s">
        <v>4</v>
      </c>
      <c r="H6" s="14" t="s">
        <v>9</v>
      </c>
      <c r="I6" s="15" t="s">
        <v>84</v>
      </c>
      <c r="J6" s="15" t="s">
        <v>21</v>
      </c>
      <c r="K6" s="14" t="s">
        <v>18</v>
      </c>
      <c r="N6" s="30" t="s">
        <v>39</v>
      </c>
      <c r="O6" s="30" t="s">
        <v>32</v>
      </c>
      <c r="P6" s="30" t="s">
        <v>33</v>
      </c>
      <c r="Q6" s="30" t="s">
        <v>34</v>
      </c>
      <c r="R6" s="30" t="s">
        <v>35</v>
      </c>
    </row>
    <row r="7" spans="2:27" ht="15.75" customHeight="1">
      <c r="B7" s="42" t="s">
        <v>2</v>
      </c>
      <c r="C7" s="34" t="s">
        <v>6</v>
      </c>
      <c r="D7" s="49">
        <v>1.6000000000000001E-3</v>
      </c>
      <c r="E7" s="36" t="s">
        <v>1</v>
      </c>
      <c r="H7" s="7">
        <v>0</v>
      </c>
      <c r="I7" s="8">
        <f>999.82</f>
        <v>999.82</v>
      </c>
      <c r="J7" s="8">
        <f>+I7*$D$8</f>
        <v>9804.234919999999</v>
      </c>
      <c r="K7" s="159" t="s">
        <v>17</v>
      </c>
      <c r="N7" s="7">
        <v>0.1</v>
      </c>
      <c r="O7" s="8"/>
      <c r="P7" s="8"/>
      <c r="Q7" s="8"/>
      <c r="R7" s="8"/>
    </row>
    <row r="8" spans="2:27">
      <c r="B8" s="42" t="s">
        <v>36</v>
      </c>
      <c r="C8" s="34" t="s">
        <v>37</v>
      </c>
      <c r="D8" s="35">
        <v>9.8059999999999992</v>
      </c>
      <c r="E8" s="36" t="s">
        <v>38</v>
      </c>
      <c r="H8" s="7">
        <v>5</v>
      </c>
      <c r="I8" s="8">
        <v>1000</v>
      </c>
      <c r="J8" s="8">
        <f t="shared" ref="J8:J12" si="0">+I8*$D$8</f>
        <v>9806</v>
      </c>
      <c r="K8" s="159"/>
      <c r="N8" s="7">
        <v>0.2</v>
      </c>
      <c r="O8" s="8"/>
      <c r="P8" s="8"/>
      <c r="Q8" s="8"/>
      <c r="R8" s="8"/>
    </row>
    <row r="9" spans="2:27">
      <c r="B9" s="42" t="s">
        <v>41</v>
      </c>
      <c r="C9" s="34" t="s">
        <v>15</v>
      </c>
      <c r="D9" s="35">
        <v>0</v>
      </c>
      <c r="E9" s="36" t="s">
        <v>3</v>
      </c>
      <c r="H9" s="7">
        <v>10</v>
      </c>
      <c r="I9" s="8">
        <f>999.77</f>
        <v>999.77</v>
      </c>
      <c r="J9" s="8">
        <f t="shared" si="0"/>
        <v>9803.7446199999995</v>
      </c>
      <c r="K9" s="159"/>
      <c r="N9" s="7">
        <v>0.3</v>
      </c>
      <c r="O9" s="8"/>
      <c r="P9" s="8"/>
      <c r="Q9" s="8"/>
      <c r="R9" s="8"/>
    </row>
    <row r="10" spans="2:27">
      <c r="B10" s="42" t="s">
        <v>11</v>
      </c>
      <c r="C10" s="34" t="s">
        <v>12</v>
      </c>
      <c r="D10" s="35">
        <v>5</v>
      </c>
      <c r="E10" s="36" t="s">
        <v>13</v>
      </c>
      <c r="H10" s="7">
        <v>20</v>
      </c>
      <c r="I10" s="8">
        <v>998.29</v>
      </c>
      <c r="J10" s="8">
        <f t="shared" si="0"/>
        <v>9789.2317399999993</v>
      </c>
      <c r="K10" s="159"/>
      <c r="N10" s="7">
        <v>0.4</v>
      </c>
      <c r="O10" s="8"/>
      <c r="P10" s="8"/>
      <c r="Q10" s="8"/>
      <c r="R10" s="8"/>
    </row>
    <row r="11" spans="2:27">
      <c r="B11" s="42" t="s">
        <v>19</v>
      </c>
      <c r="C11" s="34" t="s">
        <v>23</v>
      </c>
      <c r="D11" s="37">
        <f>H34*D10^2+I34*D10+J34</f>
        <v>9806.2225404667752</v>
      </c>
      <c r="E11" s="36" t="s">
        <v>24</v>
      </c>
      <c r="H11" s="7">
        <v>40</v>
      </c>
      <c r="I11" s="8">
        <v>992.25</v>
      </c>
      <c r="J11" s="8">
        <f t="shared" si="0"/>
        <v>9730.0034999999989</v>
      </c>
      <c r="K11" s="159"/>
      <c r="N11" s="7">
        <v>0.5</v>
      </c>
      <c r="O11" s="8"/>
      <c r="P11" s="8"/>
      <c r="Q11" s="8"/>
      <c r="R11" s="8"/>
    </row>
    <row r="12" spans="2:27">
      <c r="B12" s="42" t="s">
        <v>25</v>
      </c>
      <c r="C12" s="34" t="s">
        <v>26</v>
      </c>
      <c r="D12" s="35">
        <v>300</v>
      </c>
      <c r="E12" s="36" t="s">
        <v>27</v>
      </c>
      <c r="H12" s="7">
        <v>60</v>
      </c>
      <c r="I12" s="8">
        <v>983.13</v>
      </c>
      <c r="J12" s="8">
        <f t="shared" si="0"/>
        <v>9640.5727799999986</v>
      </c>
      <c r="K12" s="159"/>
      <c r="N12" s="7">
        <v>0.6</v>
      </c>
      <c r="O12" s="8"/>
      <c r="P12" s="8"/>
      <c r="Q12" s="8"/>
      <c r="R12" s="8"/>
    </row>
    <row r="13" spans="2:27">
      <c r="B13" s="42" t="s">
        <v>28</v>
      </c>
      <c r="C13" s="34" t="s">
        <v>29</v>
      </c>
      <c r="D13" s="35">
        <v>1.28</v>
      </c>
      <c r="E13" s="36" t="s">
        <v>27</v>
      </c>
      <c r="H13" s="7">
        <v>80</v>
      </c>
      <c r="I13" s="8">
        <v>971.6</v>
      </c>
      <c r="J13" s="8">
        <f>+I13*$D$8</f>
        <v>9527.5095999999994</v>
      </c>
      <c r="K13" s="159"/>
      <c r="N13" s="7">
        <v>0.7</v>
      </c>
      <c r="O13" s="8"/>
      <c r="P13" s="8"/>
      <c r="Q13" s="8"/>
      <c r="R13" s="8"/>
      <c r="AA13"/>
    </row>
    <row r="14" spans="2:27" ht="16.149999999999999">
      <c r="B14" s="64" t="s">
        <v>10</v>
      </c>
      <c r="C14" s="34" t="s">
        <v>58</v>
      </c>
      <c r="D14" s="2" t="s">
        <v>60</v>
      </c>
      <c r="E14" s="36" t="s">
        <v>59</v>
      </c>
      <c r="H14" s="12">
        <v>100</v>
      </c>
      <c r="I14" s="13">
        <v>958.05</v>
      </c>
      <c r="J14" s="13">
        <f>+I14*$D$8</f>
        <v>9394.6382999999987</v>
      </c>
      <c r="K14" s="160"/>
      <c r="N14" s="7">
        <v>0.8</v>
      </c>
      <c r="O14" s="28"/>
      <c r="P14" s="28"/>
      <c r="Q14" s="28"/>
      <c r="R14" s="28"/>
    </row>
    <row r="15" spans="2:27">
      <c r="B15" s="63" t="s">
        <v>62</v>
      </c>
      <c r="C15" s="35">
        <f>1.25*25.4</f>
        <v>31.75</v>
      </c>
      <c r="D15" s="48" t="s">
        <v>61</v>
      </c>
      <c r="E15" s="38">
        <f>1.25*25.4</f>
        <v>31.75</v>
      </c>
      <c r="N15" s="7">
        <v>0.9</v>
      </c>
      <c r="O15" s="28"/>
      <c r="P15" s="28"/>
      <c r="Q15" s="28"/>
      <c r="R15" s="28"/>
    </row>
    <row r="16" spans="2:27">
      <c r="B16" s="190" t="s">
        <v>48</v>
      </c>
      <c r="C16" s="34" t="s">
        <v>46</v>
      </c>
      <c r="D16" s="44"/>
      <c r="E16" s="36" t="s">
        <v>47</v>
      </c>
      <c r="N16" s="7">
        <v>1</v>
      </c>
      <c r="O16" s="28"/>
      <c r="P16" s="28"/>
      <c r="Q16" s="28"/>
      <c r="R16" s="28"/>
    </row>
    <row r="17" spans="2:18">
      <c r="B17" s="187"/>
      <c r="C17" s="35">
        <v>2</v>
      </c>
      <c r="D17" s="44"/>
      <c r="E17" s="38">
        <v>2</v>
      </c>
      <c r="N17" s="27">
        <v>2</v>
      </c>
      <c r="O17" s="28"/>
      <c r="P17" s="28"/>
      <c r="Q17" s="28"/>
      <c r="R17" s="28"/>
    </row>
    <row r="18" spans="2:18">
      <c r="B18" s="187" t="s">
        <v>57</v>
      </c>
      <c r="C18" s="34" t="s">
        <v>44</v>
      </c>
      <c r="D18" s="45"/>
      <c r="E18" s="36" t="s">
        <v>45</v>
      </c>
      <c r="N18" s="27">
        <v>3</v>
      </c>
      <c r="O18" s="28"/>
      <c r="P18" s="28"/>
      <c r="Q18" s="28"/>
      <c r="R18" s="28"/>
    </row>
    <row r="19" spans="2:18">
      <c r="B19" s="188"/>
      <c r="C19" s="34">
        <f>DEGREES(ATAN(1/C17))</f>
        <v>26.56505117707799</v>
      </c>
      <c r="D19" s="46"/>
      <c r="E19" s="36">
        <f>DEGREES(ATAN(1/E17))</f>
        <v>26.56505117707799</v>
      </c>
      <c r="N19" s="27">
        <v>4</v>
      </c>
      <c r="O19" s="28"/>
      <c r="P19" s="28"/>
      <c r="Q19" s="28"/>
      <c r="R19" s="28"/>
    </row>
    <row r="20" spans="2:18">
      <c r="B20" s="190" t="s">
        <v>49</v>
      </c>
      <c r="C20" s="34" t="s">
        <v>50</v>
      </c>
      <c r="D20" s="37" t="s">
        <v>51</v>
      </c>
      <c r="E20" s="36" t="s">
        <v>52</v>
      </c>
      <c r="N20" s="27">
        <v>5</v>
      </c>
      <c r="O20" s="28"/>
      <c r="P20" s="28"/>
      <c r="Q20" s="28"/>
      <c r="R20" s="28"/>
    </row>
    <row r="21" spans="2:18">
      <c r="B21" s="188"/>
      <c r="C21" s="35">
        <v>33.5</v>
      </c>
      <c r="D21" s="35">
        <v>33.5</v>
      </c>
      <c r="E21" s="38">
        <v>33.5</v>
      </c>
      <c r="N21" s="27">
        <v>6</v>
      </c>
      <c r="O21" s="28">
        <v>0.1</v>
      </c>
      <c r="P21" s="28"/>
      <c r="Q21" s="28"/>
      <c r="R21" s="28"/>
    </row>
    <row r="22" spans="2:18">
      <c r="B22" s="190" t="s">
        <v>56</v>
      </c>
      <c r="C22" s="34" t="s">
        <v>53</v>
      </c>
      <c r="D22" s="37" t="s">
        <v>54</v>
      </c>
      <c r="E22" s="47" t="s">
        <v>55</v>
      </c>
      <c r="N22" s="27">
        <v>7</v>
      </c>
      <c r="O22" s="28">
        <v>0.12</v>
      </c>
      <c r="P22" s="28"/>
      <c r="Q22" s="28"/>
      <c r="R22" s="28"/>
    </row>
    <row r="23" spans="2:18">
      <c r="B23" s="188"/>
      <c r="C23" s="35">
        <v>2.5000000000000001E-2</v>
      </c>
      <c r="D23" s="35">
        <v>2.5000000000000001E-2</v>
      </c>
      <c r="E23" s="38">
        <v>2.5000000000000001E-2</v>
      </c>
      <c r="N23" s="27">
        <v>8</v>
      </c>
      <c r="O23" s="28">
        <v>0.14000000000000001</v>
      </c>
      <c r="P23" s="28"/>
      <c r="Q23" s="28"/>
      <c r="R23" s="28"/>
    </row>
    <row r="24" spans="2:18">
      <c r="B24" s="43"/>
      <c r="C24" s="39"/>
      <c r="D24" s="39"/>
      <c r="E24" s="40"/>
      <c r="N24" s="27">
        <v>9</v>
      </c>
      <c r="O24" s="28">
        <v>0.16</v>
      </c>
      <c r="P24" s="28"/>
      <c r="Q24" s="28"/>
      <c r="R24" s="28"/>
    </row>
    <row r="25" spans="2:18">
      <c r="N25" s="27">
        <v>10</v>
      </c>
      <c r="O25" s="28">
        <v>0.17499999999999999</v>
      </c>
      <c r="P25" s="28"/>
      <c r="Q25" s="28"/>
      <c r="R25" s="28"/>
    </row>
    <row r="26" spans="2:18">
      <c r="B26" s="22" t="s">
        <v>7</v>
      </c>
      <c r="N26" s="27">
        <v>20</v>
      </c>
      <c r="O26" s="28">
        <v>0.33</v>
      </c>
      <c r="P26" s="28"/>
      <c r="Q26" s="28"/>
      <c r="R26" s="28"/>
    </row>
    <row r="27" spans="2:18">
      <c r="B27" s="23"/>
      <c r="C27" s="16"/>
      <c r="D27" s="16"/>
      <c r="E27" s="17"/>
      <c r="N27" s="27">
        <v>30</v>
      </c>
      <c r="O27" s="28">
        <v>0.5</v>
      </c>
      <c r="P27" s="28"/>
      <c r="Q27" s="28"/>
      <c r="R27" s="28"/>
    </row>
    <row r="28" spans="2:18">
      <c r="B28" s="183" t="s">
        <v>8</v>
      </c>
      <c r="C28" s="184"/>
      <c r="D28" s="184"/>
      <c r="E28" s="185"/>
      <c r="N28" s="27">
        <v>40</v>
      </c>
      <c r="O28" s="28">
        <v>0.67</v>
      </c>
      <c r="P28" s="28"/>
      <c r="Q28" s="28"/>
      <c r="R28" s="28"/>
    </row>
    <row r="29" spans="2:18">
      <c r="B29" s="183"/>
      <c r="C29" s="184"/>
      <c r="D29" s="184"/>
      <c r="E29" s="185"/>
      <c r="N29" s="27">
        <v>50</v>
      </c>
      <c r="O29" s="28">
        <v>0.83499999999999996</v>
      </c>
      <c r="P29" s="28"/>
      <c r="Q29" s="28"/>
      <c r="R29" s="28"/>
    </row>
    <row r="30" spans="2:18" ht="15.75" customHeight="1">
      <c r="B30" s="174" t="s">
        <v>7</v>
      </c>
      <c r="C30" s="66" t="s">
        <v>71</v>
      </c>
      <c r="D30" s="66"/>
      <c r="E30" s="67" t="s">
        <v>72</v>
      </c>
      <c r="N30" s="27">
        <v>60</v>
      </c>
      <c r="O30" s="28">
        <v>1</v>
      </c>
      <c r="P30" s="28"/>
      <c r="Q30" s="28"/>
      <c r="R30" s="28"/>
    </row>
    <row r="31" spans="2:18">
      <c r="B31" s="174"/>
      <c r="C31" s="66">
        <f>IF(C21&gt;C19,(COS(RADIANS(C19))*SQRT(1-((TAN(RADIANS(C19)))^2/(TAN(RADIANS(C21)))^2))),1)</f>
        <v>0.58606774655062277</v>
      </c>
      <c r="D31" s="66"/>
      <c r="E31" s="67">
        <f>IF(E21&gt;E19,(COS(RADIANS(E19))*SQRT(1-((TAN(RADIANS(E19)))^2/(TAN(RADIANS(E21)))^2))),1)</f>
        <v>0.58606774655062277</v>
      </c>
      <c r="N31" s="27">
        <v>70</v>
      </c>
      <c r="O31" s="28">
        <v>1.175</v>
      </c>
      <c r="P31" s="28"/>
      <c r="Q31" s="28"/>
      <c r="R31" s="28"/>
    </row>
    <row r="32" spans="2:18">
      <c r="B32" s="174"/>
      <c r="C32" s="66">
        <f>IF(C21&gt;C19,SQRT(1-((SIN(RADIANS(C19)))^2)/((SIN(RADIANS(C21)))^2)),1)</f>
        <v>0.58606774655062266</v>
      </c>
      <c r="D32" s="66"/>
      <c r="E32" s="67">
        <f>IF(E21&gt;E19,SQRT(1-((SIN(RADIANS(E19)))^2)/((SIN(RADIANS(E21)))^2)),1)</f>
        <v>0.58606774655062266</v>
      </c>
      <c r="N32" s="27">
        <v>80</v>
      </c>
      <c r="O32" s="28">
        <v>1.345</v>
      </c>
      <c r="P32" s="28"/>
      <c r="Q32" s="28"/>
      <c r="R32" s="28"/>
    </row>
    <row r="33" spans="2:18">
      <c r="B33" s="24"/>
      <c r="C33" s="66"/>
      <c r="D33" s="66"/>
      <c r="E33" s="67"/>
      <c r="H33" s="20" t="s">
        <v>16</v>
      </c>
      <c r="I33" s="4" t="s">
        <v>14</v>
      </c>
      <c r="J33" s="4" t="s">
        <v>15</v>
      </c>
      <c r="K33" s="21"/>
      <c r="N33" s="27">
        <v>90</v>
      </c>
      <c r="O33" s="28">
        <v>1.52</v>
      </c>
      <c r="P33" s="28"/>
      <c r="Q33" s="28"/>
      <c r="R33" s="28"/>
    </row>
    <row r="34" spans="2:18">
      <c r="B34" s="24"/>
      <c r="C34" s="66"/>
      <c r="D34" s="66"/>
      <c r="E34" s="67"/>
      <c r="H34" s="18">
        <f t="array" ref="H34:J34">LINEST(J7:J14,H7:H14^{1,2},TRUE,TRUE)</f>
        <v>-3.5715381547416498E-2</v>
      </c>
      <c r="I34" s="11">
        <v>-0.62103681202574201</v>
      </c>
      <c r="J34" s="11">
        <v>9810.2206090655891</v>
      </c>
      <c r="K34" s="19"/>
      <c r="N34" s="27">
        <v>100</v>
      </c>
      <c r="O34" s="28">
        <v>1.7</v>
      </c>
      <c r="P34" s="28"/>
      <c r="Q34" s="28"/>
      <c r="R34" s="28"/>
    </row>
    <row r="35" spans="2:18">
      <c r="B35" s="24"/>
      <c r="C35" s="66"/>
      <c r="D35" s="66"/>
      <c r="E35" s="67"/>
      <c r="N35" s="12"/>
      <c r="O35" s="13"/>
      <c r="P35" s="13"/>
      <c r="Q35" s="13"/>
      <c r="R35" s="13"/>
    </row>
    <row r="36" spans="2:18">
      <c r="B36" s="25"/>
      <c r="C36" s="11"/>
      <c r="D36" s="11"/>
      <c r="E36" s="19"/>
    </row>
    <row r="38" spans="2:18">
      <c r="B38" s="1" t="s">
        <v>40</v>
      </c>
      <c r="C38" s="29"/>
      <c r="D38" s="29"/>
      <c r="E38" s="29"/>
    </row>
    <row r="39" spans="2:18" ht="15.75" customHeight="1">
      <c r="B39" s="56"/>
      <c r="C39" s="57"/>
      <c r="D39" s="57"/>
      <c r="E39" s="58"/>
    </row>
    <row r="40" spans="2:18">
      <c r="B40" s="52" t="str">
        <f>B13</f>
        <v>Altura disponible sin borde libre</v>
      </c>
      <c r="C40" s="66" t="str">
        <f t="shared" ref="C40:E40" si="1">C13</f>
        <v>y</v>
      </c>
      <c r="D40" s="66">
        <f t="shared" si="1"/>
        <v>1.28</v>
      </c>
      <c r="E40" s="67" t="str">
        <f t="shared" si="1"/>
        <v>m</v>
      </c>
    </row>
    <row r="41" spans="2:18">
      <c r="B41" s="53" t="s">
        <v>63</v>
      </c>
      <c r="C41" s="66" t="s">
        <v>64</v>
      </c>
      <c r="D41" s="54">
        <v>43.537532151634537</v>
      </c>
      <c r="E41" s="67" t="s">
        <v>27</v>
      </c>
    </row>
    <row r="42" spans="2:18">
      <c r="B42" s="52" t="s">
        <v>42</v>
      </c>
      <c r="C42" s="66" t="s">
        <v>43</v>
      </c>
      <c r="D42" s="66">
        <f>(D41*D40)+((D40^2)/2)*(C17+E17)</f>
        <v>59.004841154092212</v>
      </c>
      <c r="E42" s="67" t="s">
        <v>65</v>
      </c>
    </row>
    <row r="43" spans="2:18">
      <c r="B43" s="52" t="s">
        <v>66</v>
      </c>
      <c r="C43" s="66" t="s">
        <v>67</v>
      </c>
      <c r="D43" s="66">
        <f>D41+D40*((SQRT(1+C17^2))+(SQRT(1+E17^2)))</f>
        <v>49.261866174033997</v>
      </c>
      <c r="E43" s="67" t="s">
        <v>27</v>
      </c>
    </row>
    <row r="44" spans="2:18">
      <c r="B44" s="52" t="s">
        <v>69</v>
      </c>
      <c r="C44" s="66" t="s">
        <v>70</v>
      </c>
      <c r="D44" s="66">
        <f>+D42/D43</f>
        <v>1.1977792507015042</v>
      </c>
      <c r="E44" s="67" t="s">
        <v>27</v>
      </c>
    </row>
    <row r="45" spans="2:18">
      <c r="B45" s="52"/>
      <c r="C45" s="66"/>
      <c r="D45" s="66"/>
      <c r="E45" s="67"/>
    </row>
    <row r="46" spans="2:18">
      <c r="B46" s="52" t="s">
        <v>73</v>
      </c>
      <c r="C46" s="55" t="s">
        <v>68</v>
      </c>
      <c r="D46" s="9">
        <f>D6-((D9/D23)*D42*(D44)^(2/3)*D7^(1/2))</f>
        <v>11.326738636800002</v>
      </c>
      <c r="E46" s="67"/>
    </row>
    <row r="47" spans="2:18">
      <c r="B47" s="5"/>
      <c r="C47" s="66"/>
      <c r="D47" s="66"/>
      <c r="E47" s="67"/>
    </row>
    <row r="48" spans="2:18">
      <c r="B48" s="5"/>
      <c r="C48" s="66"/>
      <c r="D48" s="66"/>
      <c r="E48" s="67"/>
    </row>
    <row r="49" spans="2:15">
      <c r="B49" s="5"/>
      <c r="C49" s="66"/>
      <c r="D49" s="66"/>
      <c r="E49" s="67"/>
    </row>
    <row r="50" spans="2:15">
      <c r="B50" s="5"/>
      <c r="C50" s="66"/>
      <c r="D50" s="66"/>
      <c r="E50" s="67"/>
    </row>
    <row r="51" spans="2:15">
      <c r="B51" s="5"/>
      <c r="C51" s="66"/>
      <c r="D51" s="66"/>
      <c r="E51" s="67"/>
    </row>
    <row r="52" spans="2:15">
      <c r="B52" s="5"/>
      <c r="C52" s="66"/>
      <c r="D52" s="66"/>
      <c r="E52" s="67"/>
    </row>
    <row r="53" spans="2:15">
      <c r="B53" s="5"/>
      <c r="C53" s="66"/>
      <c r="D53" s="66"/>
      <c r="E53" s="67"/>
    </row>
    <row r="54" spans="2:15">
      <c r="B54" s="5"/>
      <c r="C54" s="66"/>
      <c r="D54" s="66"/>
      <c r="E54" s="67"/>
    </row>
    <row r="55" spans="2:15">
      <c r="B55" s="10"/>
      <c r="C55" s="11"/>
      <c r="D55" s="11"/>
      <c r="E55" s="19"/>
      <c r="N55" s="1" t="s">
        <v>32</v>
      </c>
    </row>
    <row r="56" spans="2:15">
      <c r="N56" s="20" t="s">
        <v>14</v>
      </c>
      <c r="O56" s="21" t="s">
        <v>15</v>
      </c>
    </row>
    <row r="57" spans="2:15" ht="22.5">
      <c r="B57" s="1" t="s">
        <v>75</v>
      </c>
      <c r="N57" s="18">
        <f t="array" ref="N57:O57">LINEST(O21:O34,N21:N34)</f>
        <v>1.6855018948595864E-2</v>
      </c>
      <c r="O57" s="19">
        <v>-4.222135846858599E-4</v>
      </c>
    </row>
    <row r="58" spans="2:15" ht="21.75">
      <c r="D58" s="59"/>
    </row>
    <row r="60" spans="2:15">
      <c r="B60" s="50" t="str">
        <f>+B11</f>
        <v>Peso Específico del Agua</v>
      </c>
      <c r="C60" s="2" t="str">
        <f t="shared" ref="C60:E60" si="2">+C11</f>
        <v>γ</v>
      </c>
      <c r="D60" s="1">
        <f t="shared" si="2"/>
        <v>9806.2225404667752</v>
      </c>
      <c r="E60" s="1" t="str">
        <f t="shared" si="2"/>
        <v>N / m³</v>
      </c>
    </row>
    <row r="61" spans="2:15">
      <c r="B61" s="50" t="str">
        <f>B44</f>
        <v>Radio hidráulico</v>
      </c>
      <c r="C61" s="2" t="str">
        <f t="shared" ref="C61:E61" si="3">C44</f>
        <v>R</v>
      </c>
      <c r="D61" s="1">
        <f t="shared" si="3"/>
        <v>1.1977792507015042</v>
      </c>
      <c r="E61" s="1" t="str">
        <f t="shared" si="3"/>
        <v>m</v>
      </c>
    </row>
    <row r="62" spans="2:15">
      <c r="B62" s="50" t="str">
        <f>B7</f>
        <v>Pendiente</v>
      </c>
      <c r="C62" s="2" t="str">
        <f t="shared" ref="C62:E62" si="4">C7</f>
        <v>So</v>
      </c>
      <c r="D62" s="1">
        <f t="shared" si="4"/>
        <v>1.6000000000000001E-3</v>
      </c>
      <c r="E62" s="1" t="str">
        <f t="shared" si="4"/>
        <v>m/m</v>
      </c>
    </row>
    <row r="63" spans="2:15" ht="20.25">
      <c r="B63" s="50" t="s">
        <v>77</v>
      </c>
      <c r="C63" s="60" t="s">
        <v>74</v>
      </c>
      <c r="D63" s="2">
        <f>D60*D61*D62</f>
        <v>18.793103818771993</v>
      </c>
      <c r="E63" s="1" t="s">
        <v>76</v>
      </c>
    </row>
    <row r="64" spans="2:15" ht="29.25">
      <c r="B64" s="61" t="s">
        <v>79</v>
      </c>
      <c r="C64" s="60" t="s">
        <v>78</v>
      </c>
      <c r="D64" s="1">
        <f>0.76*D63</f>
        <v>14.282758902266714</v>
      </c>
      <c r="E64" s="1" t="s">
        <v>76</v>
      </c>
    </row>
    <row r="65" spans="2:5">
      <c r="C65" s="1"/>
      <c r="D65" s="1">
        <f>+D63*C32</f>
        <v>11.014032005759603</v>
      </c>
      <c r="E65" s="1"/>
    </row>
    <row r="66" spans="2:5">
      <c r="C66" s="1"/>
      <c r="D66" s="1"/>
      <c r="E66" s="1"/>
    </row>
    <row r="67" spans="2:5" ht="23.25" customHeight="1">
      <c r="B67" s="156" t="s">
        <v>80</v>
      </c>
      <c r="C67" s="156"/>
      <c r="D67" s="156"/>
      <c r="E67" s="156"/>
    </row>
    <row r="68" spans="2:5">
      <c r="B68" s="156" t="s">
        <v>81</v>
      </c>
      <c r="C68" s="156"/>
      <c r="D68" s="156"/>
      <c r="E68" s="156"/>
    </row>
    <row r="69" spans="2:5">
      <c r="B69" s="156"/>
      <c r="C69" s="156"/>
      <c r="D69" s="156"/>
      <c r="E69" s="156"/>
    </row>
    <row r="70" spans="2:5">
      <c r="C70" s="1"/>
      <c r="D70" s="1"/>
      <c r="E70" s="1"/>
    </row>
    <row r="71" spans="2:5">
      <c r="B71" s="50" t="s">
        <v>82</v>
      </c>
      <c r="C71" s="1"/>
      <c r="D71" s="1"/>
      <c r="E71" s="1"/>
    </row>
    <row r="72" spans="2:5">
      <c r="C72" s="1"/>
      <c r="D72" s="1"/>
      <c r="E72" s="1"/>
    </row>
    <row r="73" spans="2:5">
      <c r="C73" s="1"/>
      <c r="D73" s="1"/>
      <c r="E73" s="1"/>
    </row>
  </sheetData>
  <mergeCells count="13">
    <mergeCell ref="B68:E69"/>
    <mergeCell ref="B20:B21"/>
    <mergeCell ref="B22:B23"/>
    <mergeCell ref="B28:E28"/>
    <mergeCell ref="B29:E29"/>
    <mergeCell ref="B30:B32"/>
    <mergeCell ref="B67:E67"/>
    <mergeCell ref="B18:B19"/>
    <mergeCell ref="B2:E4"/>
    <mergeCell ref="H2:K2"/>
    <mergeCell ref="N2:R2"/>
    <mergeCell ref="K7:K14"/>
    <mergeCell ref="B16:B17"/>
  </mergeCells>
  <hyperlinks>
    <hyperlink ref="H2" r:id="rId1" location="imgrc=5CxFEpcA0TPmDM:" display="https://www.google.com.co/search?q=peso+especifico+del+agua+a+diferentes+temperaturas&amp;tbm=isch&amp;source=iu&amp;ictx=1&amp;fir=tz8yIulDTfIgrM%253A%252CBq6jOTbD-WtrPM%252C_&amp;usg=AI4_-kSmwQJCaGv4fHU1gd33CTfhuv2LIA&amp;sa=X&amp;ved=2ahUKEwjpmtX_zdndAhWOwFkKHbIZCjwQ9QEwAXoECAYQBA#imgrc=5CxFEpcA0TPmDM:" xr:uid="{001B94F9-63D6-4AEF-90E9-13CE908AE0D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FuerzaTractiva</vt:lpstr>
      <vt:lpstr>Hoja1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</cp:lastModifiedBy>
  <cp:lastPrinted>2018-11-16T21:59:17Z</cp:lastPrinted>
  <dcterms:created xsi:type="dcterms:W3CDTF">2018-09-25T14:07:29Z</dcterms:created>
  <dcterms:modified xsi:type="dcterms:W3CDTF">2022-07-25T15:50:56Z</dcterms:modified>
</cp:coreProperties>
</file>