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9307E19F-4D63-43DF-809D-A0846A576EE5}" xr6:coauthVersionLast="47" xr6:coauthVersionMax="47" xr10:uidLastSave="{00000000-0000-0000-0000-000000000000}"/>
  <bookViews>
    <workbookView xWindow="-103" yWindow="-103" windowWidth="26537" windowHeight="15943" tabRatio="769" activeTab="2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2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A5" i="2"/>
  <c r="A5" i="6" s="1"/>
  <c r="B5" i="2"/>
  <c r="A6" i="2"/>
  <c r="A6" i="6" s="1"/>
  <c r="B6" i="2"/>
  <c r="A7" i="2"/>
  <c r="A7" i="6" s="1"/>
  <c r="B7" i="2"/>
  <c r="A8" i="2"/>
  <c r="A8" i="6" s="1"/>
  <c r="B8" i="2"/>
  <c r="A9" i="2"/>
  <c r="A9" i="6" s="1"/>
  <c r="B9" i="2"/>
  <c r="A10" i="2"/>
  <c r="A10" i="6" s="1"/>
  <c r="B10" i="2"/>
  <c r="A11" i="2"/>
  <c r="A11" i="6" s="1"/>
  <c r="B11" i="2"/>
  <c r="A12" i="2"/>
  <c r="A12" i="6" s="1"/>
  <c r="B12" i="2"/>
  <c r="B3" i="2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C23" i="6" l="1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<sst xmlns="http://schemas.openxmlformats.org/spreadsheetml/2006/main" count="92" uniqueCount="82">
  <si>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</si>
  <si>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</si>
  <si>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</si>
  <si>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</si>
  <si>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</si>
  <si>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</si>
  <si>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</si>
  <si>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</si>
  <si>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</si>
  <si>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</si>
  <si>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</si>
  <si>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</si>
  <si>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</si>
  <si>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</si>
  <si>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</si>
  <si>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</si>
  <si>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</si>
  <si>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</si>
  <si>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</si>
  <si>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</si>
  <si>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</si>
  <si>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</si>
  <si>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</si>
  <si>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</si>
  <si>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</si>
  <si>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</si>
  <si>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</si>
  <si>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</si>
  <si>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</si>
  <si>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</si>
  <si>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Tendencias y constantes</t>
  </si>
  <si>
    <t>ProLineal</t>
  </si>
  <si>
    <t>ProPol2</t>
  </si>
  <si>
    <t>ProPol3</t>
  </si>
  <si>
    <t>ProPol4</t>
  </si>
  <si>
    <t>ProPol5</t>
  </si>
  <si>
    <t>ProPol6</t>
  </si>
  <si>
    <t>ProLog</t>
  </si>
  <si>
    <t>ProPot</t>
  </si>
  <si>
    <t>ProExp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</si>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</sst>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2" fillId="3" borderId="1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605119667789055E-2"/>
          <c:y val="6.7324885638903584E-2"/>
          <c:w val="0.89472473907914352"/>
          <c:h val="0.81942890254509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20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2743884879392E-2"/>
          <c:y val="9.438090211408505E-2"/>
          <c:w val="7.5961766715625309E-2"/>
          <c:h val="5.634722222222222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ProLineal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ProPol2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ProPol3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ProPol4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ProPol5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ProPol6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ProLog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ProPot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ProExp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9.7930170603877237E-2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130708</c:v>
                </c:pt>
                <c:pt idx="12">
                  <c:v>143634</c:v>
                </c:pt>
                <c:pt idx="13">
                  <c:v>157201</c:v>
                </c:pt>
                <c:pt idx="14">
                  <c:v>171410</c:v>
                </c:pt>
                <c:pt idx="15">
                  <c:v>186260</c:v>
                </c:pt>
                <c:pt idx="16">
                  <c:v>201751</c:v>
                </c:pt>
                <c:pt idx="17">
                  <c:v>217884</c:v>
                </c:pt>
                <c:pt idx="18">
                  <c:v>234658</c:v>
                </c:pt>
                <c:pt idx="19">
                  <c:v>252073</c:v>
                </c:pt>
                <c:pt idx="20">
                  <c:v>270130</c:v>
                </c:pt>
                <c:pt idx="21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16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16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zoomScale="130" zoomScaleNormal="130" workbookViewId="0">
      <pane ySplit="1" topLeftCell="A2" activePane="bottomLeft" state="frozen"/>
      <selection pane="bottomLeft" activeCell="U2" sqref="U2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13</v>
      </c>
      <c r="C1" s="13" t="s">
        <v>3</v>
      </c>
      <c r="D1" s="13" t="s">
        <v>4</v>
      </c>
      <c r="E1" s="13" t="s">
        <v>49</v>
      </c>
      <c r="F1" s="13" t="s">
        <v>50</v>
      </c>
      <c r="G1" s="13" t="s">
        <v>40</v>
      </c>
      <c r="H1" s="13" t="s">
        <v>41</v>
      </c>
      <c r="I1" s="13" t="s">
        <v>42</v>
      </c>
      <c r="J1" s="13" t="s">
        <v>73</v>
      </c>
      <c r="K1" s="13" t="s">
        <v>79</v>
      </c>
      <c r="L1" s="13" t="s">
        <v>45</v>
      </c>
      <c r="M1" s="13" t="s">
        <v>43</v>
      </c>
      <c r="N1" s="13" t="s">
        <v>44</v>
      </c>
      <c r="O1" s="13" t="s">
        <v>74</v>
      </c>
      <c r="P1" s="13" t="s">
        <v>80</v>
      </c>
      <c r="Q1" s="13" t="s">
        <v>46</v>
      </c>
      <c r="R1" s="13" t="s">
        <v>47</v>
      </c>
      <c r="S1" s="13" t="s">
        <v>48</v>
      </c>
      <c r="T1" s="13" t="s">
        <v>75</v>
      </c>
      <c r="U1" s="13" t="s">
        <v>81</v>
      </c>
    </row>
    <row r="2" spans="1:21" x14ac:dyDescent="0.4">
      <c r="A2" s="12" t="s">
        <v>77</v>
      </c>
      <c r="B2" s="12" t="s">
        <v>14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tabSelected="1" zoomScale="145" zoomScaleNormal="145" workbookViewId="0">
      <pane ySplit="2" topLeftCell="A3" activePane="bottomLeft" state="frozen"/>
      <selection pane="bottomLeft" activeCell="J10" sqref="J10"/>
    </sheetView>
  </sheetViews>
  <sheetFormatPr defaultRowHeight="17.149999999999999" x14ac:dyDescent="0.4"/>
  <cols>
    <col min="1" max="1" width="2.69140625" style="47" customWidth="1"/>
    <col min="2" max="2" width="20.4609375" style="47" customWidth="1"/>
    <col min="3" max="3" width="9.23046875" style="47"/>
    <col min="4" max="4" width="5" style="47" customWidth="1"/>
    <col min="5" max="5" width="18.3828125" style="47" customWidth="1"/>
    <col min="6" max="6" width="9.23046875" style="47"/>
    <col min="7" max="7" width="20.4609375" style="47" customWidth="1"/>
    <col min="8" max="8" width="2.69140625" style="47" customWidth="1"/>
    <col min="9" max="16384" width="9.23046875" style="47"/>
  </cols>
  <sheetData>
    <row r="2" spans="2:7" x14ac:dyDescent="0.4">
      <c r="B2" s="63" t="s">
        <v>66</v>
      </c>
      <c r="C2" s="63"/>
      <c r="D2" s="63"/>
      <c r="E2" s="63"/>
      <c r="F2" s="63"/>
      <c r="G2" s="63"/>
    </row>
    <row r="4" spans="2:7" ht="23.15" x14ac:dyDescent="0.4">
      <c r="B4" s="48" t="s">
        <v>52</v>
      </c>
      <c r="C4" s="35">
        <v>342</v>
      </c>
      <c r="D4" s="36"/>
      <c r="E4" s="36"/>
      <c r="F4" s="37">
        <v>976</v>
      </c>
      <c r="G4" s="47" t="s">
        <v>54</v>
      </c>
    </row>
    <row r="5" spans="2:7" ht="18" x14ac:dyDescent="0.4">
      <c r="B5" s="48"/>
      <c r="C5" s="64" t="s">
        <v>57</v>
      </c>
      <c r="D5" s="65"/>
      <c r="E5" s="65"/>
      <c r="F5" s="66"/>
    </row>
    <row r="6" spans="2:7" ht="26.6" x14ac:dyDescent="0.4">
      <c r="B6" s="48"/>
      <c r="C6" s="38"/>
      <c r="D6" s="62">
        <v>128968</v>
      </c>
      <c r="E6" s="62"/>
      <c r="F6" s="39"/>
    </row>
    <row r="7" spans="2:7" ht="23.15" x14ac:dyDescent="0.4">
      <c r="B7" s="48" t="s">
        <v>53</v>
      </c>
      <c r="C7" s="40">
        <v>64</v>
      </c>
      <c r="D7" s="41"/>
      <c r="E7" s="41"/>
      <c r="F7" s="42">
        <v>342</v>
      </c>
      <c r="G7" s="47" t="s">
        <v>55</v>
      </c>
    </row>
    <row r="8" spans="2:7" ht="21" x14ac:dyDescent="0.4">
      <c r="B8" s="48"/>
      <c r="C8" s="49" t="s">
        <v>51</v>
      </c>
      <c r="D8" s="49"/>
      <c r="E8" s="49"/>
      <c r="F8" s="49" t="s">
        <v>51</v>
      </c>
    </row>
    <row r="9" spans="2:7" ht="34.299999999999997" x14ac:dyDescent="0.4">
      <c r="B9" s="46" t="s">
        <v>70</v>
      </c>
      <c r="C9" s="44">
        <f>C4-C7</f>
        <v>278</v>
      </c>
      <c r="F9" s="43">
        <f>F4-F7</f>
        <v>634</v>
      </c>
      <c r="G9" s="45" t="s">
        <v>69</v>
      </c>
    </row>
    <row r="10" spans="2:7" ht="21" x14ac:dyDescent="0.4">
      <c r="C10" s="49" t="s">
        <v>51</v>
      </c>
      <c r="D10" s="49"/>
      <c r="E10" s="49"/>
      <c r="F10" s="49" t="s">
        <v>51</v>
      </c>
    </row>
    <row r="11" spans="2:7" x14ac:dyDescent="0.4">
      <c r="C11" s="67" t="s">
        <v>56</v>
      </c>
      <c r="D11" s="68"/>
      <c r="E11" s="68"/>
      <c r="F11" s="69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9" t="s">
        <v>51</v>
      </c>
      <c r="D13" s="49"/>
      <c r="E13" s="49"/>
      <c r="F13" s="49" t="s">
        <v>51</v>
      </c>
    </row>
    <row r="14" spans="2:7" ht="36" x14ac:dyDescent="0.4">
      <c r="B14" s="51" t="s">
        <v>67</v>
      </c>
      <c r="C14" s="52">
        <f>D6+C12</f>
        <v>129880</v>
      </c>
      <c r="F14" s="53">
        <f>(D6+C14)/2</f>
        <v>129424</v>
      </c>
      <c r="G14" s="50" t="s">
        <v>68</v>
      </c>
    </row>
    <row r="15" spans="2:7" ht="21" x14ac:dyDescent="0.4">
      <c r="C15" s="49"/>
      <c r="D15" s="49"/>
      <c r="E15" s="49"/>
      <c r="F15" s="49"/>
    </row>
    <row r="16" spans="2:7" s="56" customFormat="1" ht="14.6" x14ac:dyDescent="0.4">
      <c r="B16" s="56" t="s">
        <v>59</v>
      </c>
      <c r="C16" s="57"/>
      <c r="D16" s="57"/>
      <c r="E16" s="57"/>
      <c r="F16" s="57"/>
    </row>
    <row r="17" spans="2:7" s="54" customFormat="1" ht="14.6" x14ac:dyDescent="0.4">
      <c r="B17" s="58" t="s">
        <v>58</v>
      </c>
      <c r="C17" s="58"/>
      <c r="D17" s="58"/>
      <c r="E17" s="58"/>
      <c r="F17" s="58"/>
      <c r="G17" s="55">
        <f>(C12/F14)*1000</f>
        <v>7.0466065026579301</v>
      </c>
    </row>
    <row r="18" spans="2:7" s="54" customFormat="1" ht="14.6" x14ac:dyDescent="0.4">
      <c r="B18" s="58" t="s">
        <v>61</v>
      </c>
      <c r="C18" s="58"/>
      <c r="D18" s="58"/>
      <c r="E18" s="58"/>
      <c r="F18" s="58"/>
      <c r="G18" s="55">
        <f>(C4/F14)*1000</f>
        <v>2.6424774384967242</v>
      </c>
    </row>
    <row r="19" spans="2:7" s="54" customFormat="1" ht="14.6" x14ac:dyDescent="0.4">
      <c r="B19" s="58" t="s">
        <v>62</v>
      </c>
      <c r="C19" s="58"/>
      <c r="D19" s="58"/>
      <c r="E19" s="58"/>
      <c r="F19" s="58"/>
      <c r="G19" s="55">
        <f>(C7/F14)*1000</f>
        <v>0.49449870194090745</v>
      </c>
    </row>
    <row r="20" spans="2:7" s="54" customFormat="1" ht="14.6" x14ac:dyDescent="0.4">
      <c r="B20" s="58" t="s">
        <v>60</v>
      </c>
      <c r="C20" s="58"/>
      <c r="D20" s="58"/>
      <c r="E20" s="58"/>
      <c r="F20" s="58"/>
      <c r="G20" s="55">
        <f>G18-G19</f>
        <v>2.1479787365558169</v>
      </c>
    </row>
    <row r="21" spans="2:7" x14ac:dyDescent="0.4">
      <c r="B21" s="58" t="s">
        <v>63</v>
      </c>
      <c r="C21" s="58"/>
      <c r="D21" s="58"/>
      <c r="E21" s="58"/>
      <c r="F21" s="58"/>
      <c r="G21" s="55">
        <f>(F4/F14)*1000</f>
        <v>7.5411052045988383</v>
      </c>
    </row>
    <row r="22" spans="2:7" ht="17.149999999999999" customHeight="1" x14ac:dyDescent="0.4">
      <c r="B22" s="58" t="s">
        <v>64</v>
      </c>
      <c r="C22" s="58"/>
      <c r="D22" s="58"/>
      <c r="E22" s="58"/>
      <c r="F22" s="58"/>
      <c r="G22" s="55">
        <f>(F7/F14)*1000</f>
        <v>2.6424774384967242</v>
      </c>
    </row>
    <row r="23" spans="2:7" x14ac:dyDescent="0.4">
      <c r="B23" s="58" t="s">
        <v>65</v>
      </c>
      <c r="C23" s="58"/>
      <c r="D23" s="58"/>
      <c r="E23" s="58"/>
      <c r="F23" s="58"/>
      <c r="G23" s="55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topLeftCell="A12" zoomScale="130" zoomScaleNormal="130" workbookViewId="0">
      <selection activeCell="B34" sqref="B34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29</v>
      </c>
    </row>
    <row r="3" spans="2:13" s="1" customFormat="1" ht="34.299999999999997" x14ac:dyDescent="0.4">
      <c r="B3" s="70" t="s">
        <v>30</v>
      </c>
      <c r="C3" s="71"/>
      <c r="D3" s="19" t="s">
        <v>8</v>
      </c>
      <c r="E3" s="17" t="s">
        <v>5</v>
      </c>
      <c r="F3" s="17" t="s">
        <v>6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0</v>
      </c>
      <c r="L3" s="17" t="s">
        <v>1</v>
      </c>
      <c r="M3" s="18" t="s">
        <v>15</v>
      </c>
    </row>
    <row r="4" spans="2:13" x14ac:dyDescent="0.4">
      <c r="B4" s="72"/>
      <c r="C4" s="73"/>
      <c r="D4" s="28" t="s">
        <v>16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72"/>
      <c r="C5" s="73"/>
      <c r="D5" s="28" t="s">
        <v>17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72"/>
      <c r="C6" s="73"/>
      <c r="D6" s="28" t="s">
        <v>18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72"/>
      <c r="C7" s="73"/>
      <c r="D7" s="28" t="s">
        <v>19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72"/>
      <c r="C8" s="73"/>
      <c r="D8" s="28" t="s">
        <v>20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72"/>
      <c r="C9" s="73"/>
      <c r="D9" s="28" t="s">
        <v>21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72"/>
      <c r="C10" s="73"/>
      <c r="D10" s="28" t="s">
        <v>22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72"/>
      <c r="C11" s="73"/>
      <c r="D11" s="29" t="s">
        <v>7</v>
      </c>
      <c r="E11" s="30" cm="1">
        <f t="array" ref="E11">INDEX(LINEST(Censal!D2:D12,Censal!C2:C12^{1},TRUE,TRUE),3,1)</f>
        <v>0.86416229902881492</v>
      </c>
      <c r="F11" s="30" cm="1">
        <f t="array" ref="F11">INDEX(LINEST(Censal!D2:D12,Censal!C2:C12^{1,2},TRUE,TRUE),3,1)</f>
        <v>0.99578169141706463</v>
      </c>
      <c r="G11" s="30" cm="1">
        <f t="array" ref="G11">INDEX(LINEST(Censal!D2:D12,Censal!C2:C12^{1,2,3},TRUE,TRUE),3,1)</f>
        <v>0.99727079529667062</v>
      </c>
      <c r="H11" s="30" cm="1">
        <f t="array" ref="H11">INDEX(LINEST(Censal!D2:D12,Censal!C2:C12^{1,2,3,4},TRUE,TRUE),3,1)</f>
        <v>0.99835031110587535</v>
      </c>
      <c r="I11" s="30" cm="1">
        <f t="array" ref="I11">INDEX(LINEST(Censal!D2:D12,Censal!C2:C12^{1,2,3,4,5},TRUE,TRUE),3,1)</f>
        <v>0.99835375871367793</v>
      </c>
      <c r="J11" s="30" cm="1">
        <f t="array" ref="J11">INDEX(LINEST(Censal!D2:D12,Censal!C2:C12^{1,2,3,4,5,6},TRUE,TRUE),3,1)</f>
        <v>0.99835710106693354</v>
      </c>
      <c r="K11" s="30" cm="1">
        <f t="array" ref="K11">INDEX(LINEST(Censal!D2:D12,LN(Censal!C2:C12)^{1},TRUE,TRUE),3,1)</f>
        <v>0.85852442999500456</v>
      </c>
      <c r="L11" s="30" cm="1">
        <f t="array" ref="L11">INDEX(LINEST(LOG(Censal!D2:D12),LOG(Censal!C2:C12)^{1},TRUE,TRUE),3,1)</f>
        <v>0.98854325307456226</v>
      </c>
      <c r="M11" s="31" cm="1">
        <f t="array" ref="M11">INDEX(LINEST(LN(Censal!D2:D12),Censal!C2:C12^{1},TRUE,TRUE),3,1)</f>
        <v>0.98931118079013869</v>
      </c>
    </row>
    <row r="12" spans="2:13" ht="34.299999999999997" x14ac:dyDescent="0.4">
      <c r="B12" s="72"/>
      <c r="C12" s="73"/>
      <c r="D12" s="32" t="s">
        <v>23</v>
      </c>
      <c r="E12" s="33" t="str">
        <f>IF(E11=MAX($E$11:$M$11),"✓","")</f>
        <v/>
      </c>
      <c r="F12" s="33" t="str">
        <f t="shared" ref="F12:M12" si="0">IF(F11=MAX($E$11:$M$11),"✓","")</f>
        <v/>
      </c>
      <c r="G12" s="33" t="str">
        <f t="shared" si="0"/>
        <v/>
      </c>
      <c r="H12" s="33" t="str">
        <f t="shared" si="0"/>
        <v/>
      </c>
      <c r="I12" s="33" t="str">
        <f t="shared" si="0"/>
        <v/>
      </c>
      <c r="J12" s="33" t="str">
        <f t="shared" si="0"/>
        <v>✓</v>
      </c>
      <c r="K12" s="33" t="str">
        <f t="shared" si="0"/>
        <v/>
      </c>
      <c r="L12" s="33" t="str">
        <f t="shared" si="0"/>
        <v/>
      </c>
      <c r="M12" s="34" t="str">
        <f t="shared" si="0"/>
        <v/>
      </c>
    </row>
    <row r="13" spans="2:13" x14ac:dyDescent="0.4">
      <c r="B13" s="72"/>
      <c r="C13" s="73"/>
      <c r="D13" s="76" t="s">
        <v>71</v>
      </c>
      <c r="E13" s="77"/>
      <c r="F13" s="77"/>
      <c r="G13" s="77"/>
      <c r="H13" s="77" t="s">
        <v>72</v>
      </c>
      <c r="I13" s="77" t="s">
        <v>72</v>
      </c>
      <c r="J13" s="77" t="s">
        <v>72</v>
      </c>
      <c r="K13" s="77"/>
      <c r="L13" s="77"/>
      <c r="M13" s="78"/>
    </row>
    <row r="14" spans="2:13" ht="34.299999999999997" x14ac:dyDescent="0.4">
      <c r="B14" s="74"/>
      <c r="C14" s="75"/>
      <c r="D14" s="22" t="s">
        <v>24</v>
      </c>
      <c r="E14" s="24"/>
      <c r="F14" s="24" t="s">
        <v>25</v>
      </c>
      <c r="G14" s="24"/>
      <c r="H14" s="24"/>
      <c r="I14" s="24"/>
      <c r="J14" s="24"/>
      <c r="K14" s="24"/>
      <c r="L14" s="24"/>
      <c r="M14" s="25"/>
    </row>
    <row r="16" spans="2:13" x14ac:dyDescent="0.4">
      <c r="B16" s="2" t="s">
        <v>28</v>
      </c>
    </row>
    <row r="17" spans="2:13" x14ac:dyDescent="0.4">
      <c r="B17" s="2" t="s">
        <v>26</v>
      </c>
      <c r="C17" s="23">
        <v>5</v>
      </c>
      <c r="D17" s="2" t="s">
        <v>27</v>
      </c>
      <c r="M17" s="16"/>
    </row>
    <row r="18" spans="2:13" x14ac:dyDescent="0.4">
      <c r="B18" s="7" t="s">
        <v>2</v>
      </c>
      <c r="C18" s="8" t="s">
        <v>13</v>
      </c>
      <c r="D18" s="8" t="s">
        <v>3</v>
      </c>
      <c r="E18" s="8" t="s">
        <v>31</v>
      </c>
      <c r="F18" s="8" t="s">
        <v>32</v>
      </c>
      <c r="G18" s="8" t="s">
        <v>33</v>
      </c>
      <c r="H18" s="8" t="s">
        <v>34</v>
      </c>
      <c r="I18" s="8" t="s">
        <v>35</v>
      </c>
      <c r="J18" s="8" t="s">
        <v>36</v>
      </c>
      <c r="K18" s="8" t="s">
        <v>37</v>
      </c>
      <c r="L18" s="8" t="s">
        <v>38</v>
      </c>
      <c r="M18" s="9" t="s">
        <v>39</v>
      </c>
    </row>
    <row r="19" spans="2:13" x14ac:dyDescent="0.4">
      <c r="B19" s="79" t="s">
        <v>78</v>
      </c>
      <c r="C19" s="10" t="str">
        <f>Censal!$B$2</f>
        <v>Municipio</v>
      </c>
      <c r="D19" s="10">
        <f>MAX(Censal!C2:C102)+1</f>
        <v>2019</v>
      </c>
      <c r="E19" s="3">
        <f>ROUND($E$4*$D19+$E$5,0)</f>
        <v>104463</v>
      </c>
      <c r="F19" s="3">
        <f>ROUND($F$4*$D19^2+$F$5*$D19+$F$6,0)</f>
        <v>130708</v>
      </c>
      <c r="G19" s="3">
        <f>ROUND($G$4*$D19^3+$G$5*$D19^2+$G$6*$D19+$G$7,0)</f>
        <v>133483</v>
      </c>
      <c r="H19" s="3">
        <f>ROUND($H$4*$D19^4+$H$5*$D19^3+$H$6*$D19^2+$H$7*$D19+$H$8,0)</f>
        <v>131597</v>
      </c>
      <c r="I19" s="3">
        <f>ROUND($I$4*$D19^5+$I$5*$D19^4+$I$6*$D19^3+$I$7*$D19^2+$I$8*$D19+$I$9,0)</f>
        <v>131579</v>
      </c>
      <c r="J19" s="3">
        <f>ROUND($J$4*$D19^6+$J$5*$D19^5+$J$6*$D19^4+$J$7*$D19^3+$J$8*$D19^2+$J$9*$D19+$J$10,0)</f>
        <v>131561</v>
      </c>
      <c r="K19" s="3">
        <f>ROUND($K$4*LN(D19)+$K$5,0)</f>
        <v>103735</v>
      </c>
      <c r="L19" s="3">
        <f>ROUND(10^$L$5*$D19^$L$4,0)</f>
        <v>138495</v>
      </c>
      <c r="M19" s="4">
        <f>ROUND($M$5*EXP($M$4*$D19),0)</f>
        <v>140562</v>
      </c>
    </row>
    <row r="20" spans="2:13" x14ac:dyDescent="0.4">
      <c r="B20" s="20" t="str">
        <f>B19</f>
        <v>Proyectada</v>
      </c>
      <c r="C20" s="10" t="str">
        <f>Censal!$B$2</f>
        <v>Municipio</v>
      </c>
      <c r="D20" s="10">
        <f t="shared" ref="D20:D29" si="1">D19+$C$17</f>
        <v>2024</v>
      </c>
      <c r="E20" s="3">
        <f t="shared" ref="E20:E29" si="2">ROUND($E$4*$D20+$E$5,0)</f>
        <v>109807</v>
      </c>
      <c r="F20" s="3">
        <f>ROUND($F$4*$D20^2+$F$5*$D20+$F$6,0)</f>
        <v>143634</v>
      </c>
      <c r="G20" s="3">
        <f>ROUND($G$4*$D20^3+$G$5*$D20^2+$G$6*$D20+$G$7,0)</f>
        <v>148170</v>
      </c>
      <c r="H20" s="3">
        <f t="shared" ref="H20:H29" si="3">ROUND($H$4*$D20^4+$H$5*$D20^3+$H$6*$D20^2+$H$7*$D20+$H$8,0)</f>
        <v>143320</v>
      </c>
      <c r="I20" s="3">
        <f t="shared" ref="I20:I29" si="4">ROUND($I$4*$D20^5+$I$5*$D20^4+$I$6*$D20^3+$I$7*$D20^2+$I$8*$D20+$I$9,0)</f>
        <v>143240</v>
      </c>
      <c r="J20" s="3">
        <f t="shared" ref="J20:J29" si="5">ROUND($J$4*$D20^6+$J$5*$D20^5+$J$6*$D20^4+$J$7*$D20^3+$J$8*$D20^2+$J$9*$D20+$J$10,0)</f>
        <v>143158</v>
      </c>
      <c r="K20" s="3">
        <f t="shared" ref="K20:K29" si="6">ROUND($K$4*LN(D20)+$K$5,0)</f>
        <v>108905</v>
      </c>
      <c r="L20" s="3">
        <f t="shared" ref="L20:L29" si="7">ROUND(10^$L$5*$D20^$L$4,0)</f>
        <v>158324</v>
      </c>
      <c r="M20" s="4">
        <f t="shared" ref="M20:M29" si="8">ROUND($M$5*EXP($M$4*$D20),0)</f>
        <v>161350</v>
      </c>
    </row>
    <row r="21" spans="2:13" x14ac:dyDescent="0.4">
      <c r="B21" s="20" t="str">
        <f t="shared" ref="B21:B29" si="9">B20</f>
        <v>Proyectada</v>
      </c>
      <c r="C21" s="10" t="str">
        <f>Censal!$B$2</f>
        <v>Municipio</v>
      </c>
      <c r="D21" s="10">
        <f t="shared" si="1"/>
        <v>2029</v>
      </c>
      <c r="E21" s="3">
        <f t="shared" si="2"/>
        <v>115152</v>
      </c>
      <c r="F21" s="3">
        <f t="shared" ref="F21:F29" si="10">ROUND($F$4*$D21^2+$F$5*$D21+$F$6,0)</f>
        <v>157201</v>
      </c>
      <c r="G21" s="3">
        <f>ROUND($G$4*$D21^3+$G$5*$D21^2+$G$6*$D21+$G$7,0)</f>
        <v>163883</v>
      </c>
      <c r="H21" s="3">
        <f t="shared" si="3"/>
        <v>154772</v>
      </c>
      <c r="I21" s="3">
        <f t="shared" si="4"/>
        <v>154585</v>
      </c>
      <c r="J21" s="3">
        <f t="shared" si="5"/>
        <v>154394</v>
      </c>
      <c r="K21" s="3">
        <f t="shared" si="6"/>
        <v>114063</v>
      </c>
      <c r="L21" s="3">
        <f t="shared" si="7"/>
        <v>180932</v>
      </c>
      <c r="M21" s="4">
        <f t="shared" si="8"/>
        <v>185211</v>
      </c>
    </row>
    <row r="22" spans="2:13" x14ac:dyDescent="0.4">
      <c r="B22" s="20" t="str">
        <f t="shared" si="9"/>
        <v>Proyectada</v>
      </c>
      <c r="C22" s="10" t="str">
        <f>Censal!$B$2</f>
        <v>Municipio</v>
      </c>
      <c r="D22" s="10">
        <f t="shared" si="1"/>
        <v>2034</v>
      </c>
      <c r="E22" s="3">
        <f t="shared" si="2"/>
        <v>120496</v>
      </c>
      <c r="F22" s="3">
        <f>ROUND($F$4*$D22^2+$F$5*$D22+$F$6,0)</f>
        <v>171410</v>
      </c>
      <c r="G22" s="3">
        <f>ROUND($G$4*$D22^3+$G$5*$D22^2+$G$6*$D22+$G$7,0)</f>
        <v>180654</v>
      </c>
      <c r="H22" s="3">
        <f t="shared" si="3"/>
        <v>165728</v>
      </c>
      <c r="I22" s="3">
        <f t="shared" si="4"/>
        <v>165375</v>
      </c>
      <c r="J22" s="3">
        <f t="shared" si="5"/>
        <v>165012</v>
      </c>
      <c r="K22" s="3">
        <f t="shared" si="6"/>
        <v>119207</v>
      </c>
      <c r="L22" s="3">
        <f t="shared" si="7"/>
        <v>206701</v>
      </c>
      <c r="M22" s="4">
        <f t="shared" si="8"/>
        <v>212602</v>
      </c>
    </row>
    <row r="23" spans="2:13" x14ac:dyDescent="0.4">
      <c r="B23" s="20" t="str">
        <f t="shared" si="9"/>
        <v>Proyectada</v>
      </c>
      <c r="C23" s="10" t="str">
        <f>Censal!$B$2</f>
        <v>Municipio</v>
      </c>
      <c r="D23" s="10">
        <f t="shared" si="1"/>
        <v>2039</v>
      </c>
      <c r="E23" s="3">
        <f t="shared" si="2"/>
        <v>125841</v>
      </c>
      <c r="F23" s="3">
        <f>ROUND($F$4*$D23^2+$F$5*$D23+$F$6,0)</f>
        <v>186260</v>
      </c>
      <c r="G23" s="3">
        <f t="shared" ref="G23:G29" si="11">ROUND($G$4*$D23^3+$G$5*$D23^2+$G$6*$D23+$G$7,0)</f>
        <v>198514</v>
      </c>
      <c r="H23" s="3">
        <f t="shared" si="3"/>
        <v>175942</v>
      </c>
      <c r="I23" s="3">
        <f t="shared" si="4"/>
        <v>175346</v>
      </c>
      <c r="J23" s="3">
        <f t="shared" si="5"/>
        <v>174731</v>
      </c>
      <c r="K23" s="3">
        <f t="shared" si="6"/>
        <v>124339</v>
      </c>
      <c r="L23" s="3">
        <f t="shared" si="7"/>
        <v>236062</v>
      </c>
      <c r="M23" s="4">
        <f t="shared" si="8"/>
        <v>244043</v>
      </c>
    </row>
    <row r="24" spans="2:13" x14ac:dyDescent="0.4">
      <c r="B24" s="20" t="str">
        <f t="shared" si="9"/>
        <v>Proyectada</v>
      </c>
      <c r="C24" s="10" t="str">
        <f>Censal!$B$2</f>
        <v>Municipio</v>
      </c>
      <c r="D24" s="10">
        <f t="shared" si="1"/>
        <v>2044</v>
      </c>
      <c r="E24" s="3">
        <f t="shared" si="2"/>
        <v>131185</v>
      </c>
      <c r="F24" s="3">
        <f t="shared" si="10"/>
        <v>201751</v>
      </c>
      <c r="G24" s="3">
        <f t="shared" si="11"/>
        <v>217493</v>
      </c>
      <c r="H24" s="3">
        <f t="shared" si="3"/>
        <v>185149</v>
      </c>
      <c r="I24" s="3">
        <f t="shared" si="4"/>
        <v>184212</v>
      </c>
      <c r="J24" s="3">
        <f t="shared" si="5"/>
        <v>183241</v>
      </c>
      <c r="K24" s="3">
        <f t="shared" si="6"/>
        <v>129459</v>
      </c>
      <c r="L24" s="3">
        <f t="shared" si="7"/>
        <v>269507</v>
      </c>
      <c r="M24" s="4">
        <f t="shared" si="8"/>
        <v>280134</v>
      </c>
    </row>
    <row r="25" spans="2:13" x14ac:dyDescent="0.4">
      <c r="B25" s="20" t="str">
        <f t="shared" si="9"/>
        <v>Proyectada</v>
      </c>
      <c r="C25" s="10" t="str">
        <f>Censal!$B$2</f>
        <v>Municipio</v>
      </c>
      <c r="D25" s="10">
        <f t="shared" si="1"/>
        <v>2049</v>
      </c>
      <c r="E25" s="3">
        <f t="shared" si="2"/>
        <v>136529</v>
      </c>
      <c r="F25" s="3">
        <f t="shared" si="10"/>
        <v>217884</v>
      </c>
      <c r="G25" s="3">
        <f t="shared" si="11"/>
        <v>237623</v>
      </c>
      <c r="H25" s="3">
        <f t="shared" si="3"/>
        <v>193064</v>
      </c>
      <c r="I25" s="3">
        <f t="shared" si="4"/>
        <v>191663</v>
      </c>
      <c r="J25" s="3">
        <f t="shared" si="5"/>
        <v>190208</v>
      </c>
      <c r="K25" s="3">
        <f t="shared" si="6"/>
        <v>134566</v>
      </c>
      <c r="L25" s="3">
        <f t="shared" si="7"/>
        <v>307590</v>
      </c>
      <c r="M25" s="4">
        <f t="shared" si="8"/>
        <v>321563</v>
      </c>
    </row>
    <row r="26" spans="2:13" x14ac:dyDescent="0.4">
      <c r="B26" s="20" t="str">
        <f t="shared" si="9"/>
        <v>Proyectada</v>
      </c>
      <c r="C26" s="10" t="str">
        <f>Censal!$B$2</f>
        <v>Municipio</v>
      </c>
      <c r="D26" s="10">
        <f t="shared" si="1"/>
        <v>2054</v>
      </c>
      <c r="E26" s="3">
        <f t="shared" si="2"/>
        <v>141874</v>
      </c>
      <c r="F26" s="3">
        <f t="shared" si="10"/>
        <v>234658</v>
      </c>
      <c r="G26" s="3">
        <f t="shared" si="11"/>
        <v>258934</v>
      </c>
      <c r="H26" s="3">
        <f t="shared" si="3"/>
        <v>199381</v>
      </c>
      <c r="I26" s="3">
        <f t="shared" si="4"/>
        <v>197366</v>
      </c>
      <c r="J26" s="3">
        <f t="shared" si="5"/>
        <v>195269</v>
      </c>
      <c r="K26" s="3">
        <f t="shared" si="6"/>
        <v>139660</v>
      </c>
      <c r="L26" s="3">
        <f t="shared" si="7"/>
        <v>350942</v>
      </c>
      <c r="M26" s="4">
        <f t="shared" si="8"/>
        <v>369118</v>
      </c>
    </row>
    <row r="27" spans="2:13" x14ac:dyDescent="0.4">
      <c r="B27" s="20" t="str">
        <f t="shared" si="9"/>
        <v>Proyectada</v>
      </c>
      <c r="C27" s="10" t="str">
        <f>Censal!$B$2</f>
        <v>Municipio</v>
      </c>
      <c r="D27" s="10">
        <f t="shared" si="1"/>
        <v>2059</v>
      </c>
      <c r="E27" s="3">
        <f t="shared" si="2"/>
        <v>147218</v>
      </c>
      <c r="F27" s="3">
        <f t="shared" si="10"/>
        <v>252073</v>
      </c>
      <c r="G27" s="3">
        <f t="shared" si="11"/>
        <v>281458</v>
      </c>
      <c r="H27" s="3">
        <f t="shared" si="3"/>
        <v>203776</v>
      </c>
      <c r="I27" s="3">
        <f t="shared" si="4"/>
        <v>200966</v>
      </c>
      <c r="J27" s="3">
        <f t="shared" si="5"/>
        <v>198035</v>
      </c>
      <c r="K27" s="3">
        <f t="shared" si="6"/>
        <v>144742</v>
      </c>
      <c r="L27" s="3">
        <f t="shared" si="7"/>
        <v>400276</v>
      </c>
      <c r="M27" s="4">
        <f t="shared" si="8"/>
        <v>423706</v>
      </c>
    </row>
    <row r="28" spans="2:13" x14ac:dyDescent="0.4">
      <c r="B28" s="20" t="str">
        <f t="shared" si="9"/>
        <v>Proyectada</v>
      </c>
      <c r="C28" s="10" t="str">
        <f>Censal!$B$2</f>
        <v>Municipio</v>
      </c>
      <c r="D28" s="10">
        <f t="shared" si="1"/>
        <v>2064</v>
      </c>
      <c r="E28" s="3">
        <f t="shared" si="2"/>
        <v>152563</v>
      </c>
      <c r="F28" s="3">
        <f t="shared" si="10"/>
        <v>270130</v>
      </c>
      <c r="G28" s="3">
        <f t="shared" si="11"/>
        <v>305225</v>
      </c>
      <c r="H28" s="3">
        <f t="shared" si="3"/>
        <v>205903</v>
      </c>
      <c r="I28" s="3">
        <f t="shared" si="4"/>
        <v>202083</v>
      </c>
      <c r="J28" s="3">
        <f t="shared" si="5"/>
        <v>198088</v>
      </c>
      <c r="K28" s="3">
        <f t="shared" si="6"/>
        <v>149812</v>
      </c>
      <c r="L28" s="3">
        <f t="shared" si="7"/>
        <v>456398</v>
      </c>
      <c r="M28" s="4">
        <f t="shared" si="8"/>
        <v>486367</v>
      </c>
    </row>
    <row r="29" spans="2:13" x14ac:dyDescent="0.4">
      <c r="B29" s="21" t="str">
        <f t="shared" si="9"/>
        <v>Proyectada</v>
      </c>
      <c r="C29" s="11" t="str">
        <f>Censal!$B$2</f>
        <v>Municipio</v>
      </c>
      <c r="D29" s="11">
        <f t="shared" si="1"/>
        <v>2069</v>
      </c>
      <c r="E29" s="5">
        <f t="shared" si="2"/>
        <v>157907</v>
      </c>
      <c r="F29" s="5">
        <f t="shared" si="10"/>
        <v>288828</v>
      </c>
      <c r="G29" s="5">
        <f t="shared" si="11"/>
        <v>330265</v>
      </c>
      <c r="H29" s="5">
        <f t="shared" si="3"/>
        <v>205397</v>
      </c>
      <c r="I29" s="5">
        <f t="shared" si="4"/>
        <v>200313</v>
      </c>
      <c r="J29" s="5">
        <f t="shared" si="5"/>
        <v>194982</v>
      </c>
      <c r="K29" s="5">
        <f t="shared" si="6"/>
        <v>154869</v>
      </c>
      <c r="L29" s="5">
        <f t="shared" si="7"/>
        <v>520225</v>
      </c>
      <c r="M29" s="6">
        <f t="shared" si="8"/>
        <v>558295</v>
      </c>
    </row>
    <row r="30" spans="2:13" x14ac:dyDescent="0.4">
      <c r="D30" s="16"/>
    </row>
    <row r="31" spans="2:13" x14ac:dyDescent="0.4">
      <c r="B31" s="2" t="s">
        <v>76</v>
      </c>
      <c r="D31" s="16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6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6"/>
    </row>
    <row r="34" spans="2:4" x14ac:dyDescent="0.4">
      <c r="B34" s="2" t="str">
        <f>_xlfn.CONCAT(Censal!A2," - Población censal municipal")</f>
        <v>DANE - Población censal municipal</v>
      </c>
      <c r="D34" s="16"/>
    </row>
    <row r="35" spans="2:4" x14ac:dyDescent="0.4">
      <c r="D35" s="16"/>
    </row>
    <row r="36" spans="2:4" x14ac:dyDescent="0.4">
      <c r="D36" s="16"/>
    </row>
    <row r="37" spans="2:4" x14ac:dyDescent="0.4">
      <c r="D37" s="16"/>
    </row>
    <row r="38" spans="2:4" x14ac:dyDescent="0.4">
      <c r="D38" s="16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30" zoomScaleNormal="130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3" t="str">
        <f>Censal!A1</f>
        <v>Fuente</v>
      </c>
      <c r="B1" s="13" t="str">
        <f>Censal!B1</f>
        <v>Zona</v>
      </c>
      <c r="C1" s="13" t="str">
        <f>Censal!C1</f>
        <v>Fecha</v>
      </c>
      <c r="D1" s="13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Censal!A12</f>
        <v>DANE</v>
      </c>
      <c r="B12" s="2" t="str">
        <f>Censal!B12</f>
        <v>Municipio</v>
      </c>
      <c r="C12" s="2">
        <f>Censal!C12</f>
        <v>2018</v>
      </c>
      <c r="D12" s="2">
        <f>Censal!D12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130708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143634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157201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171410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186260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201751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217884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234658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252073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270130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2024-06-27T16:57:18Z</dcterms:modified>
</cp:coreProperties>
</file>