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2A1A8588-555A-4EE9-BEAC-033B0092C3EC}" xr6:coauthVersionLast="47" xr6:coauthVersionMax="47" xr10:uidLastSave="{00000000-0000-0000-0000-000000000000}"/>
  <bookViews>
    <workbookView xWindow="-103" yWindow="-103" windowWidth="26537" windowHeight="15943" tabRatio="769" activeTab="1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B12" i="2"/>
  <c r="A12" i="2"/>
  <c r="M18" i="4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B4" i="6" s="1"/>
  <c r="A5" i="2"/>
  <c r="A5" i="6" s="1"/>
  <c r="B5" i="2"/>
  <c r="B5" i="6" s="1"/>
  <c r="A6" i="2"/>
  <c r="A6" i="6" s="1"/>
  <c r="B6" i="2"/>
  <c r="B6" i="6" s="1"/>
  <c r="A7" i="2"/>
  <c r="A7" i="6" s="1"/>
  <c r="B7" i="2"/>
  <c r="B7" i="6" s="1"/>
  <c r="A8" i="2"/>
  <c r="A8" i="6" s="1"/>
  <c r="B8" i="2"/>
  <c r="B8" i="6" s="1"/>
  <c r="A9" i="2"/>
  <c r="A9" i="6" s="1"/>
  <c r="B9" i="2"/>
  <c r="B9" i="6" s="1"/>
  <c r="A10" i="2"/>
  <c r="A10" i="6" s="1"/>
  <c r="B10" i="2"/>
  <c r="B10" i="6" s="1"/>
  <c r="A11" i="2"/>
  <c r="A11" i="6" s="1"/>
  <c r="B11" i="2"/>
  <c r="B11" i="6" s="1"/>
  <c r="A13" i="2"/>
  <c r="A12" i="6" s="1"/>
  <c r="B13" i="2"/>
  <c r="B12" i="6" s="1"/>
  <c r="B3" i="2"/>
  <c r="B3" i="6" s="1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family val="2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family val="2"/>
          </rPr>
          <t>Población total femenina</t>
        </r>
      </text>
    </comment>
    <comment ref="I1" authorId="0" shapeId="0" xr:uid="{935C66C2-81E0-4DB9-8E0B-2D7A387DCED1}">
      <text>
        <r>
          <rPr>
            <sz val="9"/>
            <color indexed="81"/>
            <rFont val="Tahoma"/>
            <family val="2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family val="2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family val="2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family val="2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family val="2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family val="2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family val="2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<sst xmlns="http://schemas.openxmlformats.org/spreadsheetml/2006/main" count="86" uniqueCount="76">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</sst>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984232959176118E-2"/>
          <c:y val="9.5570570105434932E-2"/>
          <c:w val="0.88019508632967225"/>
          <c:h val="0.791183270336721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7"/>
              <c:layout>
                <c:manualLayout>
                  <c:x val="-2.2630897494462319E-2"/>
                  <c:y val="-5.25064962525316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AD-4B2B-8A5E-0AF6ECC0F940}"/>
                </c:ext>
              </c:extLst>
            </c:dLbl>
            <c:dLbl>
              <c:idx val="10"/>
              <c:layout>
                <c:manualLayout>
                  <c:x val="-2.1593258911497517E-2"/>
                  <c:y val="-5.50738603697696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AD-4B2B-8A5E-0AF6ECC0F940}"/>
                </c:ext>
              </c:extLst>
            </c:dLbl>
            <c:dLbl>
              <c:idx val="11"/>
              <c:layout>
                <c:manualLayout>
                  <c:x val="-6.0286801670256483E-3"/>
                  <c:y val="-5.7540347300296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AD-4B2B-8A5E-0AF6ECC0F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Censal!$C$2:$C$13</c:f>
              <c:numCache>
                <c:formatCode>0</c:formatCode>
                <c:ptCount val="1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2017</c:v>
                </c:pt>
                <c:pt idx="11">
                  <c:v>2018</c:v>
                </c:pt>
              </c:numCache>
            </c:numRef>
          </c:xVal>
          <c:yVal>
            <c:numRef>
              <c:f>Censal!$D$2:$D$13</c:f>
              <c:numCache>
                <c:formatCode>0</c:formatCode>
                <c:ptCount val="1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118267</c:v>
                </c:pt>
                <c:pt idx="11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2060892329409924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108057</c:v>
                </c:pt>
                <c:pt idx="1">
                  <c:v>113646</c:v>
                </c:pt>
                <c:pt idx="2">
                  <c:v>119235</c:v>
                </c:pt>
                <c:pt idx="3">
                  <c:v>124824</c:v>
                </c:pt>
                <c:pt idx="4">
                  <c:v>130413</c:v>
                </c:pt>
                <c:pt idx="5">
                  <c:v>136002</c:v>
                </c:pt>
                <c:pt idx="6">
                  <c:v>141591</c:v>
                </c:pt>
                <c:pt idx="7">
                  <c:v>147180</c:v>
                </c:pt>
                <c:pt idx="8">
                  <c:v>152769</c:v>
                </c:pt>
                <c:pt idx="9">
                  <c:v>158358</c:v>
                </c:pt>
                <c:pt idx="10">
                  <c:v>163947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127918</c:v>
                </c:pt>
                <c:pt idx="1">
                  <c:v>140346</c:v>
                </c:pt>
                <c:pt idx="2">
                  <c:v>153383</c:v>
                </c:pt>
                <c:pt idx="3">
                  <c:v>167026</c:v>
                </c:pt>
                <c:pt idx="4">
                  <c:v>181278</c:v>
                </c:pt>
                <c:pt idx="5">
                  <c:v>196136</c:v>
                </c:pt>
                <c:pt idx="6">
                  <c:v>211602</c:v>
                </c:pt>
                <c:pt idx="7">
                  <c:v>227676</c:v>
                </c:pt>
                <c:pt idx="8">
                  <c:v>244356</c:v>
                </c:pt>
                <c:pt idx="9">
                  <c:v>261645</c:v>
                </c:pt>
                <c:pt idx="10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128902</c:v>
                </c:pt>
                <c:pt idx="1">
                  <c:v>142142</c:v>
                </c:pt>
                <c:pt idx="2">
                  <c:v>156177</c:v>
                </c:pt>
                <c:pt idx="3">
                  <c:v>171024</c:v>
                </c:pt>
                <c:pt idx="4">
                  <c:v>186698</c:v>
                </c:pt>
                <c:pt idx="5">
                  <c:v>203215</c:v>
                </c:pt>
                <c:pt idx="6">
                  <c:v>220589</c:v>
                </c:pt>
                <c:pt idx="7">
                  <c:v>238837</c:v>
                </c:pt>
                <c:pt idx="8">
                  <c:v>257974</c:v>
                </c:pt>
                <c:pt idx="9">
                  <c:v>278015</c:v>
                </c:pt>
                <c:pt idx="10">
                  <c:v>298976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127108</c:v>
                </c:pt>
                <c:pt idx="1">
                  <c:v>136758</c:v>
                </c:pt>
                <c:pt idx="2">
                  <c:v>145577</c:v>
                </c:pt>
                <c:pt idx="3">
                  <c:v>153256</c:v>
                </c:pt>
                <c:pt idx="4">
                  <c:v>159460</c:v>
                </c:pt>
                <c:pt idx="5">
                  <c:v>163828</c:v>
                </c:pt>
                <c:pt idx="6">
                  <c:v>165974</c:v>
                </c:pt>
                <c:pt idx="7">
                  <c:v>165486</c:v>
                </c:pt>
                <c:pt idx="8">
                  <c:v>161927</c:v>
                </c:pt>
                <c:pt idx="9">
                  <c:v>154835</c:v>
                </c:pt>
                <c:pt idx="10">
                  <c:v>143721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127087</c:v>
                </c:pt>
                <c:pt idx="1">
                  <c:v>136659</c:v>
                </c:pt>
                <c:pt idx="2">
                  <c:v>145345</c:v>
                </c:pt>
                <c:pt idx="3">
                  <c:v>152816</c:v>
                </c:pt>
                <c:pt idx="4">
                  <c:v>158714</c:v>
                </c:pt>
                <c:pt idx="5">
                  <c:v>162651</c:v>
                </c:pt>
                <c:pt idx="6">
                  <c:v>164213</c:v>
                </c:pt>
                <c:pt idx="7">
                  <c:v>162951</c:v>
                </c:pt>
                <c:pt idx="8">
                  <c:v>158390</c:v>
                </c:pt>
                <c:pt idx="9">
                  <c:v>150023</c:v>
                </c:pt>
                <c:pt idx="10">
                  <c:v>137312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127066</c:v>
                </c:pt>
                <c:pt idx="1">
                  <c:v>136558</c:v>
                </c:pt>
                <c:pt idx="2">
                  <c:v>145108</c:v>
                </c:pt>
                <c:pt idx="3">
                  <c:v>152365</c:v>
                </c:pt>
                <c:pt idx="4">
                  <c:v>157947</c:v>
                </c:pt>
                <c:pt idx="5">
                  <c:v>161440</c:v>
                </c:pt>
                <c:pt idx="6">
                  <c:v>162395</c:v>
                </c:pt>
                <c:pt idx="7">
                  <c:v>160328</c:v>
                </c:pt>
                <c:pt idx="8">
                  <c:v>154720</c:v>
                </c:pt>
                <c:pt idx="9">
                  <c:v>145018</c:v>
                </c:pt>
                <c:pt idx="10">
                  <c:v>130632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107439</c:v>
                </c:pt>
                <c:pt idx="1">
                  <c:v>112854</c:v>
                </c:pt>
                <c:pt idx="2">
                  <c:v>118257</c:v>
                </c:pt>
                <c:pt idx="3">
                  <c:v>123646</c:v>
                </c:pt>
                <c:pt idx="4">
                  <c:v>129021</c:v>
                </c:pt>
                <c:pt idx="5">
                  <c:v>134384</c:v>
                </c:pt>
                <c:pt idx="6">
                  <c:v>139733</c:v>
                </c:pt>
                <c:pt idx="7">
                  <c:v>145070</c:v>
                </c:pt>
                <c:pt idx="8">
                  <c:v>150393</c:v>
                </c:pt>
                <c:pt idx="9">
                  <c:v>155704</c:v>
                </c:pt>
                <c:pt idx="10">
                  <c:v>161001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135311</c:v>
                </c:pt>
                <c:pt idx="1">
                  <c:v>154446</c:v>
                </c:pt>
                <c:pt idx="2">
                  <c:v>176229</c:v>
                </c:pt>
                <c:pt idx="3">
                  <c:v>201019</c:v>
                </c:pt>
                <c:pt idx="4">
                  <c:v>229222</c:v>
                </c:pt>
                <c:pt idx="5">
                  <c:v>261299</c:v>
                </c:pt>
                <c:pt idx="6">
                  <c:v>297768</c:v>
                </c:pt>
                <c:pt idx="7">
                  <c:v>339220</c:v>
                </c:pt>
                <c:pt idx="8">
                  <c:v>386319</c:v>
                </c:pt>
                <c:pt idx="9">
                  <c:v>439820</c:v>
                </c:pt>
                <c:pt idx="10">
                  <c:v>500572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136886</c:v>
                </c:pt>
                <c:pt idx="1">
                  <c:v>156847</c:v>
                </c:pt>
                <c:pt idx="2">
                  <c:v>179718</c:v>
                </c:pt>
                <c:pt idx="3">
                  <c:v>205925</c:v>
                </c:pt>
                <c:pt idx="4">
                  <c:v>235953</c:v>
                </c:pt>
                <c:pt idx="5">
                  <c:v>270359</c:v>
                </c:pt>
                <c:pt idx="6">
                  <c:v>309783</c:v>
                </c:pt>
                <c:pt idx="7">
                  <c:v>354956</c:v>
                </c:pt>
                <c:pt idx="8">
                  <c:v>406716</c:v>
                </c:pt>
                <c:pt idx="9">
                  <c:v>466023</c:v>
                </c:pt>
                <c:pt idx="10">
                  <c:v>533979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2257135476540377E-2"/>
                  <c:y val="-5.22919280555968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Censal!$C$2:$C$13</c:f>
              <c:numCache>
                <c:formatCode>0</c:formatCode>
                <c:ptCount val="1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2017</c:v>
                </c:pt>
                <c:pt idx="11">
                  <c:v>2018</c:v>
                </c:pt>
              </c:numCache>
            </c:numRef>
          </c:xVal>
          <c:yVal>
            <c:numRef>
              <c:f>Censal!$D$2:$D$13</c:f>
              <c:numCache>
                <c:formatCode>0</c:formatCode>
                <c:ptCount val="1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118267</c:v>
                </c:pt>
                <c:pt idx="11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tabSelected="1"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932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26"/>
  <sheetViews>
    <sheetView showGridLines="0" zoomScale="130" zoomScaleNormal="130" workbookViewId="0">
      <pane ySplit="1" topLeftCell="A2" activePane="bottomLeft" state="frozen"/>
      <selection pane="bottomLeft" activeCell="G1" sqref="G1:I1048576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73</v>
      </c>
      <c r="H1" s="10" t="s">
        <v>74</v>
      </c>
      <c r="I1" s="10" t="s">
        <v>75</v>
      </c>
      <c r="J1" s="10" t="s">
        <v>28</v>
      </c>
      <c r="K1" s="10" t="s">
        <v>29</v>
      </c>
      <c r="L1" s="10" t="s">
        <v>30</v>
      </c>
      <c r="M1" s="10" t="s">
        <v>61</v>
      </c>
      <c r="N1" s="10" t="s">
        <v>67</v>
      </c>
      <c r="O1" s="10" t="s">
        <v>33</v>
      </c>
      <c r="P1" s="10" t="s">
        <v>31</v>
      </c>
      <c r="Q1" s="10" t="s">
        <v>32</v>
      </c>
      <c r="R1" s="10" t="s">
        <v>62</v>
      </c>
      <c r="S1" s="10" t="s">
        <v>68</v>
      </c>
      <c r="T1" s="10" t="s">
        <v>34</v>
      </c>
      <c r="U1" s="10" t="s">
        <v>35</v>
      </c>
      <c r="V1" s="10" t="s">
        <v>36</v>
      </c>
      <c r="W1" s="10" t="s">
        <v>63</v>
      </c>
      <c r="X1" s="10" t="s">
        <v>69</v>
      </c>
    </row>
    <row r="2" spans="1:24" x14ac:dyDescent="0.4">
      <c r="A2" s="9" t="s">
        <v>65</v>
      </c>
      <c r="B2" s="9" t="s">
        <v>14</v>
      </c>
      <c r="C2" s="9">
        <v>1905</v>
      </c>
      <c r="D2" s="9">
        <v>7108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DANE</v>
      </c>
      <c r="B3" s="11" t="str">
        <f>$B$2</f>
        <v>Municipio</v>
      </c>
      <c r="C3" s="9">
        <v>1928</v>
      </c>
      <c r="D3" s="9">
        <v>11480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 t="shared" ref="A4:A13" si="0">$A$2</f>
        <v>DANE</v>
      </c>
      <c r="B4" s="11" t="str">
        <f t="shared" ref="B4:B13" si="1">$B$2</f>
        <v>Municipio</v>
      </c>
      <c r="C4" s="9">
        <v>1938</v>
      </c>
      <c r="D4" s="9">
        <v>12273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 t="str">
        <f t="shared" si="0"/>
        <v>DANE</v>
      </c>
      <c r="B5" s="11" t="str">
        <f t="shared" si="1"/>
        <v>Municipio</v>
      </c>
      <c r="C5" s="9">
        <v>1951</v>
      </c>
      <c r="D5" s="9">
        <v>20628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 t="str">
        <f t="shared" si="0"/>
        <v>DANE</v>
      </c>
      <c r="B6" s="11" t="str">
        <f t="shared" si="1"/>
        <v>Municipio</v>
      </c>
      <c r="C6" s="9">
        <v>1964</v>
      </c>
      <c r="D6" s="9">
        <v>27775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A7" s="11" t="str">
        <f t="shared" si="0"/>
        <v>DANE</v>
      </c>
      <c r="B7" s="11" t="str">
        <f t="shared" si="1"/>
        <v>Municipio</v>
      </c>
      <c r="C7" s="9">
        <v>1973</v>
      </c>
      <c r="D7" s="9">
        <v>39836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A8" s="11" t="str">
        <f t="shared" si="0"/>
        <v>DANE</v>
      </c>
      <c r="B8" s="11" t="str">
        <f t="shared" si="1"/>
        <v>Municipio</v>
      </c>
      <c r="C8" s="9">
        <v>1985</v>
      </c>
      <c r="D8" s="9">
        <v>60202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A9" s="11" t="str">
        <f t="shared" si="0"/>
        <v>DANE</v>
      </c>
      <c r="B9" s="11" t="str">
        <f t="shared" si="1"/>
        <v>Municipio</v>
      </c>
      <c r="C9" s="9">
        <v>1993</v>
      </c>
      <c r="D9" s="9">
        <v>69695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A10" s="11" t="str">
        <f t="shared" si="0"/>
        <v>DANE</v>
      </c>
      <c r="B10" s="11" t="str">
        <f t="shared" si="1"/>
        <v>Municipio</v>
      </c>
      <c r="C10" s="9">
        <v>1995</v>
      </c>
      <c r="D10" s="9">
        <v>78923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A11" s="11" t="str">
        <f t="shared" si="0"/>
        <v>DANE</v>
      </c>
      <c r="B11" s="11" t="str">
        <f t="shared" si="1"/>
        <v>Municipio</v>
      </c>
      <c r="C11" s="9">
        <v>2005</v>
      </c>
      <c r="D11" s="9">
        <v>100038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A12" s="11" t="str">
        <f t="shared" si="0"/>
        <v>DANE</v>
      </c>
      <c r="B12" s="11" t="str">
        <f t="shared" si="1"/>
        <v>Municipio</v>
      </c>
      <c r="C12" s="9">
        <v>2017</v>
      </c>
      <c r="D12" s="9">
        <v>118267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A13" s="11" t="str">
        <f t="shared" si="0"/>
        <v>DANE</v>
      </c>
      <c r="B13" s="11" t="str">
        <f t="shared" si="1"/>
        <v>Municipio</v>
      </c>
      <c r="C13" s="9">
        <v>2018</v>
      </c>
      <c r="D13" s="9">
        <v>128968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A14" s="11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3:24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3:24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3:24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3:24" x14ac:dyDescent="0.4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3:24" x14ac:dyDescent="0.4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3:24" x14ac:dyDescent="0.4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3:24" x14ac:dyDescent="0.4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3:24" x14ac:dyDescent="0.4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3:24" x14ac:dyDescent="0.4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MAX(Censal!D2:D102)</f>
        <v>128968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60">
        <f>C9+F9</f>
        <v>912</v>
      </c>
      <c r="D12" s="61"/>
      <c r="E12" s="61"/>
      <c r="F12" s="62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129880</v>
      </c>
      <c r="F14" s="50">
        <f>(D6+C14)/2</f>
        <v>129424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59" t="s">
        <v>46</v>
      </c>
      <c r="C17" s="59"/>
      <c r="D17" s="59"/>
      <c r="E17" s="59"/>
      <c r="F17" s="59"/>
      <c r="G17" s="52">
        <f>(C12/F14)*1000</f>
        <v>7.0466065026579301</v>
      </c>
    </row>
    <row r="18" spans="2:7" s="51" customFormat="1" ht="14.6" x14ac:dyDescent="0.4">
      <c r="B18" s="59" t="s">
        <v>49</v>
      </c>
      <c r="C18" s="59"/>
      <c r="D18" s="59"/>
      <c r="E18" s="59"/>
      <c r="F18" s="59"/>
      <c r="G18" s="52">
        <f>(C4/F14)*1000</f>
        <v>2.6424774384967242</v>
      </c>
    </row>
    <row r="19" spans="2:7" s="51" customFormat="1" ht="14.6" x14ac:dyDescent="0.4">
      <c r="B19" s="59" t="s">
        <v>50</v>
      </c>
      <c r="C19" s="59"/>
      <c r="D19" s="59"/>
      <c r="E19" s="59"/>
      <c r="F19" s="59"/>
      <c r="G19" s="52">
        <f>(C7/F14)*1000</f>
        <v>0.49449870194090745</v>
      </c>
    </row>
    <row r="20" spans="2:7" s="51" customFormat="1" ht="14.6" x14ac:dyDescent="0.4">
      <c r="B20" s="59" t="s">
        <v>48</v>
      </c>
      <c r="C20" s="59"/>
      <c r="D20" s="59"/>
      <c r="E20" s="59"/>
      <c r="F20" s="59"/>
      <c r="G20" s="52">
        <f>G18-G19</f>
        <v>2.1479787365558169</v>
      </c>
    </row>
    <row r="21" spans="2:7" x14ac:dyDescent="0.4">
      <c r="B21" s="59" t="s">
        <v>51</v>
      </c>
      <c r="C21" s="59"/>
      <c r="D21" s="59"/>
      <c r="E21" s="59"/>
      <c r="F21" s="59"/>
      <c r="G21" s="52">
        <f>(F4/F14)*1000</f>
        <v>7.5411052045988383</v>
      </c>
    </row>
    <row r="22" spans="2:7" ht="17.149999999999999" customHeight="1" x14ac:dyDescent="0.4">
      <c r="B22" s="59" t="s">
        <v>52</v>
      </c>
      <c r="C22" s="59"/>
      <c r="D22" s="59"/>
      <c r="E22" s="59"/>
      <c r="F22" s="59"/>
      <c r="G22" s="52">
        <f>(F7/F14)*1000</f>
        <v>2.6424774384967242</v>
      </c>
    </row>
    <row r="23" spans="2:7" x14ac:dyDescent="0.4">
      <c r="B23" s="59" t="s">
        <v>53</v>
      </c>
      <c r="C23" s="59"/>
      <c r="D23" s="59"/>
      <c r="E23" s="59"/>
      <c r="F23" s="59"/>
      <c r="G23" s="52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45" zoomScaleNormal="145" workbookViewId="0">
      <selection activeCell="E4" sqref="E4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70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INDEX(LINEST(Censal!D2:D13,Censal!C2:C13^{1},TRUE,TRUE),1,1)</f>
        <v>1117.7981408008854</v>
      </c>
      <c r="F4" s="23" cm="1">
        <f t="array" ref="F4">INDEX(LINEST(Censal!D2:D13,Censal!C2:C13^{1,2},TRUE,TRUE),1,1)</f>
        <v>12.148251032555738</v>
      </c>
      <c r="G4" s="23" cm="1">
        <f t="array" ref="G4">INDEX(LINEST(Censal!D2:D13,Censal!C2:C13^{1,2,3},TRUE,TRUE),1,1)</f>
        <v>2.0673347876273049E-2</v>
      </c>
      <c r="H4" s="23" cm="1">
        <f t="array" ref="H4">INDEX(LINEST(Censal!D2:D13,Censal!C2:C13^{1,2,3,4},TRUE,TRUE),1,1)</f>
        <v>-1.7006018640907902E-3</v>
      </c>
      <c r="I4" s="23" cm="1">
        <f t="array" ref="I4">INDEX(LINEST(Censal!D2:D13,Censal!C2:C13^{1,2,3,4,5},TRUE,TRUE),1,1)</f>
        <v>-6.961962624513055E-7</v>
      </c>
      <c r="J4" s="23" cm="1">
        <f t="array" ref="J4">INDEX(LINEST(Censal!D2:D13,Censal!C2:C13^{1,2,3,4,5,6},TRUE,TRUE),1,1)</f>
        <v>-2.9658650024434717E-10</v>
      </c>
      <c r="K4" s="23" cm="1">
        <f t="array" ref="K4">INDEX(LINEST(Censal!D2:D13,LN(Censal!C2:C13)^{1},TRUE,TRUE),1,1)</f>
        <v>2189522.866404884</v>
      </c>
      <c r="L4" s="23" cm="1">
        <f t="array" ref="L4">INDEX(LINEST(LOG(Censal!D2:D13),LOG(Censal!C2:C13)^{1},TRUE,TRUE),1,1)</f>
        <v>53.475614154372501</v>
      </c>
      <c r="M4" s="24" cm="1">
        <f t="array" ref="M4">INDEX(LINEST(LN(Censal!D2:D13),Censal!C2:C13^{1},TRUE,TRUE),1,1)</f>
        <v>2.7224153885616099E-2</v>
      </c>
    </row>
    <row r="5" spans="2:13" x14ac:dyDescent="0.4">
      <c r="B5" s="74"/>
      <c r="C5" s="75"/>
      <c r="D5" s="25" t="s">
        <v>17</v>
      </c>
      <c r="E5" s="23" cm="1">
        <f t="array" ref="E5">INDEX(LINEST(Censal!D2:D13,Censal!C2:C13^{1},TRUE,TRUE),1,2)</f>
        <v>-2148777.0490865465</v>
      </c>
      <c r="F5" s="23" cm="1">
        <f t="array" ref="F5">INDEX(LINEST(Censal!D2:D13,Censal!C2:C13^{1,2},TRUE,TRUE),1,2)</f>
        <v>-46629.59670094942</v>
      </c>
      <c r="G5" s="23" cm="1">
        <f t="array" ref="G5">INDEX(LINEST(Censal!D2:D13,Censal!C2:C13^{1,2,3},TRUE,TRUE),1,2)</f>
        <v>-109.61057816308812</v>
      </c>
      <c r="H5" s="23" cm="1">
        <f t="array" ref="H5">INDEX(LINEST(Censal!D2:D13,Censal!C2:C13^{1,2,3,4},TRUE,TRUE),1,2)</f>
        <v>13.372296023420141</v>
      </c>
      <c r="I5" s="23" cm="1">
        <f t="array" ref="I5">INDEX(LINEST(Censal!D2:D13,Censal!C2:C13^{1,2,3,4,5},TRUE,TRUE),1,2)</f>
        <v>5.1309803701907698E-3</v>
      </c>
      <c r="J5" s="23" cm="1">
        <f t="array" ref="J5">INDEX(LINEST(Censal!D2:D13,Censal!C2:C13^{1,2,3,4,5,6},TRUE,TRUE),1,2)</f>
        <v>2.0979244290507049E-6</v>
      </c>
      <c r="K5" s="23" cm="1">
        <f t="array" ref="K5">INDEX(LINEST(Censal!D2:D13,LN(Censal!C2:C13)^{1},TRUE,TRUE),1,2)</f>
        <v>-16555613.216459444</v>
      </c>
      <c r="L5" s="23" cm="1">
        <f t="array" ref="L5">INDEX(LINEST(LOG(Censal!D2:D13),LOG(Censal!C2:C13)^{1},TRUE,TRUE),1,2)</f>
        <v>-171.61286171989738</v>
      </c>
      <c r="M5" s="24" cm="1">
        <f t="array" ref="M5">EXP(INDEX(LINEST(LN(Censal!D2:D13),Censal!C2:C13^{1},TRUE,TRUE),1,2))</f>
        <v>1.8412667744698342E-19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INDEX(LINEST(Censal!D2:D13,Censal!C2:C13^{1,2},TRUE,TRUE),1,3)</f>
        <v>44752416.537561163</v>
      </c>
      <c r="G6" s="23" cm="1">
        <f t="array" ref="G6">INDEX(LINEST(Censal!D2:D13,Censal!C2:C13^{1,2,3},TRUE,TRUE),1,3)</f>
        <v>192360.83148428792</v>
      </c>
      <c r="H6" s="23" cm="1">
        <f t="array" ref="H6">INDEX(LINEST(Censal!D2:D13,Censal!C2:C13^{1,2,3,4},TRUE,TRUE),1,3)</f>
        <v>-39413.283892035513</v>
      </c>
      <c r="I6" s="23" cm="1">
        <f t="array" ref="I6">INDEX(LINEST(Censal!D2:D13,Censal!C2:C13^{1,2,3,4,5},TRUE,TRUE),1,3)</f>
        <v>-13.439478537869496</v>
      </c>
      <c r="J6" s="23" cm="1">
        <f t="array" ref="J6">INDEX(LINEST(Censal!D2:D13,Censal!C2:C13^{1,2,3,4,5,6},TRUE,TRUE),1,3)</f>
        <v>-5.1504523379324553E-3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INDEX(LINEST(Censal!D2:D13,Censal!C2:C13^{1,2,3},TRUE,TRUE),1,4)</f>
        <v>-111580557.5310514</v>
      </c>
      <c r="H7" s="23" cm="1">
        <f t="array" ref="H7">INDEX(LINEST(Censal!D2:D13,Censal!C2:C13^{1,2,3,4},TRUE,TRUE),1,4)</f>
        <v>51606905.334161445</v>
      </c>
      <c r="I7" s="23" cm="1">
        <f t="array" ref="I7">INDEX(LINEST(Censal!D2:D13,Censal!C2:C13^{1,2,3,4,5},TRUE,TRUE),1,4)</f>
        <v>13195.034142363314</v>
      </c>
      <c r="J7" s="23" cm="1">
        <f t="array" ref="J7">INDEX(LINEST(Censal!D2:D13,Censal!C2:C13^{1,2,3,4,5,6},TRUE,TRUE),1,4)</f>
        <v>4.4939330094431948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INDEX(LINEST(Censal!D2:D13,Censal!C2:C13^{1,2,3,4},TRUE,TRUE),1,5)</f>
        <v>-25329325906.513863</v>
      </c>
      <c r="I8" s="23" cm="1">
        <f t="array" ref="I8">INDEX(LINEST(Censal!D2:D13,Censal!C2:C13^{1,2,3,4,5},TRUE,TRUE),1,5)</f>
        <v>0</v>
      </c>
      <c r="J8" s="23" cm="1">
        <f t="array" ref="J8">INDEX(LINEST(Censal!D2:D13,Censal!C2:C13^{1,2,3,4,5,6},TRUE,TRUE),1,5)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INDEX(LINEST(Censal!D2:D13,Censal!C2:C13^{1,2,3,4,5},TRUE,TRUE),1,6)</f>
        <v>-5081626218.396244</v>
      </c>
      <c r="J9" s="23" cm="1">
        <f t="array" ref="J9">INDEX(LINEST(Censal!D2:D13,Censal!C2:C13^{1,2,3,4,5,6},TRUE,TRUE),1,6)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INDEX(LINEST(Censal!D2:D13,Censal!C2:C13^{1,2,3,4,5,6},TRUE,TRUE),1,7)</f>
        <v>-1696184792.9391632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INDEX(LINEST(Censal!D2:D13,Censal!C2:C13^{1},TRUE,TRUE),3,1)</f>
        <v>0.88230341236863707</v>
      </c>
      <c r="F11" s="27" cm="1">
        <f t="array" ref="F11">INDEX(LINEST(Censal!D2:D13,Censal!C2:C13^{1,2},TRUE,TRUE),3,1)</f>
        <v>0.99488070541534346</v>
      </c>
      <c r="G11" s="27" cm="1">
        <f t="array" ref="G11">INDEX(LINEST(Censal!D2:D13,Censal!C2:C13^{1,2,3},TRUE,TRUE),3,1)</f>
        <v>0.99521662520047427</v>
      </c>
      <c r="H11" s="27" cm="1">
        <f t="array" ref="H11">INDEX(LINEST(Censal!D2:D13,Censal!C2:C13^{1,2,3,4},TRUE,TRUE),3,1)</f>
        <v>0.99666323610445851</v>
      </c>
      <c r="I11" s="27" cm="1">
        <f t="array" ref="I11">INDEX(LINEST(Censal!D2:D13,Censal!C2:C13^{1,2,3,4,5},TRUE,TRUE),3,1)</f>
        <v>0.99666727899912833</v>
      </c>
      <c r="J11" s="27" cm="1">
        <f t="array" ref="J11">INDEX(LINEST(Censal!D2:D13,Censal!C2:C13^{1,2,3,4,5,6},TRUE,TRUE),3,1)</f>
        <v>0.99667111574430856</v>
      </c>
      <c r="K11" s="27" cm="1">
        <f t="array" ref="K11">INDEX(LINEST(Censal!D2:D13,LN(Censal!C2:C13)^{1},TRUE,TRUE),3,1)</f>
        <v>0.87697001052459311</v>
      </c>
      <c r="L11" s="27" cm="1">
        <f t="array" ref="L11">INDEX(LINEST(LOG(Censal!D2:D13),LOG(Censal!C2:C13)^{1},TRUE,TRUE),3,1)</f>
        <v>0.98919296367239717</v>
      </c>
      <c r="M11" s="28" cm="1">
        <f t="array" ref="M11">INDEX(LINEST(LN(Censal!D2:D13),Censal!C2:C13^{1},TRUE,TRUE),3,1)</f>
        <v>0.98965462686572325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/>
      </c>
      <c r="H12" s="30" t="str">
        <f t="shared" si="0"/>
        <v/>
      </c>
      <c r="I12" s="30" t="str">
        <f t="shared" si="0"/>
        <v/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4"/>
      <c r="C13" s="75"/>
      <c r="D13" s="55" t="s">
        <v>59</v>
      </c>
      <c r="E13" s="57"/>
      <c r="F13" s="57"/>
      <c r="G13" s="57"/>
      <c r="H13" s="57" t="s">
        <v>60</v>
      </c>
      <c r="I13" s="57" t="s">
        <v>60</v>
      </c>
      <c r="J13" s="57" t="s">
        <v>60</v>
      </c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/>
      <c r="F14" s="21" t="s">
        <v>25</v>
      </c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71</v>
      </c>
    </row>
    <row r="17" spans="2:13" x14ac:dyDescent="0.4">
      <c r="B17" s="2" t="s">
        <v>26</v>
      </c>
      <c r="C17" s="20">
        <v>5</v>
      </c>
      <c r="D17" s="2" t="s">
        <v>72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56" t="s">
        <v>66</v>
      </c>
      <c r="C19" s="7" t="str">
        <f>Censal!$B$2</f>
        <v>Municipio</v>
      </c>
      <c r="D19" s="7">
        <f>MAX(Censal!C2:C103)+1</f>
        <v>2019</v>
      </c>
      <c r="E19" s="3">
        <f>ROUND($E$4*$D19+$E$5,0)</f>
        <v>108057</v>
      </c>
      <c r="F19" s="3">
        <f>ROUND($F$4*$D19^2+$F$5*$D19+$F$6,0)</f>
        <v>127918</v>
      </c>
      <c r="G19" s="3">
        <f>ROUND($G$4*$D19^3+$G$5*$D19^2+$G$6*$D19+$G$7,0)</f>
        <v>128902</v>
      </c>
      <c r="H19" s="3">
        <f>ROUND($H$4*$D19^4+$H$5*$D19^3+$H$6*$D19^2+$H$7*$D19+$H$8,0)</f>
        <v>127108</v>
      </c>
      <c r="I19" s="3">
        <f>ROUND($I$4*$D19^5+$I$5*$D19^4+$I$6*$D19^3+$I$7*$D19^2+$I$8*$D19+$I$9,0)</f>
        <v>127087</v>
      </c>
      <c r="J19" s="3">
        <f>ROUND($J$4*$D19^6+$J$5*$D19^5+$J$6*$D19^4+$J$7*$D19^3+$J$8*$D19^2+$J$9*$D19+$J$10,0)</f>
        <v>127066</v>
      </c>
      <c r="K19" s="3">
        <f>ROUND($K$4*LN(D19)+$K$5,0)</f>
        <v>107439</v>
      </c>
      <c r="L19" s="3">
        <f>ROUND(10^$L$5*$D19^$L$4,0)</f>
        <v>135311</v>
      </c>
      <c r="M19" s="4">
        <f>ROUND($M$5*EXP($M$4*$D19),0)</f>
        <v>136886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113646</v>
      </c>
      <c r="F20" s="3">
        <f>ROUND($F$4*$D20^2+$F$5*$D20+$F$6,0)</f>
        <v>140346</v>
      </c>
      <c r="G20" s="3">
        <f>ROUND($G$4*$D20^3+$G$5*$D20^2+$G$6*$D20+$G$7,0)</f>
        <v>142142</v>
      </c>
      <c r="H20" s="3">
        <f t="shared" ref="H20:H29" si="4">ROUND($H$4*$D20^4+$H$5*$D20^3+$H$6*$D20^2+$H$7*$D20+$H$8,0)</f>
        <v>136758</v>
      </c>
      <c r="I20" s="3">
        <f t="shared" ref="I20:I29" si="5">ROUND($I$4*$D20^5+$I$5*$D20^4+$I$6*$D20^3+$I$7*$D20^2+$I$8*$D20+$I$9,0)</f>
        <v>136659</v>
      </c>
      <c r="J20" s="3">
        <f t="shared" ref="J20:J29" si="6">ROUND($J$4*$D20^6+$J$5*$D20^5+$J$6*$D20^4+$J$7*$D20^3+$J$8*$D20^2+$J$9*$D20+$J$10,0)</f>
        <v>136558</v>
      </c>
      <c r="K20" s="3">
        <f t="shared" ref="K20:K29" si="7">ROUND($K$4*LN(D20)+$K$5,0)</f>
        <v>112854</v>
      </c>
      <c r="L20" s="3">
        <f t="shared" ref="L20:L29" si="8">ROUND(10^$L$5*$D20^$L$4,0)</f>
        <v>154446</v>
      </c>
      <c r="M20" s="4">
        <f t="shared" ref="M20:M29" si="9">ROUND($M$5*EXP($M$4*$D20),0)</f>
        <v>156847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119235</v>
      </c>
      <c r="F21" s="3">
        <f t="shared" ref="F21:F29" si="11">ROUND($F$4*$D21^2+$F$5*$D21+$F$6,0)</f>
        <v>153383</v>
      </c>
      <c r="G21" s="3">
        <f>ROUND($G$4*$D21^3+$G$5*$D21^2+$G$6*$D21+$G$7,0)</f>
        <v>156177</v>
      </c>
      <c r="H21" s="3">
        <f t="shared" si="4"/>
        <v>145577</v>
      </c>
      <c r="I21" s="3">
        <f t="shared" si="5"/>
        <v>145345</v>
      </c>
      <c r="J21" s="3">
        <f t="shared" si="6"/>
        <v>145108</v>
      </c>
      <c r="K21" s="3">
        <f t="shared" si="7"/>
        <v>118257</v>
      </c>
      <c r="L21" s="3">
        <f t="shared" si="8"/>
        <v>176229</v>
      </c>
      <c r="M21" s="4">
        <f t="shared" si="9"/>
        <v>179718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124824</v>
      </c>
      <c r="F22" s="3">
        <f>ROUND($F$4*$D22^2+$F$5*$D22+$F$6,0)</f>
        <v>167026</v>
      </c>
      <c r="G22" s="3">
        <f>ROUND($G$4*$D22^3+$G$5*$D22^2+$G$6*$D22+$G$7,0)</f>
        <v>171024</v>
      </c>
      <c r="H22" s="3">
        <f t="shared" si="4"/>
        <v>153256</v>
      </c>
      <c r="I22" s="3">
        <f t="shared" si="5"/>
        <v>152816</v>
      </c>
      <c r="J22" s="3">
        <f t="shared" si="6"/>
        <v>152365</v>
      </c>
      <c r="K22" s="3">
        <f t="shared" si="7"/>
        <v>123646</v>
      </c>
      <c r="L22" s="3">
        <f t="shared" si="8"/>
        <v>201019</v>
      </c>
      <c r="M22" s="4">
        <f t="shared" si="9"/>
        <v>205925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130413</v>
      </c>
      <c r="F23" s="3">
        <f>ROUND($F$4*$D23^2+$F$5*$D23+$F$6,0)</f>
        <v>181278</v>
      </c>
      <c r="G23" s="3">
        <f t="shared" ref="G23:G29" si="12">ROUND($G$4*$D23^3+$G$5*$D23^2+$G$6*$D23+$G$7,0)</f>
        <v>186698</v>
      </c>
      <c r="H23" s="3">
        <f t="shared" si="4"/>
        <v>159460</v>
      </c>
      <c r="I23" s="3">
        <f t="shared" si="5"/>
        <v>158714</v>
      </c>
      <c r="J23" s="3">
        <f t="shared" si="6"/>
        <v>157947</v>
      </c>
      <c r="K23" s="3">
        <f t="shared" si="7"/>
        <v>129021</v>
      </c>
      <c r="L23" s="3">
        <f t="shared" si="8"/>
        <v>229222</v>
      </c>
      <c r="M23" s="4">
        <f t="shared" si="9"/>
        <v>235953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136002</v>
      </c>
      <c r="F24" s="3">
        <f t="shared" si="11"/>
        <v>196136</v>
      </c>
      <c r="G24" s="3">
        <f t="shared" si="12"/>
        <v>203215</v>
      </c>
      <c r="H24" s="3">
        <f t="shared" si="4"/>
        <v>163828</v>
      </c>
      <c r="I24" s="3">
        <f t="shared" si="5"/>
        <v>162651</v>
      </c>
      <c r="J24" s="3">
        <f t="shared" si="6"/>
        <v>161440</v>
      </c>
      <c r="K24" s="3">
        <f t="shared" si="7"/>
        <v>134384</v>
      </c>
      <c r="L24" s="3">
        <f t="shared" si="8"/>
        <v>261299</v>
      </c>
      <c r="M24" s="4">
        <f t="shared" si="9"/>
        <v>270359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141591</v>
      </c>
      <c r="F25" s="3">
        <f t="shared" si="11"/>
        <v>211602</v>
      </c>
      <c r="G25" s="3">
        <f t="shared" si="12"/>
        <v>220589</v>
      </c>
      <c r="H25" s="3">
        <f t="shared" si="4"/>
        <v>165974</v>
      </c>
      <c r="I25" s="3">
        <f t="shared" si="5"/>
        <v>164213</v>
      </c>
      <c r="J25" s="3">
        <f t="shared" si="6"/>
        <v>162395</v>
      </c>
      <c r="K25" s="3">
        <f t="shared" si="7"/>
        <v>139733</v>
      </c>
      <c r="L25" s="3">
        <f t="shared" si="8"/>
        <v>297768</v>
      </c>
      <c r="M25" s="4">
        <f t="shared" si="9"/>
        <v>309783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147180</v>
      </c>
      <c r="F26" s="3">
        <f t="shared" si="11"/>
        <v>227676</v>
      </c>
      <c r="G26" s="3">
        <f t="shared" si="12"/>
        <v>238837</v>
      </c>
      <c r="H26" s="3">
        <f t="shared" si="4"/>
        <v>165486</v>
      </c>
      <c r="I26" s="3">
        <f t="shared" si="5"/>
        <v>162951</v>
      </c>
      <c r="J26" s="3">
        <f t="shared" si="6"/>
        <v>160328</v>
      </c>
      <c r="K26" s="3">
        <f t="shared" si="7"/>
        <v>145070</v>
      </c>
      <c r="L26" s="3">
        <f t="shared" si="8"/>
        <v>339220</v>
      </c>
      <c r="M26" s="4">
        <f t="shared" si="9"/>
        <v>354956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152769</v>
      </c>
      <c r="F27" s="3">
        <f t="shared" si="11"/>
        <v>244356</v>
      </c>
      <c r="G27" s="3">
        <f t="shared" si="12"/>
        <v>257974</v>
      </c>
      <c r="H27" s="3">
        <f t="shared" si="4"/>
        <v>161927</v>
      </c>
      <c r="I27" s="3">
        <f t="shared" si="5"/>
        <v>158390</v>
      </c>
      <c r="J27" s="3">
        <f t="shared" si="6"/>
        <v>154720</v>
      </c>
      <c r="K27" s="3">
        <f t="shared" si="7"/>
        <v>150393</v>
      </c>
      <c r="L27" s="3">
        <f t="shared" si="8"/>
        <v>386319</v>
      </c>
      <c r="M27" s="4">
        <f t="shared" si="9"/>
        <v>406716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158358</v>
      </c>
      <c r="F28" s="3">
        <f t="shared" si="11"/>
        <v>261645</v>
      </c>
      <c r="G28" s="3">
        <f t="shared" si="12"/>
        <v>278015</v>
      </c>
      <c r="H28" s="3">
        <f t="shared" si="4"/>
        <v>154835</v>
      </c>
      <c r="I28" s="3">
        <f t="shared" si="5"/>
        <v>150023</v>
      </c>
      <c r="J28" s="3">
        <f t="shared" si="6"/>
        <v>145018</v>
      </c>
      <c r="K28" s="3">
        <f t="shared" si="7"/>
        <v>155704</v>
      </c>
      <c r="L28" s="3">
        <f t="shared" si="8"/>
        <v>439820</v>
      </c>
      <c r="M28" s="4">
        <f t="shared" si="9"/>
        <v>466023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163947</v>
      </c>
      <c r="F29" s="5">
        <f t="shared" si="11"/>
        <v>279540</v>
      </c>
      <c r="G29" s="5">
        <f t="shared" si="12"/>
        <v>298976</v>
      </c>
      <c r="H29" s="5">
        <f t="shared" si="4"/>
        <v>143721</v>
      </c>
      <c r="I29" s="5">
        <f t="shared" si="5"/>
        <v>137312</v>
      </c>
      <c r="J29" s="5">
        <f t="shared" si="6"/>
        <v>130632</v>
      </c>
      <c r="K29" s="5">
        <f t="shared" si="7"/>
        <v>161001</v>
      </c>
      <c r="L29" s="5">
        <f t="shared" si="8"/>
        <v>500572</v>
      </c>
      <c r="M29" s="6">
        <f t="shared" si="9"/>
        <v>533979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3"/>
    </row>
    <row r="34" spans="2:4" x14ac:dyDescent="0.4">
      <c r="B34" s="2" t="str">
        <f>_xlfn.CONCAT(Censal!A2," - Población censal municipal")</f>
        <v>DANE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45" zoomScaleNormal="145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Censal!A13</f>
        <v>DANE</v>
      </c>
      <c r="B12" s="2" t="str">
        <f>Censal!B13</f>
        <v>Municipio</v>
      </c>
      <c r="C12" s="2">
        <f>Censal!C13</f>
        <v>2018</v>
      </c>
      <c r="D12" s="2">
        <f>Censal!D13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127918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140346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153383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167026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181278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196136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211602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227676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244356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261645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279540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2024-06-27T21:38:49Z</dcterms:modified>
</cp:coreProperties>
</file>