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45ED2F57-7284-4BC3-8927-2B11C27C3E76}" xr6:coauthVersionLast="47" xr6:coauthVersionMax="47" xr10:uidLastSave="{00000000-0000-0000-0000-000000000000}"/>
  <bookViews>
    <workbookView xWindow="-103" yWindow="-103" windowWidth="26537" windowHeight="15943" tabRatio="769" activeTab="3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<sst xmlns="http://schemas.openxmlformats.org/spreadsheetml/2006/main" count="83" uniqueCount="73">
  <si>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</si>
  <si>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</si>
  <si>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</si>
  <si>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</si>
  <si>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</si>
  <si>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</si>
  <si>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</si>
  <si>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</si>
  <si>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</si>
  <si>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</si>
  <si>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</si>
  <si>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</si>
  <si>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</si>
  <si>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</si>
  <si>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</si>
  <si>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</si>
  <si>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</si>
  <si>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</si>
  <si>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</si>
  <si>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</si>
  <si>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</si>
  <si>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</si>
  <si>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</si>
  <si>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</si>
  <si>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</si>
  <si>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</si>
  <si>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</si>
  <si>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</si>
  <si>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</si>
  <si>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</si>
  <si>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</si>
  <si>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</si>
  <si>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</si>
  <si>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</si>
  <si>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</si>
  <si>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</si>
  <si>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</si>
  <si>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</si>
  <si>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</si>
  <si>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</si>
  <si>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</si>
  <si>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</si>
  <si>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</si>
  <si>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</si>
  <si>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</si>
  <si>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</si>
  <si>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</si>
  <si>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</si>
  <si>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</si>
  <si>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</si>
  <si>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</si>
  <si>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</si>
  <si>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</si>
  <si>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</si>
  <si>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</si>
  <si>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</si>
  <si>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</si>
  <si>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</si>
  <si>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</si>
  <si>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</si>
  <si>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</si>
  <si>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</si>
  <si>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</si>
  <si>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</si>
  <si>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</si>
  <si>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</si>
  <si>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</si>
  <si>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</si>
  <si>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</si>
  <si>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</si>
  <si>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</si>
  <si>
    <t>Análisis de tendencias</t>
  </si>
  <si>
    <t>Proyección de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</si>
</sst>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72417260252E-2"/>
          <c:y val="6.7324885638903584E-2"/>
          <c:w val="0.88019508632967225"/>
          <c:h val="0.81942890254509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noFill/>
              <a:headEnd type="none" w="sm" len="sm"/>
              <a:tailEnd type="none" w="sm" len="sm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cat>
          <c: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63400352"/>
        <c:axId val="663400832"/>
      </c:barChart>
      <c:cat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auto val="1"/>
        <c:lblAlgn val="ctr"/>
        <c:lblOffset val="100"/>
        <c:noMultiLvlLbl val="0"/>
      </c:cat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6.6414813904403708E-2"/>
          <c:h val="4.931699610195655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2257135476540377E-2"/>
                  <c:y val="-5.22919280555968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D12" sqref="D12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38</v>
      </c>
      <c r="F1" s="10" t="s">
        <v>39</v>
      </c>
      <c r="G1" s="10" t="s">
        <v>29</v>
      </c>
      <c r="H1" s="10" t="s">
        <v>30</v>
      </c>
      <c r="I1" s="10" t="s">
        <v>31</v>
      </c>
      <c r="J1" s="10" t="s">
        <v>62</v>
      </c>
      <c r="K1" s="10" t="s">
        <v>68</v>
      </c>
      <c r="L1" s="10" t="s">
        <v>34</v>
      </c>
      <c r="M1" s="10" t="s">
        <v>32</v>
      </c>
      <c r="N1" s="10" t="s">
        <v>33</v>
      </c>
      <c r="O1" s="10" t="s">
        <v>63</v>
      </c>
      <c r="P1" s="10" t="s">
        <v>69</v>
      </c>
      <c r="Q1" s="10" t="s">
        <v>35</v>
      </c>
      <c r="R1" s="10" t="s">
        <v>36</v>
      </c>
      <c r="S1" s="10" t="s">
        <v>37</v>
      </c>
      <c r="T1" s="10" t="s">
        <v>64</v>
      </c>
      <c r="U1" s="10" t="s">
        <v>70</v>
      </c>
    </row>
    <row r="2" spans="1:21" x14ac:dyDescent="0.4">
      <c r="A2" s="9" t="s">
        <v>66</v>
      </c>
      <c r="B2" s="9" t="s">
        <v>14</v>
      </c>
      <c r="C2" s="9">
        <v>1905</v>
      </c>
      <c r="D2" s="9">
        <v>7108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4">
      <c r="A3" s="11" t="str">
        <f>$A$2</f>
        <v>DANE</v>
      </c>
      <c r="B3" s="11" t="str">
        <f>$B$2</f>
        <v>Municipio</v>
      </c>
      <c r="C3" s="9">
        <v>1928</v>
      </c>
      <c r="D3" s="9">
        <v>11480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4">
      <c r="A4" s="11" t="str">
        <f t="shared" ref="A4:A12" si="0">$A$2</f>
        <v>DANE</v>
      </c>
      <c r="B4" s="11" t="str">
        <f t="shared" ref="B4:B12" si="1">$B$2</f>
        <v>Municipio</v>
      </c>
      <c r="C4" s="9">
        <v>1938</v>
      </c>
      <c r="D4" s="9">
        <v>12273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4">
      <c r="A5" s="11" t="str">
        <f t="shared" si="0"/>
        <v>DANE</v>
      </c>
      <c r="B5" s="11" t="str">
        <f t="shared" si="1"/>
        <v>Municipio</v>
      </c>
      <c r="C5" s="9">
        <v>1951</v>
      </c>
      <c r="D5" s="9">
        <v>20628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4">
      <c r="A6" s="11" t="str">
        <f t="shared" si="0"/>
        <v>DANE</v>
      </c>
      <c r="B6" s="11" t="str">
        <f t="shared" si="1"/>
        <v>Municipio</v>
      </c>
      <c r="C6" s="9">
        <v>1964</v>
      </c>
      <c r="D6" s="9">
        <v>27775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4">
      <c r="A7" s="11" t="str">
        <f t="shared" si="0"/>
        <v>DANE</v>
      </c>
      <c r="B7" s="11" t="str">
        <f t="shared" si="1"/>
        <v>Municipio</v>
      </c>
      <c r="C7" s="9">
        <v>1973</v>
      </c>
      <c r="D7" s="9">
        <v>39836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4">
      <c r="A8" s="11" t="str">
        <f t="shared" si="0"/>
        <v>DANE</v>
      </c>
      <c r="B8" s="11" t="str">
        <f t="shared" si="1"/>
        <v>Municipio</v>
      </c>
      <c r="C8" s="9">
        <v>1985</v>
      </c>
      <c r="D8" s="9">
        <v>60202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4">
      <c r="A9" s="11" t="str">
        <f t="shared" si="0"/>
        <v>DANE</v>
      </c>
      <c r="B9" s="11" t="str">
        <f t="shared" si="1"/>
        <v>Municipio</v>
      </c>
      <c r="C9" s="9">
        <v>1993</v>
      </c>
      <c r="D9" s="9">
        <v>69695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4">
      <c r="A10" s="11" t="str">
        <f t="shared" si="0"/>
        <v>DANE</v>
      </c>
      <c r="B10" s="11" t="str">
        <f t="shared" si="1"/>
        <v>Municipio</v>
      </c>
      <c r="C10" s="9">
        <v>1995</v>
      </c>
      <c r="D10" s="9">
        <v>78923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4">
      <c r="A11" s="11" t="str">
        <f t="shared" si="0"/>
        <v>DANE</v>
      </c>
      <c r="B11" s="11" t="str">
        <f t="shared" si="1"/>
        <v>Municipio</v>
      </c>
      <c r="C11" s="9">
        <v>2005</v>
      </c>
      <c r="D11" s="9">
        <v>100038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4">
      <c r="A12" s="11" t="str">
        <f t="shared" si="0"/>
        <v>DANE</v>
      </c>
      <c r="B12" s="11" t="str">
        <f t="shared" si="1"/>
        <v>Municipio</v>
      </c>
      <c r="C12" s="9">
        <v>2018</v>
      </c>
      <c r="D12" s="9">
        <v>128968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4">
      <c r="A13" s="1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4">
      <c r="A14" s="11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3:21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3:21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3:21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3:21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3:21" x14ac:dyDescent="0.4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3:21" x14ac:dyDescent="0.4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3:21" x14ac:dyDescent="0.4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3:21" x14ac:dyDescent="0.4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3:21" x14ac:dyDescent="0.4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0" t="s">
        <v>55</v>
      </c>
      <c r="C2" s="60"/>
      <c r="D2" s="60"/>
      <c r="E2" s="60"/>
      <c r="F2" s="60"/>
      <c r="G2" s="60"/>
    </row>
    <row r="4" spans="2:7" ht="23.15" x14ac:dyDescent="0.4">
      <c r="B4" s="45" t="s">
        <v>41</v>
      </c>
      <c r="C4" s="32">
        <v>342</v>
      </c>
      <c r="D4" s="33"/>
      <c r="E4" s="33"/>
      <c r="F4" s="34">
        <v>976</v>
      </c>
      <c r="G4" s="44" t="s">
        <v>43</v>
      </c>
    </row>
    <row r="5" spans="2:7" ht="18" x14ac:dyDescent="0.4">
      <c r="B5" s="45"/>
      <c r="C5" s="61" t="s">
        <v>46</v>
      </c>
      <c r="D5" s="62"/>
      <c r="E5" s="62"/>
      <c r="F5" s="63"/>
    </row>
    <row r="6" spans="2:7" ht="26.6" x14ac:dyDescent="0.4">
      <c r="B6" s="45"/>
      <c r="C6" s="35"/>
      <c r="D6" s="59">
        <v>128968</v>
      </c>
      <c r="E6" s="59"/>
      <c r="F6" s="36"/>
    </row>
    <row r="7" spans="2:7" ht="23.15" x14ac:dyDescent="0.4">
      <c r="B7" s="45" t="s">
        <v>42</v>
      </c>
      <c r="C7" s="37">
        <v>64</v>
      </c>
      <c r="D7" s="38"/>
      <c r="E7" s="38"/>
      <c r="F7" s="39">
        <v>342</v>
      </c>
      <c r="G7" s="44" t="s">
        <v>44</v>
      </c>
    </row>
    <row r="8" spans="2:7" ht="21" x14ac:dyDescent="0.4">
      <c r="B8" s="45"/>
      <c r="C8" s="46" t="s">
        <v>40</v>
      </c>
      <c r="D8" s="46"/>
      <c r="E8" s="46"/>
      <c r="F8" s="46" t="s">
        <v>40</v>
      </c>
    </row>
    <row r="9" spans="2:7" ht="34.299999999999997" x14ac:dyDescent="0.4">
      <c r="B9" s="43" t="s">
        <v>59</v>
      </c>
      <c r="C9" s="41">
        <f>C4-C7</f>
        <v>278</v>
      </c>
      <c r="F9" s="40">
        <f>F4-F7</f>
        <v>634</v>
      </c>
      <c r="G9" s="42" t="s">
        <v>58</v>
      </c>
    </row>
    <row r="10" spans="2:7" ht="21" x14ac:dyDescent="0.4">
      <c r="C10" s="46" t="s">
        <v>40</v>
      </c>
      <c r="D10" s="46"/>
      <c r="E10" s="46"/>
      <c r="F10" s="46" t="s">
        <v>40</v>
      </c>
    </row>
    <row r="11" spans="2:7" x14ac:dyDescent="0.4">
      <c r="C11" s="64" t="s">
        <v>45</v>
      </c>
      <c r="D11" s="65"/>
      <c r="E11" s="65"/>
      <c r="F11" s="66"/>
    </row>
    <row r="12" spans="2:7" ht="23.15" x14ac:dyDescent="0.4">
      <c r="C12" s="56">
        <f>C9+F9</f>
        <v>912</v>
      </c>
      <c r="D12" s="57"/>
      <c r="E12" s="57"/>
      <c r="F12" s="58"/>
    </row>
    <row r="13" spans="2:7" ht="21" x14ac:dyDescent="0.4">
      <c r="C13" s="46" t="s">
        <v>40</v>
      </c>
      <c r="D13" s="46"/>
      <c r="E13" s="46"/>
      <c r="F13" s="46" t="s">
        <v>40</v>
      </c>
    </row>
    <row r="14" spans="2:7" ht="36" x14ac:dyDescent="0.4">
      <c r="B14" s="48" t="s">
        <v>56</v>
      </c>
      <c r="C14" s="49">
        <f>D6+C12</f>
        <v>129880</v>
      </c>
      <c r="F14" s="50">
        <f>(D6+C14)/2</f>
        <v>129424</v>
      </c>
      <c r="G14" s="47" t="s">
        <v>57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48</v>
      </c>
      <c r="C16" s="54"/>
      <c r="D16" s="54"/>
      <c r="E16" s="54"/>
      <c r="F16" s="54"/>
    </row>
    <row r="17" spans="2:7" s="51" customFormat="1" ht="14.6" x14ac:dyDescent="0.4">
      <c r="B17" s="55" t="s">
        <v>47</v>
      </c>
      <c r="C17" s="55"/>
      <c r="D17" s="55"/>
      <c r="E17" s="55"/>
      <c r="F17" s="55"/>
      <c r="G17" s="52">
        <f>(C12/F14)*1000</f>
        <v>7.0466065026579301</v>
      </c>
    </row>
    <row r="18" spans="2:7" s="51" customFormat="1" ht="14.6" x14ac:dyDescent="0.4">
      <c r="B18" s="55" t="s">
        <v>50</v>
      </c>
      <c r="C18" s="55"/>
      <c r="D18" s="55"/>
      <c r="E18" s="55"/>
      <c r="F18" s="55"/>
      <c r="G18" s="52">
        <f>(C4/F14)*1000</f>
        <v>2.6424774384967242</v>
      </c>
    </row>
    <row r="19" spans="2:7" s="51" customFormat="1" ht="14.6" x14ac:dyDescent="0.4">
      <c r="B19" s="55" t="s">
        <v>51</v>
      </c>
      <c r="C19" s="55"/>
      <c r="D19" s="55"/>
      <c r="E19" s="55"/>
      <c r="F19" s="55"/>
      <c r="G19" s="52">
        <f>(C7/F14)*1000</f>
        <v>0.49449870194090745</v>
      </c>
    </row>
    <row r="20" spans="2:7" s="51" customFormat="1" ht="14.6" x14ac:dyDescent="0.4">
      <c r="B20" s="55" t="s">
        <v>49</v>
      </c>
      <c r="C20" s="55"/>
      <c r="D20" s="55"/>
      <c r="E20" s="55"/>
      <c r="F20" s="55"/>
      <c r="G20" s="52">
        <f>G18-G19</f>
        <v>2.1479787365558169</v>
      </c>
    </row>
    <row r="21" spans="2:7" x14ac:dyDescent="0.4">
      <c r="B21" s="55" t="s">
        <v>52</v>
      </c>
      <c r="C21" s="55"/>
      <c r="D21" s="55"/>
      <c r="E21" s="55"/>
      <c r="F21" s="55"/>
      <c r="G21" s="52">
        <f>(F4/F14)*1000</f>
        <v>7.5411052045988383</v>
      </c>
    </row>
    <row r="22" spans="2:7" ht="17.149999999999999" customHeight="1" x14ac:dyDescent="0.4">
      <c r="B22" s="55" t="s">
        <v>53</v>
      </c>
      <c r="C22" s="55"/>
      <c r="D22" s="55"/>
      <c r="E22" s="55"/>
      <c r="F22" s="55"/>
      <c r="G22" s="52">
        <f>(F7/F14)*1000</f>
        <v>2.6424774384967242</v>
      </c>
    </row>
    <row r="23" spans="2:7" x14ac:dyDescent="0.4">
      <c r="B23" s="55" t="s">
        <v>54</v>
      </c>
      <c r="C23" s="55"/>
      <c r="D23" s="55"/>
      <c r="E23" s="55"/>
      <c r="F23" s="55"/>
      <c r="G23" s="52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abSelected="1" zoomScale="145" zoomScaleNormal="145" workbookViewId="0">
      <selection activeCell="E13" sqref="E13:M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71</v>
      </c>
    </row>
    <row r="3" spans="2:13" s="1" customFormat="1" ht="34.299999999999997" x14ac:dyDescent="0.4">
      <c r="B3" s="67" t="s">
        <v>28</v>
      </c>
      <c r="C3" s="68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69"/>
      <c r="C4" s="70"/>
      <c r="D4" s="25" t="s">
        <v>16</v>
      </c>
      <c r="E4" s="23" cm="1">
        <f t="array" ref="E4">INDEX(LINEST(Censal!D2:D12,Censal!C2:C12^{1},TRUE,TRUE),1,1)</f>
        <v>1068.8896078952812</v>
      </c>
      <c r="F4" s="23" cm="1">
        <f t="array" ref="F4">INDEX(LINEST(Censal!D2:D12,Censal!C2:C12^{1,2},TRUE,TRUE),1,1)</f>
        <v>12.827695953202175</v>
      </c>
      <c r="G4" s="23" cm="1">
        <f t="array" ref="G4">INDEX(LINEST(Censal!D2:D12,Censal!C2:C12^{1,2,3},TRUE,TRUE),1,1)</f>
        <v>4.1196420263673511E-2</v>
      </c>
      <c r="H4" s="23" cm="1">
        <f t="array" ref="H4">INDEX(LINEST(Censal!D2:D12,Censal!C2:C12^{1,2,3,4},TRUE,TRUE),1,1)</f>
        <v>-1.3317519288416713E-3</v>
      </c>
      <c r="I4" s="23" cm="1">
        <f t="array" ref="I4">INDEX(LINEST(Censal!D2:D12,Censal!C2:C12^{1,2,3,4,5},TRUE,TRUE),1,1)</f>
        <v>-5.4869440845746627E-7</v>
      </c>
      <c r="J4" s="23" cm="1">
        <f t="array" ref="J4">INDEX(LINEST(Censal!D2:D12,Censal!C2:C12^{1,2,3,4,5,6},TRUE,TRUE),1,1)</f>
        <v>-2.3515680300377886E-10</v>
      </c>
      <c r="K4" s="23" cm="1">
        <f t="array" ref="K4">INDEX(LINEST(Censal!D2:D12,LN(Censal!C2:C12)^{1},TRUE,TRUE),1,1)</f>
        <v>2090260.705442871</v>
      </c>
      <c r="L4" s="23" cm="1">
        <f t="array" ref="L4">INDEX(LINEST(LOG(Censal!D2:D12),LOG(Censal!C2:C12)^{1},TRUE,TRUE),1,1)</f>
        <v>54.099004455533894</v>
      </c>
      <c r="M4" s="24" cm="1">
        <f t="array" ref="M4">INDEX(LINEST(LN(Censal!D2:D12),Censal!C2:C12^{1},TRUE,TRUE),1,1)</f>
        <v>2.7584744345047776E-2</v>
      </c>
    </row>
    <row r="5" spans="2:13" x14ac:dyDescent="0.4">
      <c r="B5" s="69"/>
      <c r="C5" s="70"/>
      <c r="D5" s="25" t="s">
        <v>17</v>
      </c>
      <c r="E5" s="23" cm="1">
        <f t="array" ref="E5">INDEX(LINEST(Censal!D2:D12,Censal!C2:C12^{1},TRUE,TRUE),1,2)</f>
        <v>-2053625.3144520286</v>
      </c>
      <c r="F5" s="23" cm="1">
        <f t="array" ref="F5">INDEX(LINEST(Censal!D2:D12,Censal!C2:C12^{1,2},TRUE,TRUE),1,2)</f>
        <v>-49277.224406103138</v>
      </c>
      <c r="G5" s="23" cm="1">
        <f t="array" ref="G5">INDEX(LINEST(Censal!D2:D12,Censal!C2:C12^{1,2,3},TRUE,TRUE),1,2)</f>
        <v>-229.6068571495656</v>
      </c>
      <c r="H5" s="23" cm="1">
        <f t="array" ref="H5">INDEX(LINEST(Censal!D2:D12,Censal!C2:C12^{1,2,3,4},TRUE,TRUE),1,2)</f>
        <v>10.494779416960904</v>
      </c>
      <c r="I5" s="23" cm="1">
        <f t="array" ref="I5">INDEX(LINEST(Censal!D2:D12,Censal!C2:C12^{1,2,3,4,5},TRUE,TRUE),1,2)</f>
        <v>4.052156618122936E-3</v>
      </c>
      <c r="J5" s="23" cm="1">
        <f t="array" ref="J5">INDEX(LINEST(Censal!D2:D12,Censal!C2:C12^{1,2,3,4,5,6},TRUE,TRUE),1,2)</f>
        <v>1.6665884942592321E-6</v>
      </c>
      <c r="K5" s="23" cm="1">
        <f t="array" ref="K5">INDEX(LINEST(Censal!D2:D12,LN(Censal!C2:C12)^{1},TRUE,TRUE),1,2)</f>
        <v>-15803896.203817612</v>
      </c>
      <c r="L5" s="23" cm="1">
        <f t="array" ref="L5">INDEX(LINEST(LOG(Censal!D2:D12),LOG(Censal!C2:C12)^{1},TRUE,TRUE),1,2)</f>
        <v>-173.66315036251618</v>
      </c>
      <c r="M5" s="24" cm="1">
        <f t="array" ref="M5">EXP(INDEX(LINEST(LN(Censal!D2:D12),Censal!C2:C12^{1},TRUE,TRUE),1,2))</f>
        <v>9.12948054592919E-20</v>
      </c>
    </row>
    <row r="6" spans="2:13" x14ac:dyDescent="0.4">
      <c r="B6" s="69"/>
      <c r="C6" s="70"/>
      <c r="D6" s="25" t="s">
        <v>18</v>
      </c>
      <c r="E6" s="23"/>
      <c r="F6" s="23" cm="1">
        <f t="array" ref="F6">INDEX(LINEST(Censal!D2:D12,Censal!C2:C12^{1,2},TRUE,TRUE),1,3)</f>
        <v>47331104.805852465</v>
      </c>
      <c r="G6" s="23" cm="1">
        <f t="array" ref="G6">INDEX(LINEST(Censal!D2:D12,Censal!C2:C12^{1,2,3},TRUE,TRUE),1,3)</f>
        <v>426194.70708042441</v>
      </c>
      <c r="H6" s="23" cm="1">
        <f t="array" ref="H6">INDEX(LINEST(Censal!D2:D12,Censal!C2:C12^{1,2,3,4},TRUE,TRUE),1,3)</f>
        <v>-30995.952634018417</v>
      </c>
      <c r="I6" s="23" cm="1">
        <f t="array" ref="I6">INDEX(LINEST(Censal!D2:D12,Censal!C2:C12^{1,2,3,4,5},TRUE,TRUE),1,3)</f>
        <v>-10.634250480639384</v>
      </c>
      <c r="J6" s="23" cm="1">
        <f t="array" ref="J6">INDEX(LINEST(Censal!D2:D12,Censal!C2:C12^{1,2,3,4,5,6},TRUE,TRUE),1,3)</f>
        <v>-4.0989321729005945E-3</v>
      </c>
      <c r="K6" s="23"/>
      <c r="L6" s="23"/>
      <c r="M6" s="24"/>
    </row>
    <row r="7" spans="2:13" x14ac:dyDescent="0.4">
      <c r="B7" s="69"/>
      <c r="C7" s="70"/>
      <c r="D7" s="25" t="s">
        <v>19</v>
      </c>
      <c r="E7" s="23"/>
      <c r="F7" s="23"/>
      <c r="G7" s="23" cm="1">
        <f t="array" ref="G7">INDEX(LINEST(Censal!D2:D12,Censal!C2:C12^{1,2,3},TRUE,TRUE),1,4)</f>
        <v>-263446852.65696484</v>
      </c>
      <c r="H7" s="23" cm="1">
        <f t="array" ref="H7">INDEX(LINEST(Censal!D2:D12,Censal!C2:C12^{1,2,3,4},TRUE,TRUE),1,4)</f>
        <v>40664680.265539721</v>
      </c>
      <c r="I7" s="23" cm="1">
        <f t="array" ref="I7">INDEX(LINEST(Censal!D2:D12,Censal!C2:C12^{1,2,3,4,5},TRUE,TRUE),1,4)</f>
        <v>10459.927419172162</v>
      </c>
      <c r="J7" s="23" cm="1">
        <f t="array" ref="J7">INDEX(LINEST(Censal!D2:D12,Censal!C2:C12^{1,2,3,4,5,6},TRUE,TRUE),1,4)</f>
        <v>3.5825851027397562</v>
      </c>
      <c r="K7" s="23"/>
      <c r="L7" s="23"/>
      <c r="M7" s="24"/>
    </row>
    <row r="8" spans="2:13" x14ac:dyDescent="0.4">
      <c r="B8" s="69"/>
      <c r="C8" s="70"/>
      <c r="D8" s="25" t="s">
        <v>20</v>
      </c>
      <c r="E8" s="23"/>
      <c r="F8" s="23"/>
      <c r="G8" s="23"/>
      <c r="H8" s="23" cm="1">
        <f t="array" ref="H8">INDEX(LINEST(Censal!D2:D12,Censal!C2:C12^{1,2,3,4},TRUE,TRUE),1,5)</f>
        <v>-19995666520.400028</v>
      </c>
      <c r="I8" s="23" cm="1">
        <f t="array" ref="I8">INDEX(LINEST(Censal!D2:D12,Censal!C2:C12^{1,2,3,4,5},TRUE,TRUE),1,5)</f>
        <v>0</v>
      </c>
      <c r="J8" s="23" cm="1">
        <f t="array" ref="J8">INDEX(LINEST(Censal!D2:D12,Censal!C2:C12^{1,2,3,4,5,6},TRUE,TRUE),1,5)</f>
        <v>0</v>
      </c>
      <c r="K8" s="23"/>
      <c r="L8" s="23"/>
      <c r="M8" s="24"/>
    </row>
    <row r="9" spans="2:13" x14ac:dyDescent="0.4">
      <c r="B9" s="69"/>
      <c r="C9" s="70"/>
      <c r="D9" s="25" t="s">
        <v>21</v>
      </c>
      <c r="E9" s="23"/>
      <c r="F9" s="23"/>
      <c r="G9" s="23"/>
      <c r="H9" s="23"/>
      <c r="I9" s="23" cm="1">
        <f t="array" ref="I9">INDEX(LINEST(Censal!D2:D12,Censal!C2:C12^{1,2,3,4,5},TRUE,TRUE),1,6)</f>
        <v>-4041902688.4870014</v>
      </c>
      <c r="J9" s="23" cm="1">
        <f t="array" ref="J9">INDEX(LINEST(Censal!D2:D12,Censal!C2:C12^{1,2,3,4,5,6},TRUE,TRUE),1,6)</f>
        <v>0</v>
      </c>
      <c r="K9" s="23"/>
      <c r="L9" s="23"/>
      <c r="M9" s="24"/>
    </row>
    <row r="10" spans="2:13" x14ac:dyDescent="0.4">
      <c r="B10" s="69"/>
      <c r="C10" s="70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INDEX(LINEST(Censal!D2:D12,Censal!C2:C12^{1,2,3,4,5,6},TRUE,TRUE),1,7)</f>
        <v>-1358474503.5952225</v>
      </c>
      <c r="K10" s="23"/>
      <c r="L10" s="23"/>
      <c r="M10" s="24"/>
    </row>
    <row r="11" spans="2:13" x14ac:dyDescent="0.4">
      <c r="B11" s="69"/>
      <c r="C11" s="70"/>
      <c r="D11" s="26" t="s">
        <v>7</v>
      </c>
      <c r="E11" s="27" cm="1">
        <f t="array" ref="E11">INDEX(LINEST(Censal!D2:D12,Censal!C2:C12^{1},TRUE,TRUE),3,1)</f>
        <v>0.86416229902881492</v>
      </c>
      <c r="F11" s="27" cm="1">
        <f t="array" ref="F11">INDEX(LINEST(Censal!D2:D12,Censal!C2:C12^{1,2},TRUE,TRUE),3,1)</f>
        <v>0.99578169141706463</v>
      </c>
      <c r="G11" s="27" cm="1">
        <f t="array" ref="G11">INDEX(LINEST(Censal!D2:D12,Censal!C2:C12^{1,2,3},TRUE,TRUE),3,1)</f>
        <v>0.99727079529667062</v>
      </c>
      <c r="H11" s="27" cm="1">
        <f t="array" ref="H11">INDEX(LINEST(Censal!D2:D12,Censal!C2:C12^{1,2,3,4},TRUE,TRUE),3,1)</f>
        <v>0.99835031110587535</v>
      </c>
      <c r="I11" s="27" cm="1">
        <f t="array" ref="I11">INDEX(LINEST(Censal!D2:D12,Censal!C2:C12^{1,2,3,4,5},TRUE,TRUE),3,1)</f>
        <v>0.99835375871367793</v>
      </c>
      <c r="J11" s="27" cm="1">
        <f t="array" ref="J11">INDEX(LINEST(Censal!D2:D12,Censal!C2:C12^{1,2,3,4,5,6},TRUE,TRUE),3,1)</f>
        <v>0.99835710106693354</v>
      </c>
      <c r="K11" s="27" cm="1">
        <f t="array" ref="K11">INDEX(LINEST(Censal!D2:D12,LN(Censal!C2:C12)^{1},TRUE,TRUE),3,1)</f>
        <v>0.85852442999500456</v>
      </c>
      <c r="L11" s="27" cm="1">
        <f t="array" ref="L11">INDEX(LINEST(LOG(Censal!D2:D12),LOG(Censal!C2:C12)^{1},TRUE,TRUE),3,1)</f>
        <v>0.98854325307456226</v>
      </c>
      <c r="M11" s="28" cm="1">
        <f t="array" ref="M11">INDEX(LINEST(LN(Censal!D2:D12),Censal!C2:C12^{1},TRUE,TRUE),3,1)</f>
        <v>0.98931118079013869</v>
      </c>
    </row>
    <row r="12" spans="2:13" ht="34.299999999999997" x14ac:dyDescent="0.4">
      <c r="B12" s="69"/>
      <c r="C12" s="70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/>
      </c>
      <c r="H12" s="30" t="str">
        <f t="shared" si="0"/>
        <v/>
      </c>
      <c r="I12" s="30" t="str">
        <f t="shared" si="0"/>
        <v/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69"/>
      <c r="C13" s="70"/>
      <c r="D13" s="73" t="s">
        <v>60</v>
      </c>
      <c r="E13" s="75"/>
      <c r="F13" s="75"/>
      <c r="G13" s="75"/>
      <c r="H13" s="75" t="s">
        <v>61</v>
      </c>
      <c r="I13" s="75" t="s">
        <v>61</v>
      </c>
      <c r="J13" s="75" t="s">
        <v>61</v>
      </c>
      <c r="K13" s="75"/>
      <c r="L13" s="75"/>
      <c r="M13" s="76"/>
    </row>
    <row r="14" spans="2:13" ht="34.299999999999997" x14ac:dyDescent="0.4">
      <c r="B14" s="71"/>
      <c r="C14" s="72"/>
      <c r="D14" s="19" t="s">
        <v>24</v>
      </c>
      <c r="E14" s="21"/>
      <c r="F14" s="21" t="s">
        <v>25</v>
      </c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72</v>
      </c>
    </row>
    <row r="17" spans="2:13" x14ac:dyDescent="0.4">
      <c r="B17" s="2" t="s">
        <v>26</v>
      </c>
      <c r="C17" s="20">
        <v>5</v>
      </c>
      <c r="D17" s="2" t="s">
        <v>27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74" t="s">
        <v>67</v>
      </c>
      <c r="C19" s="7" t="str">
        <f>Censal!$B$2</f>
        <v>Municipio</v>
      </c>
      <c r="D19" s="7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4">ROUND($H$4*$D20^4+$H$5*$D20^3+$H$6*$D20^2+$H$7*$D20+$H$8,0)</f>
        <v>143320</v>
      </c>
      <c r="I20" s="3">
        <f t="shared" ref="I20:I29" si="5">ROUND($I$4*$D20^5+$I$5*$D20^4+$I$6*$D20^3+$I$7*$D20^2+$I$8*$D20+$I$9,0)</f>
        <v>143240</v>
      </c>
      <c r="J20" s="3">
        <f t="shared" ref="J20:J29" si="6">ROUND($J$4*$D20^6+$J$5*$D20^5+$J$6*$D20^4+$J$7*$D20^3+$J$8*$D20^2+$J$9*$D20+$J$10,0)</f>
        <v>143158</v>
      </c>
      <c r="K20" s="3">
        <f t="shared" ref="K20:K29" si="7">ROUND($K$4*LN(D20)+$K$5,0)</f>
        <v>108905</v>
      </c>
      <c r="L20" s="3">
        <f t="shared" ref="L20:L29" si="8">ROUND(10^$L$5*$D20^$L$4,0)</f>
        <v>158324</v>
      </c>
      <c r="M20" s="4">
        <f t="shared" ref="M20:M29" si="9">ROUND($M$5*EXP($M$4*$D20),0)</f>
        <v>161350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115152</v>
      </c>
      <c r="F21" s="3">
        <f t="shared" ref="F21:F29" si="11">ROUND($F$4*$D21^2+$F$5*$D21+$F$6,0)</f>
        <v>157201</v>
      </c>
      <c r="G21" s="3">
        <f>ROUND($G$4*$D21^3+$G$5*$D21^2+$G$6*$D21+$G$7,0)</f>
        <v>163883</v>
      </c>
      <c r="H21" s="3">
        <f t="shared" si="4"/>
        <v>154772</v>
      </c>
      <c r="I21" s="3">
        <f t="shared" si="5"/>
        <v>154585</v>
      </c>
      <c r="J21" s="3">
        <f t="shared" si="6"/>
        <v>154394</v>
      </c>
      <c r="K21" s="3">
        <f t="shared" si="7"/>
        <v>114063</v>
      </c>
      <c r="L21" s="3">
        <f t="shared" si="8"/>
        <v>180932</v>
      </c>
      <c r="M21" s="4">
        <f t="shared" si="9"/>
        <v>185211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4"/>
        <v>165728</v>
      </c>
      <c r="I22" s="3">
        <f t="shared" si="5"/>
        <v>165375</v>
      </c>
      <c r="J22" s="3">
        <f t="shared" si="6"/>
        <v>165012</v>
      </c>
      <c r="K22" s="3">
        <f t="shared" si="7"/>
        <v>119207</v>
      </c>
      <c r="L22" s="3">
        <f t="shared" si="8"/>
        <v>206701</v>
      </c>
      <c r="M22" s="4">
        <f t="shared" si="9"/>
        <v>212602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125841</v>
      </c>
      <c r="F23" s="3">
        <f>ROUND($F$4*$D23^2+$F$5*$D23+$F$6,0)</f>
        <v>186260</v>
      </c>
      <c r="G23" s="3">
        <f t="shared" ref="G23:G29" si="12">ROUND($G$4*$D23^3+$G$5*$D23^2+$G$6*$D23+$G$7,0)</f>
        <v>198514</v>
      </c>
      <c r="H23" s="3">
        <f t="shared" si="4"/>
        <v>175942</v>
      </c>
      <c r="I23" s="3">
        <f t="shared" si="5"/>
        <v>175346</v>
      </c>
      <c r="J23" s="3">
        <f t="shared" si="6"/>
        <v>174731</v>
      </c>
      <c r="K23" s="3">
        <f t="shared" si="7"/>
        <v>124339</v>
      </c>
      <c r="L23" s="3">
        <f t="shared" si="8"/>
        <v>236062</v>
      </c>
      <c r="M23" s="4">
        <f t="shared" si="9"/>
        <v>244043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131185</v>
      </c>
      <c r="F24" s="3">
        <f t="shared" si="11"/>
        <v>201751</v>
      </c>
      <c r="G24" s="3">
        <f t="shared" si="12"/>
        <v>217493</v>
      </c>
      <c r="H24" s="3">
        <f t="shared" si="4"/>
        <v>185149</v>
      </c>
      <c r="I24" s="3">
        <f t="shared" si="5"/>
        <v>184212</v>
      </c>
      <c r="J24" s="3">
        <f t="shared" si="6"/>
        <v>183241</v>
      </c>
      <c r="K24" s="3">
        <f t="shared" si="7"/>
        <v>129459</v>
      </c>
      <c r="L24" s="3">
        <f t="shared" si="8"/>
        <v>269507</v>
      </c>
      <c r="M24" s="4">
        <f t="shared" si="9"/>
        <v>280134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136529</v>
      </c>
      <c r="F25" s="3">
        <f t="shared" si="11"/>
        <v>217884</v>
      </c>
      <c r="G25" s="3">
        <f t="shared" si="12"/>
        <v>237623</v>
      </c>
      <c r="H25" s="3">
        <f t="shared" si="4"/>
        <v>193064</v>
      </c>
      <c r="I25" s="3">
        <f t="shared" si="5"/>
        <v>191663</v>
      </c>
      <c r="J25" s="3">
        <f t="shared" si="6"/>
        <v>190208</v>
      </c>
      <c r="K25" s="3">
        <f t="shared" si="7"/>
        <v>134566</v>
      </c>
      <c r="L25" s="3">
        <f t="shared" si="8"/>
        <v>307590</v>
      </c>
      <c r="M25" s="4">
        <f t="shared" si="9"/>
        <v>321563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141874</v>
      </c>
      <c r="F26" s="3">
        <f t="shared" si="11"/>
        <v>234658</v>
      </c>
      <c r="G26" s="3">
        <f t="shared" si="12"/>
        <v>258934</v>
      </c>
      <c r="H26" s="3">
        <f t="shared" si="4"/>
        <v>199381</v>
      </c>
      <c r="I26" s="3">
        <f t="shared" si="5"/>
        <v>197366</v>
      </c>
      <c r="J26" s="3">
        <f t="shared" si="6"/>
        <v>195269</v>
      </c>
      <c r="K26" s="3">
        <f t="shared" si="7"/>
        <v>139660</v>
      </c>
      <c r="L26" s="3">
        <f t="shared" si="8"/>
        <v>350942</v>
      </c>
      <c r="M26" s="4">
        <f t="shared" si="9"/>
        <v>369118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147218</v>
      </c>
      <c r="F27" s="3">
        <f t="shared" si="11"/>
        <v>252073</v>
      </c>
      <c r="G27" s="3">
        <f t="shared" si="12"/>
        <v>281458</v>
      </c>
      <c r="H27" s="3">
        <f t="shared" si="4"/>
        <v>203776</v>
      </c>
      <c r="I27" s="3">
        <f t="shared" si="5"/>
        <v>200966</v>
      </c>
      <c r="J27" s="3">
        <f t="shared" si="6"/>
        <v>198035</v>
      </c>
      <c r="K27" s="3">
        <f t="shared" si="7"/>
        <v>144742</v>
      </c>
      <c r="L27" s="3">
        <f t="shared" si="8"/>
        <v>400276</v>
      </c>
      <c r="M27" s="4">
        <f t="shared" si="9"/>
        <v>423706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152563</v>
      </c>
      <c r="F28" s="3">
        <f t="shared" si="11"/>
        <v>270130</v>
      </c>
      <c r="G28" s="3">
        <f t="shared" si="12"/>
        <v>305225</v>
      </c>
      <c r="H28" s="3">
        <f t="shared" si="4"/>
        <v>205903</v>
      </c>
      <c r="I28" s="3">
        <f t="shared" si="5"/>
        <v>202083</v>
      </c>
      <c r="J28" s="3">
        <f t="shared" si="6"/>
        <v>198088</v>
      </c>
      <c r="K28" s="3">
        <f t="shared" si="7"/>
        <v>149812</v>
      </c>
      <c r="L28" s="3">
        <f t="shared" si="8"/>
        <v>456398</v>
      </c>
      <c r="M28" s="4">
        <f t="shared" si="9"/>
        <v>486367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157907</v>
      </c>
      <c r="F29" s="5">
        <f t="shared" si="11"/>
        <v>288828</v>
      </c>
      <c r="G29" s="5">
        <f t="shared" si="12"/>
        <v>330265</v>
      </c>
      <c r="H29" s="5">
        <f t="shared" si="4"/>
        <v>205397</v>
      </c>
      <c r="I29" s="5">
        <f t="shared" si="5"/>
        <v>200313</v>
      </c>
      <c r="J29" s="5">
        <f t="shared" si="6"/>
        <v>194982</v>
      </c>
      <c r="K29" s="5">
        <f t="shared" si="7"/>
        <v>154869</v>
      </c>
      <c r="L29" s="5">
        <f t="shared" si="8"/>
        <v>520225</v>
      </c>
      <c r="M29" s="6">
        <f t="shared" si="9"/>
        <v>558295</v>
      </c>
    </row>
    <row r="30" spans="2:13" x14ac:dyDescent="0.4">
      <c r="D30" s="13"/>
    </row>
    <row r="31" spans="2:13" x14ac:dyDescent="0.4">
      <c r="B31" s="2" t="s">
        <v>65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3"/>
    </row>
    <row r="34" spans="2:4" x14ac:dyDescent="0.4">
      <c r="B34" s="2" t="str">
        <f>_xlfn.CONCAT(Censal!A2," - Población censal municipal")</f>
        <v>DANE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2024-06-27T17:44:48Z</dcterms:modified>
</cp:coreProperties>
</file>