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49B71608-879C-42A5-BAFA-68C37C7B579C}" xr6:coauthVersionLast="47" xr6:coauthVersionMax="47" xr10:uidLastSave="{00000000-0000-0000-0000-000000000000}"/>
  <bookViews>
    <workbookView xWindow="-103" yWindow="-103" windowWidth="26537" windowHeight="15943" tabRatio="769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3" i="6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7" i="6" s="1"/>
  <c r="B23" i="4"/>
  <c r="A8" i="6" s="1"/>
  <c r="B20" i="4"/>
  <c r="A5" i="6" s="1"/>
  <c r="A6" i="6"/>
  <c r="A4" i="6"/>
  <c r="A2" i="6"/>
  <c r="B2" i="6"/>
  <c r="C2" i="6"/>
  <c r="D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5" i="6" s="1"/>
  <c r="C21" i="4"/>
  <c r="B6" i="6" s="1"/>
  <c r="C22" i="4"/>
  <c r="B7" i="6" s="1"/>
  <c r="C23" i="4"/>
  <c r="B8" i="6" s="1"/>
  <c r="C24" i="4"/>
  <c r="B9" i="6" s="1"/>
  <c r="C25" i="4"/>
  <c r="B10" i="6" s="1"/>
  <c r="C26" i="4"/>
  <c r="B11" i="6" s="1"/>
  <c r="C27" i="4"/>
  <c r="B12" i="6" s="1"/>
  <c r="C28" i="4"/>
  <c r="B13" i="6" s="1"/>
  <c r="C29" i="4"/>
  <c r="B14" i="6" s="1"/>
  <c r="C19" i="4"/>
  <c r="B4" i="6" s="1"/>
  <c r="A3" i="2"/>
  <c r="A3" i="6" s="1"/>
  <c r="B3" i="2"/>
  <c r="B3" i="6" s="1"/>
  <c r="D19" i="4"/>
  <c r="L19" i="4" s="1"/>
  <c r="B25" i="4" l="1"/>
  <c r="A9" i="6"/>
  <c r="F19" i="4"/>
  <c r="C4" i="6"/>
  <c r="C14" i="5"/>
  <c r="F14" i="5" s="1"/>
  <c r="G19" i="4"/>
  <c r="D20" i="4"/>
  <c r="M19" i="4"/>
  <c r="K19" i="4"/>
  <c r="H19" i="4"/>
  <c r="J19" i="4"/>
  <c r="I19" i="4"/>
  <c r="E19" i="4"/>
  <c r="D4" i="6" s="1"/>
  <c r="C5" i="6" l="1"/>
  <c r="L20" i="4"/>
  <c r="B26" i="4"/>
  <c r="A10" i="6"/>
  <c r="G18" i="5"/>
  <c r="G21" i="5"/>
  <c r="G22" i="5"/>
  <c r="G19" i="5"/>
  <c r="G17" i="5"/>
  <c r="D21" i="4"/>
  <c r="G20" i="4"/>
  <c r="F20" i="4"/>
  <c r="K20" i="4"/>
  <c r="M20" i="4"/>
  <c r="J20" i="4"/>
  <c r="H20" i="4"/>
  <c r="I20" i="4"/>
  <c r="E20" i="4"/>
  <c r="D5" i="6" s="1"/>
  <c r="C6" i="6" l="1"/>
  <c r="L21" i="4"/>
  <c r="B27" i="4"/>
  <c r="A11" i="6"/>
  <c r="G23" i="5"/>
  <c r="G20" i="5"/>
  <c r="D22" i="4"/>
  <c r="G21" i="4"/>
  <c r="M21" i="4"/>
  <c r="K21" i="4"/>
  <c r="J21" i="4"/>
  <c r="H21" i="4"/>
  <c r="I21" i="4"/>
  <c r="F21" i="4"/>
  <c r="E21" i="4"/>
  <c r="D6" i="6" s="1"/>
  <c r="C7" i="6" l="1"/>
  <c r="L22" i="4"/>
  <c r="B28" i="4"/>
  <c r="A12" i="6"/>
  <c r="D23" i="4"/>
  <c r="G22" i="4"/>
  <c r="F22" i="4"/>
  <c r="M22" i="4"/>
  <c r="K22" i="4"/>
  <c r="J22" i="4"/>
  <c r="H22" i="4"/>
  <c r="I22" i="4"/>
  <c r="E22" i="4"/>
  <c r="D7" i="6" s="1"/>
  <c r="C8" i="6" l="1"/>
  <c r="L23" i="4"/>
  <c r="A13" i="6"/>
  <c r="B29" i="4"/>
  <c r="A14" i="6" s="1"/>
  <c r="D24" i="4"/>
  <c r="L24" i="4" s="1"/>
  <c r="F23" i="4"/>
  <c r="K23" i="4"/>
  <c r="M23" i="4"/>
  <c r="J23" i="4"/>
  <c r="H23" i="4"/>
  <c r="I23" i="4"/>
  <c r="E23" i="4"/>
  <c r="D8" i="6" s="1"/>
  <c r="G23" i="4"/>
  <c r="D25" i="4" l="1"/>
  <c r="L25" i="4" s="1"/>
  <c r="C9" i="6"/>
  <c r="K24" i="4"/>
  <c r="M24" i="4"/>
  <c r="J24" i="4"/>
  <c r="E24" i="4"/>
  <c r="D9" i="6" s="1"/>
  <c r="I24" i="4"/>
  <c r="H24" i="4"/>
  <c r="G24" i="4"/>
  <c r="F24" i="4"/>
  <c r="D26" i="4" l="1"/>
  <c r="L26" i="4" s="1"/>
  <c r="C10" i="6"/>
  <c r="K25" i="4"/>
  <c r="M25" i="4"/>
  <c r="J25" i="4"/>
  <c r="H25" i="4"/>
  <c r="I25" i="4"/>
  <c r="F25" i="4"/>
  <c r="E25" i="4"/>
  <c r="D10" i="6" s="1"/>
  <c r="G25" i="4"/>
  <c r="D27" i="4" l="1"/>
  <c r="L27" i="4" s="1"/>
  <c r="C11" i="6"/>
  <c r="M26" i="4"/>
  <c r="K26" i="4"/>
  <c r="J26" i="4"/>
  <c r="I26" i="4"/>
  <c r="H26" i="4"/>
  <c r="F26" i="4"/>
  <c r="E26" i="4"/>
  <c r="D11" i="6" s="1"/>
  <c r="G26" i="4"/>
  <c r="D28" i="4" l="1"/>
  <c r="L28" i="4" s="1"/>
  <c r="C12" i="6"/>
  <c r="K27" i="4"/>
  <c r="M27" i="4"/>
  <c r="J27" i="4"/>
  <c r="H27" i="4"/>
  <c r="I27" i="4"/>
  <c r="F27" i="4"/>
  <c r="G27" i="4"/>
  <c r="E27" i="4"/>
  <c r="D12" i="6" s="1"/>
  <c r="D29" i="4" l="1"/>
  <c r="C13" i="6"/>
  <c r="K28" i="4"/>
  <c r="M28" i="4"/>
  <c r="J28" i="4"/>
  <c r="H28" i="4"/>
  <c r="I28" i="4"/>
  <c r="E28" i="4"/>
  <c r="D13" i="6" s="1"/>
  <c r="G28" i="4"/>
  <c r="F28" i="4"/>
  <c r="B33" i="4" l="1"/>
  <c r="L29" i="4"/>
  <c r="B32" i="4"/>
  <c r="C14" i="6"/>
  <c r="K29" i="4"/>
  <c r="M29" i="4"/>
  <c r="J29" i="4"/>
  <c r="G29" i="4"/>
  <c r="I29" i="4"/>
  <c r="H29" i="4"/>
  <c r="F29" i="4"/>
  <c r="E29" i="4"/>
  <c r="D1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<sst xmlns="http://schemas.openxmlformats.org/spreadsheetml/2006/main" count="83" uniqueCount="75">
  <si>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</si>
  <si>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</si>
  <si>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</si>
  <si>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</si>
  <si>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</si>
  <si>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</si>
  <si>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</si>
  <si>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</si>
  <si>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</si>
  <si>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</si>
  <si>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</si>
  <si>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</si>
  <si>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</si>
  <si>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</si>
  <si>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</si>
  <si>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</si>
  <si>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</si>
  <si>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</si>
  <si>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</si>
  <si>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</si>
  <si>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</si>
  <si>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</si>
  <si>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</si>
  <si>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</si>
  <si>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</si>
  <si>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</si>
  <si>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</si>
  <si>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</si>
  <si>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</si>
  <si>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</si>
  <si>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</si>
  <si>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</si>
  <si>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</si>
  <si>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</si>
  <si>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</si>
  <si>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</si>
  <si>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</si>
  <si>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</si>
  <si>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</si>
  <si>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</si>
  <si>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</si>
  <si>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</si>
  <si>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</si>
  <si>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</si>
  <si>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</si>
  <si>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</si>
  <si>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</si>
  <si>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</si>
  <si>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</si>
  <si>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</si>
  <si>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</si>
  <si>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</si>
  <si>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</si>
  <si>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</si>
  <si>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</si>
  <si>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</si>
  <si>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</si>
  <si>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</si>
  <si>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</si>
  <si>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</si>
  <si>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</si>
  <si>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</si>
  <si>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</si>
  <si>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</si>
  <si>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</si>
  <si>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</si>
  <si>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</si>
  <si>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</si>
  <si>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</si>
  <si>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</si>
  <si>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</si>
  <si>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PTUrbano</t>
  </si>
  <si>
    <t>PTRural</t>
  </si>
  <si>
    <t>PTCPR</t>
  </si>
  <si>
    <t>RNEC Censo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</si>
</sst>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RNEC Censo Electoral - Población censal municipal</c:v>
            </c:pt>
          </c:strCache>
        </c:strRef>
      </c:tx>
      <c:layout>
        <c:manualLayout>
          <c:xMode val="edge"/>
          <c:yMode val="edge"/>
          <c:x val="0.36233587641936904"/>
          <c:y val="1.211034598015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Censal!$C$2:$C$3</c:f>
              <c:numCache>
                <c:formatCode>0</c:formatCode>
                <c:ptCount val="2"/>
                <c:pt idx="0">
                  <c:v>2019</c:v>
                </c:pt>
                <c:pt idx="1">
                  <c:v>2023</c:v>
                </c:pt>
              </c:numCache>
            </c:numRef>
          </c:xVal>
          <c:yVal>
            <c:numRef>
              <c:f>Censal!$D$2:$D$3</c:f>
              <c:numCache>
                <c:formatCode>0</c:formatCode>
                <c:ptCount val="2"/>
                <c:pt idx="0">
                  <c:v>90014</c:v>
                </c:pt>
                <c:pt idx="1">
                  <c:v>102858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RNEC Censo Electoral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9786267010235477"/>
          <c:h val="0.815377016149218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106069</c:v>
                </c:pt>
                <c:pt idx="1">
                  <c:v>122124</c:v>
                </c:pt>
                <c:pt idx="2">
                  <c:v>138179</c:v>
                </c:pt>
                <c:pt idx="3">
                  <c:v>154234</c:v>
                </c:pt>
                <c:pt idx="4">
                  <c:v>170289</c:v>
                </c:pt>
                <c:pt idx="5">
                  <c:v>186344</c:v>
                </c:pt>
                <c:pt idx="6">
                  <c:v>202399</c:v>
                </c:pt>
                <c:pt idx="7">
                  <c:v>218454</c:v>
                </c:pt>
                <c:pt idx="8">
                  <c:v>234509</c:v>
                </c:pt>
                <c:pt idx="9">
                  <c:v>250564</c:v>
                </c:pt>
                <c:pt idx="10">
                  <c:v>266619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106073</c:v>
                </c:pt>
                <c:pt idx="1">
                  <c:v>122172</c:v>
                </c:pt>
                <c:pt idx="2">
                  <c:v>138310</c:v>
                </c:pt>
                <c:pt idx="3">
                  <c:v>154488</c:v>
                </c:pt>
                <c:pt idx="4">
                  <c:v>170706</c:v>
                </c:pt>
                <c:pt idx="5">
                  <c:v>186964</c:v>
                </c:pt>
                <c:pt idx="6">
                  <c:v>203261</c:v>
                </c:pt>
                <c:pt idx="7">
                  <c:v>219598</c:v>
                </c:pt>
                <c:pt idx="8">
                  <c:v>235975</c:v>
                </c:pt>
                <c:pt idx="9">
                  <c:v>252391</c:v>
                </c:pt>
                <c:pt idx="10">
                  <c:v>268847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106077</c:v>
                </c:pt>
                <c:pt idx="1">
                  <c:v>122219</c:v>
                </c:pt>
                <c:pt idx="2">
                  <c:v>138442</c:v>
                </c:pt>
                <c:pt idx="3">
                  <c:v>154744</c:v>
                </c:pt>
                <c:pt idx="4">
                  <c:v>171126</c:v>
                </c:pt>
                <c:pt idx="5">
                  <c:v>187589</c:v>
                </c:pt>
                <c:pt idx="6">
                  <c:v>204132</c:v>
                </c:pt>
                <c:pt idx="7">
                  <c:v>220756</c:v>
                </c:pt>
                <c:pt idx="8">
                  <c:v>237461</c:v>
                </c:pt>
                <c:pt idx="9">
                  <c:v>254247</c:v>
                </c:pt>
                <c:pt idx="10">
                  <c:v>271115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106081</c:v>
                </c:pt>
                <c:pt idx="1">
                  <c:v>122267</c:v>
                </c:pt>
                <c:pt idx="2">
                  <c:v>138574</c:v>
                </c:pt>
                <c:pt idx="3">
                  <c:v>155001</c:v>
                </c:pt>
                <c:pt idx="4">
                  <c:v>171550</c:v>
                </c:pt>
                <c:pt idx="5">
                  <c:v>188220</c:v>
                </c:pt>
                <c:pt idx="6">
                  <c:v>205013</c:v>
                </c:pt>
                <c:pt idx="7">
                  <c:v>221929</c:v>
                </c:pt>
                <c:pt idx="8">
                  <c:v>238969</c:v>
                </c:pt>
                <c:pt idx="9">
                  <c:v>256133</c:v>
                </c:pt>
                <c:pt idx="10">
                  <c:v>273422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106085</c:v>
                </c:pt>
                <c:pt idx="1">
                  <c:v>122315</c:v>
                </c:pt>
                <c:pt idx="2">
                  <c:v>138707</c:v>
                </c:pt>
                <c:pt idx="3">
                  <c:v>155260</c:v>
                </c:pt>
                <c:pt idx="4">
                  <c:v>171976</c:v>
                </c:pt>
                <c:pt idx="5">
                  <c:v>188857</c:v>
                </c:pt>
                <c:pt idx="6">
                  <c:v>205903</c:v>
                </c:pt>
                <c:pt idx="7">
                  <c:v>223117</c:v>
                </c:pt>
                <c:pt idx="8">
                  <c:v>240498</c:v>
                </c:pt>
                <c:pt idx="9">
                  <c:v>258048</c:v>
                </c:pt>
                <c:pt idx="10">
                  <c:v>275769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106089</c:v>
                </c:pt>
                <c:pt idx="1">
                  <c:v>122364</c:v>
                </c:pt>
                <c:pt idx="2">
                  <c:v>138840</c:v>
                </c:pt>
                <c:pt idx="3">
                  <c:v>155520</c:v>
                </c:pt>
                <c:pt idx="4">
                  <c:v>172406</c:v>
                </c:pt>
                <c:pt idx="5">
                  <c:v>189500</c:v>
                </c:pt>
                <c:pt idx="6">
                  <c:v>206804</c:v>
                </c:pt>
                <c:pt idx="7">
                  <c:v>224319</c:v>
                </c:pt>
                <c:pt idx="8">
                  <c:v>242049</c:v>
                </c:pt>
                <c:pt idx="9">
                  <c:v>259994</c:v>
                </c:pt>
                <c:pt idx="10">
                  <c:v>278158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106065</c:v>
                </c:pt>
                <c:pt idx="1">
                  <c:v>122076</c:v>
                </c:pt>
                <c:pt idx="2">
                  <c:v>138048</c:v>
                </c:pt>
                <c:pt idx="3">
                  <c:v>153981</c:v>
                </c:pt>
                <c:pt idx="4">
                  <c:v>169875</c:v>
                </c:pt>
                <c:pt idx="5">
                  <c:v>185730</c:v>
                </c:pt>
                <c:pt idx="6">
                  <c:v>201546</c:v>
                </c:pt>
                <c:pt idx="7">
                  <c:v>217324</c:v>
                </c:pt>
                <c:pt idx="8">
                  <c:v>233064</c:v>
                </c:pt>
                <c:pt idx="9">
                  <c:v>248765</c:v>
                </c:pt>
                <c:pt idx="10">
                  <c:v>264429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106341</c:v>
                </c:pt>
                <c:pt idx="1">
                  <c:v>125579</c:v>
                </c:pt>
                <c:pt idx="2">
                  <c:v>148235</c:v>
                </c:pt>
                <c:pt idx="3">
                  <c:v>174908</c:v>
                </c:pt>
                <c:pt idx="4">
                  <c:v>206297</c:v>
                </c:pt>
                <c:pt idx="5">
                  <c:v>243221</c:v>
                </c:pt>
                <c:pt idx="6">
                  <c:v>286639</c:v>
                </c:pt>
                <c:pt idx="7">
                  <c:v>337672</c:v>
                </c:pt>
                <c:pt idx="8">
                  <c:v>397633</c:v>
                </c:pt>
                <c:pt idx="9">
                  <c:v>468056</c:v>
                </c:pt>
                <c:pt idx="10">
                  <c:v>550735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106346</c:v>
                </c:pt>
                <c:pt idx="1">
                  <c:v>125641</c:v>
                </c:pt>
                <c:pt idx="2">
                  <c:v>148436</c:v>
                </c:pt>
                <c:pt idx="3">
                  <c:v>175368</c:v>
                </c:pt>
                <c:pt idx="4">
                  <c:v>207186</c:v>
                </c:pt>
                <c:pt idx="5">
                  <c:v>244777</c:v>
                </c:pt>
                <c:pt idx="6">
                  <c:v>289188</c:v>
                </c:pt>
                <c:pt idx="7">
                  <c:v>341657</c:v>
                </c:pt>
                <c:pt idx="8">
                  <c:v>403646</c:v>
                </c:pt>
                <c:pt idx="9">
                  <c:v>476881</c:v>
                </c:pt>
                <c:pt idx="10">
                  <c:v>563404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Censal!$C$2:$C$3</c:f>
              <c:numCache>
                <c:formatCode>0</c:formatCode>
                <c:ptCount val="2"/>
                <c:pt idx="0">
                  <c:v>2019</c:v>
                </c:pt>
                <c:pt idx="1">
                  <c:v>2023</c:v>
                </c:pt>
              </c:numCache>
            </c:numRef>
          </c:xVal>
          <c:yVal>
            <c:numRef>
              <c:f>Censal!$D$2:$D$3</c:f>
              <c:numCache>
                <c:formatCode>0</c:formatCode>
                <c:ptCount val="2"/>
                <c:pt idx="0">
                  <c:v>90014</c:v>
                </c:pt>
                <c:pt idx="1">
                  <c:v>102858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201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RNEC Censo Electoral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0.12587388463808694"/>
          <c:w val="0.88538511457614932"/>
          <c:h val="0.77903843717306576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A8-433A-A9F0-01F10F6847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PoblacionGIS!$C$2:$C$14</c:f>
              <c:numCache>
                <c:formatCode>General</c:formatCode>
                <c:ptCount val="13"/>
                <c:pt idx="0">
                  <c:v>2019</c:v>
                </c:pt>
                <c:pt idx="1">
                  <c:v>2023</c:v>
                </c:pt>
                <c:pt idx="2">
                  <c:v>2024</c:v>
                </c:pt>
                <c:pt idx="3">
                  <c:v>2029</c:v>
                </c:pt>
                <c:pt idx="4">
                  <c:v>2034</c:v>
                </c:pt>
                <c:pt idx="5">
                  <c:v>2039</c:v>
                </c:pt>
                <c:pt idx="6">
                  <c:v>2044</c:v>
                </c:pt>
                <c:pt idx="7">
                  <c:v>2049</c:v>
                </c:pt>
                <c:pt idx="8">
                  <c:v>2054</c:v>
                </c:pt>
                <c:pt idx="9">
                  <c:v>2059</c:v>
                </c:pt>
                <c:pt idx="10">
                  <c:v>2064</c:v>
                </c:pt>
                <c:pt idx="11">
                  <c:v>2069</c:v>
                </c:pt>
                <c:pt idx="12">
                  <c:v>2074</c:v>
                </c:pt>
              </c:numCache>
            </c:numRef>
          </c:xVal>
          <c:yVal>
            <c:numRef>
              <c:f>PoblacionGIS!$D$2:$D$14</c:f>
              <c:numCache>
                <c:formatCode>General</c:formatCode>
                <c:ptCount val="13"/>
                <c:pt idx="0">
                  <c:v>90014</c:v>
                </c:pt>
                <c:pt idx="1">
                  <c:v>102858</c:v>
                </c:pt>
                <c:pt idx="2">
                  <c:v>106069</c:v>
                </c:pt>
                <c:pt idx="3">
                  <c:v>122124</c:v>
                </c:pt>
                <c:pt idx="4">
                  <c:v>138179</c:v>
                </c:pt>
                <c:pt idx="5">
                  <c:v>154234</c:v>
                </c:pt>
                <c:pt idx="6">
                  <c:v>170289</c:v>
                </c:pt>
                <c:pt idx="7">
                  <c:v>186344</c:v>
                </c:pt>
                <c:pt idx="8">
                  <c:v>202399</c:v>
                </c:pt>
                <c:pt idx="9">
                  <c:v>218454</c:v>
                </c:pt>
                <c:pt idx="10">
                  <c:v>234509</c:v>
                </c:pt>
                <c:pt idx="11">
                  <c:v>250564</c:v>
                </c:pt>
                <c:pt idx="12">
                  <c:v>266619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75"/>
          <c:min val="201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1715959279212E-2"/>
          <c:y val="0.1367818534994413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681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1887" cy="6290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1887" cy="6290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6"/>
  <sheetViews>
    <sheetView showGridLines="0" tabSelected="1" zoomScale="130" zoomScaleNormal="130" workbookViewId="0">
      <pane ySplit="1" topLeftCell="A2" activePane="bottomLeft" state="frozen"/>
      <selection pane="bottomLeft" activeCell="C3" sqref="C3"/>
    </sheetView>
  </sheetViews>
  <sheetFormatPr defaultColWidth="9.15234375" defaultRowHeight="17.149999999999999" x14ac:dyDescent="0.4"/>
  <cols>
    <col min="1" max="1" width="20.69140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71</v>
      </c>
      <c r="H1" s="10" t="s">
        <v>72</v>
      </c>
      <c r="I1" s="10" t="s">
        <v>73</v>
      </c>
      <c r="J1" s="10" t="s">
        <v>28</v>
      </c>
      <c r="K1" s="10" t="s">
        <v>29</v>
      </c>
      <c r="L1" s="10" t="s">
        <v>30</v>
      </c>
      <c r="M1" s="10" t="s">
        <v>60</v>
      </c>
      <c r="N1" s="10" t="s">
        <v>65</v>
      </c>
      <c r="O1" s="10" t="s">
        <v>33</v>
      </c>
      <c r="P1" s="10" t="s">
        <v>31</v>
      </c>
      <c r="Q1" s="10" t="s">
        <v>32</v>
      </c>
      <c r="R1" s="10" t="s">
        <v>61</v>
      </c>
      <c r="S1" s="10" t="s">
        <v>66</v>
      </c>
      <c r="T1" s="10" t="s">
        <v>34</v>
      </c>
      <c r="U1" s="10" t="s">
        <v>35</v>
      </c>
      <c r="V1" s="10" t="s">
        <v>36</v>
      </c>
      <c r="W1" s="10" t="s">
        <v>62</v>
      </c>
      <c r="X1" s="10" t="s">
        <v>67</v>
      </c>
    </row>
    <row r="2" spans="1:24" x14ac:dyDescent="0.4">
      <c r="A2" s="9" t="s">
        <v>74</v>
      </c>
      <c r="B2" s="9" t="s">
        <v>14</v>
      </c>
      <c r="C2" s="9">
        <v>2019</v>
      </c>
      <c r="D2" s="9">
        <v>90014</v>
      </c>
      <c r="E2" s="9">
        <v>42936</v>
      </c>
      <c r="F2" s="9">
        <v>47078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 t="shared" ref="A3" si="0">$A$2</f>
        <v>RNEC Censo Electoral</v>
      </c>
      <c r="B3" s="11" t="str">
        <f t="shared" ref="B3" si="1">$B$2</f>
        <v>Municipio</v>
      </c>
      <c r="C3" s="9">
        <v>2023</v>
      </c>
      <c r="D3" s="9">
        <v>102858</v>
      </c>
      <c r="E3" s="9">
        <v>49208</v>
      </c>
      <c r="F3" s="9">
        <v>53650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MAX(Censal!D2:D101)</f>
        <v>102858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103770</v>
      </c>
      <c r="F14" s="50">
        <f>(D6+C14)/2</f>
        <v>103314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62" t="s">
        <v>46</v>
      </c>
      <c r="C17" s="62"/>
      <c r="D17" s="62"/>
      <c r="E17" s="62"/>
      <c r="F17" s="62"/>
      <c r="G17" s="52">
        <f>(C12/F14)*1000</f>
        <v>8.8274580405366176</v>
      </c>
    </row>
    <row r="18" spans="2:7" s="51" customFormat="1" ht="14.6" x14ac:dyDescent="0.4">
      <c r="B18" s="62" t="s">
        <v>49</v>
      </c>
      <c r="C18" s="62"/>
      <c r="D18" s="62"/>
      <c r="E18" s="62"/>
      <c r="F18" s="62"/>
      <c r="G18" s="52">
        <f>(C4/F14)*1000</f>
        <v>3.3102967652012314</v>
      </c>
    </row>
    <row r="19" spans="2:7" s="51" customFormat="1" ht="14.6" x14ac:dyDescent="0.4">
      <c r="B19" s="62" t="s">
        <v>50</v>
      </c>
      <c r="C19" s="62"/>
      <c r="D19" s="62"/>
      <c r="E19" s="62"/>
      <c r="F19" s="62"/>
      <c r="G19" s="52">
        <f>(C7/F14)*1000</f>
        <v>0.61947073968678013</v>
      </c>
    </row>
    <row r="20" spans="2:7" s="51" customFormat="1" ht="14.6" x14ac:dyDescent="0.4">
      <c r="B20" s="62" t="s">
        <v>48</v>
      </c>
      <c r="C20" s="62"/>
      <c r="D20" s="62"/>
      <c r="E20" s="62"/>
      <c r="F20" s="62"/>
      <c r="G20" s="52">
        <f>G18-G19</f>
        <v>2.6908260255144514</v>
      </c>
    </row>
    <row r="21" spans="2:7" x14ac:dyDescent="0.4">
      <c r="B21" s="62" t="s">
        <v>51</v>
      </c>
      <c r="C21" s="62"/>
      <c r="D21" s="62"/>
      <c r="E21" s="62"/>
      <c r="F21" s="62"/>
      <c r="G21" s="52">
        <f>(F4/F14)*1000</f>
        <v>9.4469287802233968</v>
      </c>
    </row>
    <row r="22" spans="2:7" ht="17.149999999999999" customHeight="1" x14ac:dyDescent="0.4">
      <c r="B22" s="62" t="s">
        <v>52</v>
      </c>
      <c r="C22" s="62"/>
      <c r="D22" s="62"/>
      <c r="E22" s="62"/>
      <c r="F22" s="62"/>
      <c r="G22" s="52">
        <f>(F7/F14)*1000</f>
        <v>3.3102967652012314</v>
      </c>
    </row>
    <row r="23" spans="2:7" x14ac:dyDescent="0.4">
      <c r="B23" s="62" t="s">
        <v>53</v>
      </c>
      <c r="C23" s="62"/>
      <c r="D23" s="62"/>
      <c r="E23" s="62"/>
      <c r="F23" s="62"/>
      <c r="G23" s="52">
        <f>G21-G22</f>
        <v>6.1366320150221654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O38"/>
  <sheetViews>
    <sheetView showGridLines="0" topLeftCell="A6" zoomScale="130" zoomScaleNormal="130" workbookViewId="0">
      <selection activeCell="E19" sqref="E19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68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INDEX(LINEST(Censal!D2:D3,Censal!C2:C3^{1},TRUE,TRUE),1,1)</f>
        <v>3211.0000000000005</v>
      </c>
      <c r="F4" s="23" cm="1">
        <f t="array" ref="F4">INDEX(LINEST(Censal!D2:D3,Censal!C2:C3^{1,2},TRUE,TRUE),1,1)</f>
        <v>0.7944087085601188</v>
      </c>
      <c r="G4" s="23" cm="1">
        <f t="array" ref="G4">INDEX(LINEST(Censal!D2:D3,Censal!C2:C3^{1,2,3},TRUE,TRUE),1,1)</f>
        <v>2.6205127799168329E-4</v>
      </c>
      <c r="H4" s="23" cm="1">
        <f t="array" ref="H4">INDEX(LINEST(Censal!D2:D3,Censal!C2:C3^{1,2,3,4},TRUE,TRUE),1,1)</f>
        <v>9.7248060453760358E-8</v>
      </c>
      <c r="I4" s="23" cm="1">
        <f t="array" ref="I4">INDEX(LINEST(Censal!D2:D3,Censal!C2:C3^{1,2,3,4,5},TRUE,TRUE),1,1)</f>
        <v>3.8494988705138732E-11</v>
      </c>
      <c r="J4" s="23" cm="1">
        <f t="array" ref="J4">INDEX(LINEST(Censal!D2:D3,Censal!C2:C3^{1,2,3,4,5,6},TRUE,TRUE),1,1)</f>
        <v>1.5872892313928629E-14</v>
      </c>
      <c r="K4" s="23" cm="1">
        <f t="array" ref="K4">INDEX(LINEST(Censal!D2:D3,LN(Censal!C2:C3)^{1},TRUE,TRUE),1,1)</f>
        <v>6489428.8815763611</v>
      </c>
      <c r="L4" s="23" cm="1">
        <f t="array" ref="L4">INDEX(LINEST(LOG(Censal!D2:D3),LOG(Censal!C2:C3)^{1},TRUE,TRUE),1,1)</f>
        <v>67.392336190768205</v>
      </c>
      <c r="M4" s="24" cm="1">
        <f t="array" ref="M4">INDEX(LINEST(LN(Censal!D2:D3),Censal!C2:C3^{1},TRUE,TRUE),1,1)</f>
        <v>3.3346045616272413E-2</v>
      </c>
    </row>
    <row r="5" spans="2:13" x14ac:dyDescent="0.4">
      <c r="B5" s="74"/>
      <c r="C5" s="75"/>
      <c r="D5" s="25" t="s">
        <v>17</v>
      </c>
      <c r="E5" s="23" cm="1">
        <f t="array" ref="E5">INDEX(LINEST(Censal!D2:D3,Censal!C2:C3^{1},TRUE,TRUE),1,2)</f>
        <v>-6392995.0000000009</v>
      </c>
      <c r="F5" s="23" cm="1">
        <f t="array" ref="F5">INDEX(LINEST(Censal!D2:D3,Censal!C2:C3^{1,2},TRUE,TRUE),1,2)</f>
        <v>0</v>
      </c>
      <c r="G5" s="23" cm="1">
        <f t="array" ref="G5">INDEX(LINEST(Censal!D2:D3,Censal!C2:C3^{1,2,3},TRUE,TRUE),1,2)</f>
        <v>0</v>
      </c>
      <c r="H5" s="23" cm="1">
        <f t="array" ref="H5">INDEX(LINEST(Censal!D2:D3,Censal!C2:C3^{1,2,3,4},TRUE,TRUE),1,2)</f>
        <v>0</v>
      </c>
      <c r="I5" s="23" cm="1">
        <f t="array" ref="I5">INDEX(LINEST(Censal!D2:D3,Censal!C2:C3^{1,2,3,4,5},TRUE,TRUE),1,2)</f>
        <v>0</v>
      </c>
      <c r="J5" s="23" cm="1">
        <f t="array" ref="J5">INDEX(LINEST(Censal!D2:D3,Censal!C2:C3^{1,2,3,4,5,6},TRUE,TRUE),1,2)</f>
        <v>0</v>
      </c>
      <c r="K5" s="23" cm="1">
        <f t="array" ref="K5">INDEX(LINEST(Censal!D2:D3,LN(Censal!C2:C3)^{1},TRUE,TRUE),1,2)</f>
        <v>-49296860.527404018</v>
      </c>
      <c r="L5" s="23" cm="1">
        <f t="array" ref="L5">INDEX(LINEST(LOG(Censal!D2:D3),LOG(Censal!C2:C3)^{1},TRUE,TRUE),1,2)</f>
        <v>-217.78654790146297</v>
      </c>
      <c r="M5" s="24" cm="1">
        <f t="array" ref="M5">EXP(INDEX(LINEST(LN(Censal!D2:D3),Censal!C2:C3^{1},TRUE,TRUE),1,2))</f>
        <v>5.1897302369860434E-25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INDEX(LINEST(Censal!D2:D3,Censal!C2:C3^{1,2},TRUE,TRUE),1,3)</f>
        <v>-3148282.6776348343</v>
      </c>
      <c r="G6" s="23" cm="1">
        <f t="array" ref="G6">INDEX(LINEST(Censal!D2:D3,Censal!C2:C3^{1,2,3},TRUE,TRUE),1,3)</f>
        <v>0</v>
      </c>
      <c r="H6" s="23" cm="1">
        <f t="array" ref="H6">INDEX(LINEST(Censal!D2:D3,Censal!C2:C3^{1,2,3,4},TRUE,TRUE),1,3)</f>
        <v>0</v>
      </c>
      <c r="I6" s="23" cm="1">
        <f t="array" ref="I6">INDEX(LINEST(Censal!D2:D3,Censal!C2:C3^{1,2,3,4,5},TRUE,TRUE),1,3)</f>
        <v>0</v>
      </c>
      <c r="J6" s="23" cm="1">
        <f t="array" ref="J6">INDEX(LINEST(Censal!D2:D3,Censal!C2:C3^{1,2,3,4,5,6},TRUE,TRUE),1,3)</f>
        <v>0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INDEX(LINEST(Censal!D2:D3,Censal!C2:C3^{1,2,3},TRUE,TRUE),1,4)</f>
        <v>-2066713.315793416</v>
      </c>
      <c r="H7" s="23" cm="1">
        <f t="array" ref="H7">INDEX(LINEST(Censal!D2:D3,Censal!C2:C3^{1,2,3,4},TRUE,TRUE),1,4)</f>
        <v>0</v>
      </c>
      <c r="I7" s="23" cm="1">
        <f t="array" ref="I7">INDEX(LINEST(Censal!D2:D3,Censal!C2:C3^{1,2,3,4,5},TRUE,TRUE),1,4)</f>
        <v>0</v>
      </c>
      <c r="J7" s="23" cm="1">
        <f t="array" ref="J7">INDEX(LINEST(Censal!D2:D3,Censal!C2:C3^{1,2,3,4,5,6},TRUE,TRUE),1,4)</f>
        <v>0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INDEX(LINEST(Censal!D2:D3,Censal!C2:C3^{1,2,3,4},TRUE,TRUE),1,5)</f>
        <v>-1525929.6940808611</v>
      </c>
      <c r="I8" s="23" cm="1">
        <f t="array" ref="I8">INDEX(LINEST(Censal!D2:D3,Censal!C2:C3^{1,2,3,4,5},TRUE,TRUE),1,5)</f>
        <v>0</v>
      </c>
      <c r="J8" s="23" cm="1">
        <f t="array" ref="J8">INDEX(LINEST(Censal!D2:D3,Censal!C2:C3^{1,2,3,4,5,6},TRUE,TRUE),1,5)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INDEX(LINEST(Censal!D2:D3,Censal!C2:C3^{1,2,3,4,5},TRUE,TRUE),1,6)</f>
        <v>-1201460.3684175275</v>
      </c>
      <c r="J9" s="23" cm="1">
        <f t="array" ref="J9">INDEX(LINEST(Censal!D2:D3,Censal!C2:C3^{1,2,3,4,5,6},TRUE,TRUE),1,6)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INDEX(LINEST(Censal!D2:D3,Censal!C2:C3^{1,2,3,4,5,6},TRUE,TRUE),1,7)</f>
        <v>-985148.19077631668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INDEX(LINEST(Censal!D2:D3,Censal!C2:C3^{1},TRUE,TRUE),3,1)</f>
        <v>1</v>
      </c>
      <c r="F11" s="27" cm="1">
        <f t="array" ref="F11">INDEX(LINEST(Censal!D2:D3,Censal!C2:C3^{1,2},TRUE,TRUE),3,1)</f>
        <v>1</v>
      </c>
      <c r="G11" s="27" cm="1">
        <f t="array" ref="G11">INDEX(LINEST(Censal!D2:D3,Censal!C2:C3^{1,2,3},TRUE,TRUE),3,1)</f>
        <v>1</v>
      </c>
      <c r="H11" s="27" cm="1">
        <f t="array" ref="H11">INDEX(LINEST(Censal!D2:D3,Censal!C2:C3^{1,2,3,4},TRUE,TRUE),3,1)</f>
        <v>1</v>
      </c>
      <c r="I11" s="27" cm="1">
        <f t="array" ref="I11">INDEX(LINEST(Censal!D2:D3,Censal!C2:C3^{1,2,3,4,5},TRUE,TRUE),3,1)</f>
        <v>1</v>
      </c>
      <c r="J11" s="27" cm="1">
        <f t="array" ref="J11">INDEX(LINEST(Censal!D2:D3,Censal!C2:C3^{1,2,3,4,5,6},TRUE,TRUE),3,1)</f>
        <v>1</v>
      </c>
      <c r="K11" s="27" cm="1">
        <f t="array" ref="K11">INDEX(LINEST(Censal!D2:D3,LN(Censal!C2:C3)^{1},TRUE,TRUE),3,1)</f>
        <v>1</v>
      </c>
      <c r="L11" s="27" cm="1">
        <f t="array" ref="L11">INDEX(LINEST(LOG(Censal!D2:D3),LOG(Censal!C2:C3)^{1},TRUE,TRUE),3,1)</f>
        <v>1</v>
      </c>
      <c r="M11" s="28" cm="1">
        <f t="array" ref="M11">INDEX(LINEST(LN(Censal!D2:D3),Censal!C2:C3^{1},TRUE,TRUE),3,1)</f>
        <v>1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>✓</v>
      </c>
      <c r="F12" s="30" t="str">
        <f t="shared" ref="F12:M12" si="0">IF(F11=MAX($E$11:$M$11),"✓","")</f>
        <v>✓</v>
      </c>
      <c r="G12" s="30" t="str">
        <f t="shared" si="0"/>
        <v>✓</v>
      </c>
      <c r="H12" s="30" t="str">
        <f t="shared" si="0"/>
        <v>✓</v>
      </c>
      <c r="I12" s="30" t="str">
        <f t="shared" si="0"/>
        <v>✓</v>
      </c>
      <c r="J12" s="30" t="str">
        <f t="shared" si="0"/>
        <v>✓</v>
      </c>
      <c r="K12" s="30" t="str">
        <f t="shared" si="0"/>
        <v>✓</v>
      </c>
      <c r="L12" s="30" t="str">
        <f t="shared" si="0"/>
        <v>✓</v>
      </c>
      <c r="M12" s="31" t="str">
        <f t="shared" si="0"/>
        <v>✓</v>
      </c>
    </row>
    <row r="13" spans="2:13" x14ac:dyDescent="0.4">
      <c r="B13" s="74"/>
      <c r="C13" s="75"/>
      <c r="D13" s="55" t="s">
        <v>59</v>
      </c>
      <c r="E13" s="57"/>
      <c r="F13" s="57"/>
      <c r="G13" s="57"/>
      <c r="H13" s="57"/>
      <c r="I13" s="57"/>
      <c r="J13" s="57"/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 t="s">
        <v>25</v>
      </c>
      <c r="F14" s="21"/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69</v>
      </c>
    </row>
    <row r="17" spans="2:15" x14ac:dyDescent="0.4">
      <c r="B17" s="2" t="s">
        <v>26</v>
      </c>
      <c r="C17" s="20">
        <v>5</v>
      </c>
      <c r="D17" s="2" t="s">
        <v>70</v>
      </c>
      <c r="M17" s="13"/>
    </row>
    <row r="18" spans="2:15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5" x14ac:dyDescent="0.4">
      <c r="B19" s="56" t="s">
        <v>64</v>
      </c>
      <c r="C19" s="7" t="str">
        <f>Censal!$B$2</f>
        <v>Municipio</v>
      </c>
      <c r="D19" s="7">
        <f>MAX(Censal!C2:C93)+1</f>
        <v>2024</v>
      </c>
      <c r="E19" s="3">
        <f>ROUND($E$4*$D19+$E$5,0)</f>
        <v>106069</v>
      </c>
      <c r="F19" s="3">
        <f>ROUND($F$4*$D19^2+$F$5*$D19+$F$6,0)</f>
        <v>106073</v>
      </c>
      <c r="G19" s="3">
        <f>ROUND($G$4*$D19^3+$G$5*$D19^2+$G$6*$D19+$G$7,0)</f>
        <v>106077</v>
      </c>
      <c r="H19" s="3">
        <f>ROUND($H$4*$D19^4+$H$5*$D19^3+$H$6*$D19^2+$H$7*$D19+$H$8,0)</f>
        <v>106081</v>
      </c>
      <c r="I19" s="3">
        <f>ROUND($I$4*$D19^5+$I$5*$D19^4+$I$6*$D19^3+$I$7*$D19^2+$I$8*$D19+$I$9,0)</f>
        <v>106085</v>
      </c>
      <c r="J19" s="3">
        <f>ROUND($J$4*$D19^6+$J$5*$D19^5+$J$6*$D19^4+$J$7*$D19^3+$J$8*$D19^2+$J$9*$D19+$J$10,0)</f>
        <v>106089</v>
      </c>
      <c r="K19" s="3">
        <f>ROUND($K$4*LN(D19)+$K$5,0)</f>
        <v>106065</v>
      </c>
      <c r="L19" s="3">
        <f>ROUND(10^$L$5*$D19^$L$4,0)</f>
        <v>106341</v>
      </c>
      <c r="M19" s="4">
        <f>ROUND($M$5*EXP($M$4*$D19),0)</f>
        <v>106346</v>
      </c>
      <c r="O19" s="13"/>
    </row>
    <row r="20" spans="2:15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2029</v>
      </c>
      <c r="E20" s="3">
        <f t="shared" ref="E20:E29" si="3">ROUND($E$4*$D20+$E$5,0)</f>
        <v>122124</v>
      </c>
      <c r="F20" s="3">
        <f>ROUND($F$4*$D20^2+$F$5*$D20+$F$6,0)</f>
        <v>122172</v>
      </c>
      <c r="G20" s="3">
        <f>ROUND($G$4*$D20^3+$G$5*$D20^2+$G$6*$D20+$G$7,0)</f>
        <v>122219</v>
      </c>
      <c r="H20" s="3">
        <f t="shared" ref="H20:H29" si="4">ROUND($H$4*$D20^4+$H$5*$D20^3+$H$6*$D20^2+$H$7*$D20+$H$8,0)</f>
        <v>122267</v>
      </c>
      <c r="I20" s="3">
        <f t="shared" ref="I20:I29" si="5">ROUND($I$4*$D20^5+$I$5*$D20^4+$I$6*$D20^3+$I$7*$D20^2+$I$8*$D20+$I$9,0)</f>
        <v>122315</v>
      </c>
      <c r="J20" s="3">
        <f t="shared" ref="J20:J29" si="6">ROUND($J$4*$D20^6+$J$5*$D20^5+$J$6*$D20^4+$J$7*$D20^3+$J$8*$D20^2+$J$9*$D20+$J$10,0)</f>
        <v>122364</v>
      </c>
      <c r="K20" s="3">
        <f t="shared" ref="K20:K29" si="7">ROUND($K$4*LN(D20)+$K$5,0)</f>
        <v>122076</v>
      </c>
      <c r="L20" s="3">
        <f>ROUND(10^$L$5*$D20^$L$4,0)</f>
        <v>125579</v>
      </c>
      <c r="M20" s="4">
        <f t="shared" ref="M20:M29" si="8">ROUND($M$5*EXP($M$4*$D20),0)</f>
        <v>125641</v>
      </c>
    </row>
    <row r="21" spans="2:15" x14ac:dyDescent="0.4">
      <c r="B21" s="17" t="str">
        <f t="shared" ref="B21:B29" si="9">B20</f>
        <v>Proyectada</v>
      </c>
      <c r="C21" s="7" t="str">
        <f>Censal!$B$2</f>
        <v>Municipio</v>
      </c>
      <c r="D21" s="7">
        <f t="shared" si="2"/>
        <v>2034</v>
      </c>
      <c r="E21" s="3">
        <f t="shared" si="3"/>
        <v>138179</v>
      </c>
      <c r="F21" s="3">
        <f t="shared" ref="F21:F29" si="10">ROUND($F$4*$D21^2+$F$5*$D21+$F$6,0)</f>
        <v>138310</v>
      </c>
      <c r="G21" s="3">
        <f>ROUND($G$4*$D21^3+$G$5*$D21^2+$G$6*$D21+$G$7,0)</f>
        <v>138442</v>
      </c>
      <c r="H21" s="3">
        <f t="shared" si="4"/>
        <v>138574</v>
      </c>
      <c r="I21" s="3">
        <f t="shared" si="5"/>
        <v>138707</v>
      </c>
      <c r="J21" s="3">
        <f t="shared" si="6"/>
        <v>138840</v>
      </c>
      <c r="K21" s="3">
        <f t="shared" si="7"/>
        <v>138048</v>
      </c>
      <c r="L21" s="3">
        <f>ROUND(10^$L$5*$D21^$L$4,0)</f>
        <v>148235</v>
      </c>
      <c r="M21" s="4">
        <f t="shared" si="8"/>
        <v>148436</v>
      </c>
    </row>
    <row r="22" spans="2:15" x14ac:dyDescent="0.4">
      <c r="B22" s="17" t="str">
        <f t="shared" si="9"/>
        <v>Proyectada</v>
      </c>
      <c r="C22" s="7" t="str">
        <f>Censal!$B$2</f>
        <v>Municipio</v>
      </c>
      <c r="D22" s="7">
        <f t="shared" si="2"/>
        <v>2039</v>
      </c>
      <c r="E22" s="3">
        <f t="shared" si="3"/>
        <v>154234</v>
      </c>
      <c r="F22" s="3">
        <f>ROUND($F$4*$D22^2+$F$5*$D22+$F$6,0)</f>
        <v>154488</v>
      </c>
      <c r="G22" s="3">
        <f>ROUND($G$4*$D22^3+$G$5*$D22^2+$G$6*$D22+$G$7,0)</f>
        <v>154744</v>
      </c>
      <c r="H22" s="3">
        <f t="shared" si="4"/>
        <v>155001</v>
      </c>
      <c r="I22" s="3">
        <f t="shared" si="5"/>
        <v>155260</v>
      </c>
      <c r="J22" s="3">
        <f t="shared" si="6"/>
        <v>155520</v>
      </c>
      <c r="K22" s="3">
        <f t="shared" si="7"/>
        <v>153981</v>
      </c>
      <c r="L22" s="3">
        <f t="shared" ref="L22:L29" si="11">ROUND(10^$L$5*$D22^$L$4,0)</f>
        <v>174908</v>
      </c>
      <c r="M22" s="4">
        <f t="shared" si="8"/>
        <v>175368</v>
      </c>
    </row>
    <row r="23" spans="2:15" x14ac:dyDescent="0.4">
      <c r="B23" s="17" t="str">
        <f t="shared" si="9"/>
        <v>Proyectada</v>
      </c>
      <c r="C23" s="7" t="str">
        <f>Censal!$B$2</f>
        <v>Municipio</v>
      </c>
      <c r="D23" s="7">
        <f t="shared" si="2"/>
        <v>2044</v>
      </c>
      <c r="E23" s="3">
        <f t="shared" si="3"/>
        <v>170289</v>
      </c>
      <c r="F23" s="3">
        <f>ROUND($F$4*$D23^2+$F$5*$D23+$F$6,0)</f>
        <v>170706</v>
      </c>
      <c r="G23" s="3">
        <f t="shared" ref="G23:G29" si="12">ROUND($G$4*$D23^3+$G$5*$D23^2+$G$6*$D23+$G$7,0)</f>
        <v>171126</v>
      </c>
      <c r="H23" s="3">
        <f t="shared" si="4"/>
        <v>171550</v>
      </c>
      <c r="I23" s="3">
        <f t="shared" si="5"/>
        <v>171976</v>
      </c>
      <c r="J23" s="3">
        <f t="shared" si="6"/>
        <v>172406</v>
      </c>
      <c r="K23" s="3">
        <f t="shared" si="7"/>
        <v>169875</v>
      </c>
      <c r="L23" s="3">
        <f t="shared" si="11"/>
        <v>206297</v>
      </c>
      <c r="M23" s="4">
        <f t="shared" si="8"/>
        <v>207186</v>
      </c>
    </row>
    <row r="24" spans="2:15" x14ac:dyDescent="0.4">
      <c r="B24" s="17" t="str">
        <f t="shared" si="9"/>
        <v>Proyectada</v>
      </c>
      <c r="C24" s="7" t="str">
        <f>Censal!$B$2</f>
        <v>Municipio</v>
      </c>
      <c r="D24" s="7">
        <f t="shared" si="2"/>
        <v>2049</v>
      </c>
      <c r="E24" s="3">
        <f t="shared" si="3"/>
        <v>186344</v>
      </c>
      <c r="F24" s="3">
        <f t="shared" si="10"/>
        <v>186964</v>
      </c>
      <c r="G24" s="3">
        <f t="shared" si="12"/>
        <v>187589</v>
      </c>
      <c r="H24" s="3">
        <f t="shared" si="4"/>
        <v>188220</v>
      </c>
      <c r="I24" s="3">
        <f t="shared" si="5"/>
        <v>188857</v>
      </c>
      <c r="J24" s="3">
        <f t="shared" si="6"/>
        <v>189500</v>
      </c>
      <c r="K24" s="3">
        <f t="shared" si="7"/>
        <v>185730</v>
      </c>
      <c r="L24" s="3">
        <f t="shared" si="11"/>
        <v>243221</v>
      </c>
      <c r="M24" s="4">
        <f t="shared" si="8"/>
        <v>244777</v>
      </c>
    </row>
    <row r="25" spans="2:15" x14ac:dyDescent="0.4">
      <c r="B25" s="17" t="str">
        <f t="shared" si="9"/>
        <v>Proyectada</v>
      </c>
      <c r="C25" s="7" t="str">
        <f>Censal!$B$2</f>
        <v>Municipio</v>
      </c>
      <c r="D25" s="7">
        <f t="shared" si="2"/>
        <v>2054</v>
      </c>
      <c r="E25" s="3">
        <f t="shared" si="3"/>
        <v>202399</v>
      </c>
      <c r="F25" s="3">
        <f t="shared" si="10"/>
        <v>203261</v>
      </c>
      <c r="G25" s="3">
        <f t="shared" si="12"/>
        <v>204132</v>
      </c>
      <c r="H25" s="3">
        <f t="shared" si="4"/>
        <v>205013</v>
      </c>
      <c r="I25" s="3">
        <f t="shared" si="5"/>
        <v>205903</v>
      </c>
      <c r="J25" s="3">
        <f t="shared" si="6"/>
        <v>206804</v>
      </c>
      <c r="K25" s="3">
        <f t="shared" si="7"/>
        <v>201546</v>
      </c>
      <c r="L25" s="3">
        <f t="shared" si="11"/>
        <v>286639</v>
      </c>
      <c r="M25" s="4">
        <f t="shared" si="8"/>
        <v>289188</v>
      </c>
    </row>
    <row r="26" spans="2:15" x14ac:dyDescent="0.4">
      <c r="B26" s="17" t="str">
        <f t="shared" si="9"/>
        <v>Proyectada</v>
      </c>
      <c r="C26" s="7" t="str">
        <f>Censal!$B$2</f>
        <v>Municipio</v>
      </c>
      <c r="D26" s="7">
        <f t="shared" si="2"/>
        <v>2059</v>
      </c>
      <c r="E26" s="3">
        <f t="shared" si="3"/>
        <v>218454</v>
      </c>
      <c r="F26" s="3">
        <f t="shared" si="10"/>
        <v>219598</v>
      </c>
      <c r="G26" s="3">
        <f t="shared" si="12"/>
        <v>220756</v>
      </c>
      <c r="H26" s="3">
        <f t="shared" si="4"/>
        <v>221929</v>
      </c>
      <c r="I26" s="3">
        <f t="shared" si="5"/>
        <v>223117</v>
      </c>
      <c r="J26" s="3">
        <f t="shared" si="6"/>
        <v>224319</v>
      </c>
      <c r="K26" s="3">
        <f t="shared" si="7"/>
        <v>217324</v>
      </c>
      <c r="L26" s="3">
        <f t="shared" si="11"/>
        <v>337672</v>
      </c>
      <c r="M26" s="4">
        <f t="shared" si="8"/>
        <v>341657</v>
      </c>
    </row>
    <row r="27" spans="2:15" x14ac:dyDescent="0.4">
      <c r="B27" s="17" t="str">
        <f t="shared" si="9"/>
        <v>Proyectada</v>
      </c>
      <c r="C27" s="7" t="str">
        <f>Censal!$B$2</f>
        <v>Municipio</v>
      </c>
      <c r="D27" s="7">
        <f t="shared" si="2"/>
        <v>2064</v>
      </c>
      <c r="E27" s="3">
        <f t="shared" si="3"/>
        <v>234509</v>
      </c>
      <c r="F27" s="3">
        <f t="shared" si="10"/>
        <v>235975</v>
      </c>
      <c r="G27" s="3">
        <f t="shared" si="12"/>
        <v>237461</v>
      </c>
      <c r="H27" s="3">
        <f t="shared" si="4"/>
        <v>238969</v>
      </c>
      <c r="I27" s="3">
        <f t="shared" si="5"/>
        <v>240498</v>
      </c>
      <c r="J27" s="3">
        <f t="shared" si="6"/>
        <v>242049</v>
      </c>
      <c r="K27" s="3">
        <f t="shared" si="7"/>
        <v>233064</v>
      </c>
      <c r="L27" s="3">
        <f t="shared" si="11"/>
        <v>397633</v>
      </c>
      <c r="M27" s="4">
        <f t="shared" si="8"/>
        <v>403646</v>
      </c>
    </row>
    <row r="28" spans="2:15" x14ac:dyDescent="0.4">
      <c r="B28" s="17" t="str">
        <f t="shared" si="9"/>
        <v>Proyectada</v>
      </c>
      <c r="C28" s="7" t="str">
        <f>Censal!$B$2</f>
        <v>Municipio</v>
      </c>
      <c r="D28" s="7">
        <f t="shared" si="2"/>
        <v>2069</v>
      </c>
      <c r="E28" s="3">
        <f t="shared" si="3"/>
        <v>250564</v>
      </c>
      <c r="F28" s="3">
        <f t="shared" si="10"/>
        <v>252391</v>
      </c>
      <c r="G28" s="3">
        <f t="shared" si="12"/>
        <v>254247</v>
      </c>
      <c r="H28" s="3">
        <f t="shared" si="4"/>
        <v>256133</v>
      </c>
      <c r="I28" s="3">
        <f t="shared" si="5"/>
        <v>258048</v>
      </c>
      <c r="J28" s="3">
        <f t="shared" si="6"/>
        <v>259994</v>
      </c>
      <c r="K28" s="3">
        <f t="shared" si="7"/>
        <v>248765</v>
      </c>
      <c r="L28" s="3">
        <f t="shared" si="11"/>
        <v>468056</v>
      </c>
      <c r="M28" s="4">
        <f t="shared" si="8"/>
        <v>476881</v>
      </c>
    </row>
    <row r="29" spans="2:15" x14ac:dyDescent="0.4">
      <c r="B29" s="18" t="str">
        <f t="shared" si="9"/>
        <v>Proyectada</v>
      </c>
      <c r="C29" s="8" t="str">
        <f>Censal!$B$2</f>
        <v>Municipio</v>
      </c>
      <c r="D29" s="8">
        <f t="shared" si="2"/>
        <v>2074</v>
      </c>
      <c r="E29" s="5">
        <f t="shared" si="3"/>
        <v>266619</v>
      </c>
      <c r="F29" s="5">
        <f t="shared" si="10"/>
        <v>268847</v>
      </c>
      <c r="G29" s="5">
        <f t="shared" si="12"/>
        <v>271115</v>
      </c>
      <c r="H29" s="5">
        <f t="shared" si="4"/>
        <v>273422</v>
      </c>
      <c r="I29" s="5">
        <f t="shared" si="5"/>
        <v>275769</v>
      </c>
      <c r="J29" s="5">
        <f t="shared" si="6"/>
        <v>278158</v>
      </c>
      <c r="K29" s="5">
        <f t="shared" si="7"/>
        <v>264429</v>
      </c>
      <c r="L29" s="5">
        <f t="shared" si="11"/>
        <v>550735</v>
      </c>
      <c r="M29" s="6">
        <f t="shared" si="8"/>
        <v>563404</v>
      </c>
    </row>
    <row r="30" spans="2:15" x14ac:dyDescent="0.4">
      <c r="D30" s="13"/>
    </row>
    <row r="31" spans="2:15" x14ac:dyDescent="0.4">
      <c r="B31" s="2" t="s">
        <v>63</v>
      </c>
      <c r="D31" s="13"/>
    </row>
    <row r="32" spans="2:15" x14ac:dyDescent="0.4">
      <c r="B32" s="2" t="str">
        <f>_xlfn.CONCAT(Censal!A2," - Población censal ",Censal!B2," y población proyectada a ",D29-D19," años con diferentes tendencias")</f>
        <v>RNEC Censo Electoral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RNEC Censo Electoral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RNEC Censo Electoral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4"/>
  <sheetViews>
    <sheetView showGridLines="0" zoomScale="160" zoomScaleNormal="160" workbookViewId="0">
      <pane ySplit="1" topLeftCell="A2" activePane="bottomLeft" state="frozen"/>
      <selection pane="bottomLeft" activeCell="A3" sqref="A3:XFD4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RNEC Censo Electoral</v>
      </c>
      <c r="B2" s="2" t="str">
        <f>Censal!B2</f>
        <v>Municipio</v>
      </c>
      <c r="C2" s="2">
        <f>Censal!C2</f>
        <v>2019</v>
      </c>
      <c r="D2" s="2">
        <f>Censal!D2</f>
        <v>90014</v>
      </c>
    </row>
    <row r="3" spans="1:4" x14ac:dyDescent="0.4">
      <c r="A3" s="2" t="str">
        <f>Censal!A3</f>
        <v>RNEC Censo Electoral</v>
      </c>
      <c r="B3" s="2" t="str">
        <f>Censal!B3</f>
        <v>Municipio</v>
      </c>
      <c r="C3" s="2">
        <f>Censal!C3</f>
        <v>2023</v>
      </c>
      <c r="D3" s="2">
        <f>Censal!D3</f>
        <v>102858</v>
      </c>
    </row>
    <row r="4" spans="1:4" x14ac:dyDescent="0.4">
      <c r="A4" s="2" t="str">
        <f>ProyectadaTotal!B19</f>
        <v>Proyectada</v>
      </c>
      <c r="B4" s="2" t="str">
        <f>ProyectadaTotal!C19</f>
        <v>Municipio</v>
      </c>
      <c r="C4" s="2">
        <f>ProyectadaTotal!D19</f>
        <v>2024</v>
      </c>
      <c r="D4" s="2">
        <f>ProyectadaTotal!E19</f>
        <v>106069</v>
      </c>
    </row>
    <row r="5" spans="1:4" x14ac:dyDescent="0.4">
      <c r="A5" s="2" t="str">
        <f>ProyectadaTotal!B20</f>
        <v>Proyectada</v>
      </c>
      <c r="B5" s="2" t="str">
        <f>ProyectadaTotal!C20</f>
        <v>Municipio</v>
      </c>
      <c r="C5" s="2">
        <f>ProyectadaTotal!D20</f>
        <v>2029</v>
      </c>
      <c r="D5" s="2">
        <f>ProyectadaTotal!E20</f>
        <v>122124</v>
      </c>
    </row>
    <row r="6" spans="1:4" x14ac:dyDescent="0.4">
      <c r="A6" s="2" t="str">
        <f>ProyectadaTotal!B21</f>
        <v>Proyectada</v>
      </c>
      <c r="B6" s="2" t="str">
        <f>ProyectadaTotal!C21</f>
        <v>Municipio</v>
      </c>
      <c r="C6" s="2">
        <f>ProyectadaTotal!D21</f>
        <v>2034</v>
      </c>
      <c r="D6" s="2">
        <f>ProyectadaTotal!E21</f>
        <v>138179</v>
      </c>
    </row>
    <row r="7" spans="1:4" x14ac:dyDescent="0.4">
      <c r="A7" s="2" t="str">
        <f>ProyectadaTotal!B22</f>
        <v>Proyectada</v>
      </c>
      <c r="B7" s="2" t="str">
        <f>ProyectadaTotal!C22</f>
        <v>Municipio</v>
      </c>
      <c r="C7" s="2">
        <f>ProyectadaTotal!D22</f>
        <v>2039</v>
      </c>
      <c r="D7" s="2">
        <f>ProyectadaTotal!E22</f>
        <v>154234</v>
      </c>
    </row>
    <row r="8" spans="1:4" x14ac:dyDescent="0.4">
      <c r="A8" s="2" t="str">
        <f>ProyectadaTotal!B23</f>
        <v>Proyectada</v>
      </c>
      <c r="B8" s="2" t="str">
        <f>ProyectadaTotal!C23</f>
        <v>Municipio</v>
      </c>
      <c r="C8" s="2">
        <f>ProyectadaTotal!D23</f>
        <v>2044</v>
      </c>
      <c r="D8" s="2">
        <f>ProyectadaTotal!E23</f>
        <v>170289</v>
      </c>
    </row>
    <row r="9" spans="1:4" x14ac:dyDescent="0.4">
      <c r="A9" s="2" t="str">
        <f>ProyectadaTotal!B24</f>
        <v>Proyectada</v>
      </c>
      <c r="B9" s="2" t="str">
        <f>ProyectadaTotal!C24</f>
        <v>Municipio</v>
      </c>
      <c r="C9" s="2">
        <f>ProyectadaTotal!D24</f>
        <v>2049</v>
      </c>
      <c r="D9" s="2">
        <f>ProyectadaTotal!E24</f>
        <v>186344</v>
      </c>
    </row>
    <row r="10" spans="1:4" x14ac:dyDescent="0.4">
      <c r="A10" s="2" t="str">
        <f>ProyectadaTotal!B25</f>
        <v>Proyectada</v>
      </c>
      <c r="B10" s="2" t="str">
        <f>ProyectadaTotal!C25</f>
        <v>Municipio</v>
      </c>
      <c r="C10" s="2">
        <f>ProyectadaTotal!D25</f>
        <v>2054</v>
      </c>
      <c r="D10" s="2">
        <f>ProyectadaTotal!E25</f>
        <v>202399</v>
      </c>
    </row>
    <row r="11" spans="1:4" x14ac:dyDescent="0.4">
      <c r="A11" s="2" t="str">
        <f>ProyectadaTotal!B26</f>
        <v>Proyectada</v>
      </c>
      <c r="B11" s="2" t="str">
        <f>ProyectadaTotal!C26</f>
        <v>Municipio</v>
      </c>
      <c r="C11" s="2">
        <f>ProyectadaTotal!D26</f>
        <v>2059</v>
      </c>
      <c r="D11" s="2">
        <f>ProyectadaTotal!E26</f>
        <v>218454</v>
      </c>
    </row>
    <row r="12" spans="1:4" x14ac:dyDescent="0.4">
      <c r="A12" s="2" t="str">
        <f>ProyectadaTotal!B27</f>
        <v>Proyectada</v>
      </c>
      <c r="B12" s="2" t="str">
        <f>ProyectadaTotal!C27</f>
        <v>Municipio</v>
      </c>
      <c r="C12" s="2">
        <f>ProyectadaTotal!D27</f>
        <v>2064</v>
      </c>
      <c r="D12" s="2">
        <f>ProyectadaTotal!E27</f>
        <v>234509</v>
      </c>
    </row>
    <row r="13" spans="1:4" x14ac:dyDescent="0.4">
      <c r="A13" s="2" t="str">
        <f>ProyectadaTotal!B28</f>
        <v>Proyectada</v>
      </c>
      <c r="B13" s="2" t="str">
        <f>ProyectadaTotal!C28</f>
        <v>Municipio</v>
      </c>
      <c r="C13" s="2">
        <f>ProyectadaTotal!D28</f>
        <v>2069</v>
      </c>
      <c r="D13" s="2">
        <f>ProyectadaTotal!E28</f>
        <v>250564</v>
      </c>
    </row>
    <row r="14" spans="1:4" x14ac:dyDescent="0.4">
      <c r="A14" s="2" t="str">
        <f>ProyectadaTotal!B29</f>
        <v>Proyectada</v>
      </c>
      <c r="B14" s="2" t="str">
        <f>ProyectadaTotal!C29</f>
        <v>Municipio</v>
      </c>
      <c r="C14" s="2">
        <f>ProyectadaTotal!D29</f>
        <v>2074</v>
      </c>
      <c r="D14" s="2">
        <f>ProyectadaTotal!E29</f>
        <v>266619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2024-06-28T13:45:43Z</dcterms:modified>
</cp:coreProperties>
</file>