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pulationGIS\"/>
    </mc:Choice>
  </mc:AlternateContent>
  <xr:revisionPtr revIDLastSave="0" documentId="13_ncr:1_{D7C883CC-F5EA-4789-86A6-CB08285779DE}" xr6:coauthVersionLast="47" xr6:coauthVersionMax="47" xr10:uidLastSave="{00000000-0000-0000-0000-000000000000}"/>
  <bookViews>
    <workbookView xWindow="-98" yWindow="-98" windowWidth="23236" windowHeight="13875" tabRatio="769" activeTab="3" xr2:uid="{00000000-000D-0000-FFFF-FFFF00000000}"/>
  </bookViews>
  <sheets>
    <sheet name="PoblacionSISBEN" sheetId="10" r:id="rId1"/>
    <sheet name="TipoSueloEPE" sheetId="11" r:id="rId2"/>
    <sheet name="AguaPotSanBas" sheetId="14" r:id="rId3"/>
    <sheet name="PoblacionAreaDensEPEQ" sheetId="6" r:id="rId4"/>
    <sheet name="QAcueductoChart" sheetId="15" r:id="rId5"/>
    <sheet name="QAlcantarilladoChart" sheetId="16" r:id="rId6"/>
    <sheet name="PoblacionGISChart" sheetId="9" r:id="rId7"/>
    <sheet name="DensidadGISChart" sheetId="12" r:id="rId8"/>
    <sheet name="EPE"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6" l="1"/>
  <c r="P3" i="6"/>
  <c r="S3" i="6" s="1"/>
  <c r="O4" i="6"/>
  <c r="R4" i="6" s="1"/>
  <c r="P4" i="6"/>
  <c r="S4" i="6" s="1"/>
  <c r="O5" i="6"/>
  <c r="P5" i="6"/>
  <c r="O6" i="6"/>
  <c r="P6" i="6"/>
  <c r="O7" i="6"/>
  <c r="R7" i="6" s="1"/>
  <c r="P7" i="6"/>
  <c r="S7" i="6" s="1"/>
  <c r="O8" i="6"/>
  <c r="P8" i="6"/>
  <c r="O9" i="6"/>
  <c r="P9" i="6"/>
  <c r="S9" i="6" s="1"/>
  <c r="O10" i="6"/>
  <c r="R10" i="6" s="1"/>
  <c r="P10" i="6"/>
  <c r="S10" i="6" s="1"/>
  <c r="O11" i="6"/>
  <c r="P11" i="6"/>
  <c r="O12" i="6"/>
  <c r="P12" i="6"/>
  <c r="O13" i="6"/>
  <c r="P13" i="6"/>
  <c r="S13" i="6" s="1"/>
  <c r="O14" i="6"/>
  <c r="P14" i="6"/>
  <c r="O15" i="6"/>
  <c r="R15" i="6" s="1"/>
  <c r="P15" i="6"/>
  <c r="S15" i="6" s="1"/>
  <c r="O16" i="6"/>
  <c r="R16" i="6" s="1"/>
  <c r="P16" i="6"/>
  <c r="S16" i="6" s="1"/>
  <c r="O17" i="6"/>
  <c r="P17" i="6"/>
  <c r="O18" i="6"/>
  <c r="R18" i="6" s="1"/>
  <c r="P18" i="6"/>
  <c r="O19" i="6"/>
  <c r="R19" i="6" s="1"/>
  <c r="P19" i="6"/>
  <c r="S19" i="6" s="1"/>
  <c r="O20" i="6"/>
  <c r="P20" i="6"/>
  <c r="O21" i="6"/>
  <c r="P21" i="6"/>
  <c r="S21" i="6" s="1"/>
  <c r="O22" i="6"/>
  <c r="R22" i="6" s="1"/>
  <c r="P22" i="6"/>
  <c r="S22" i="6" s="1"/>
  <c r="O23" i="6"/>
  <c r="P23" i="6"/>
  <c r="P2" i="6"/>
  <c r="S2" i="6" s="1"/>
  <c r="O2" i="6"/>
  <c r="R2" i="6" s="1"/>
  <c r="N3" i="6"/>
  <c r="N4" i="6"/>
  <c r="N5" i="6"/>
  <c r="N6" i="6"/>
  <c r="R6" i="6"/>
  <c r="S6" i="6"/>
  <c r="N7" i="6"/>
  <c r="N8" i="6"/>
  <c r="N9" i="6"/>
  <c r="N10" i="6"/>
  <c r="N11" i="6"/>
  <c r="R11" i="6"/>
  <c r="N12" i="6"/>
  <c r="N13" i="6"/>
  <c r="N14" i="6"/>
  <c r="Q14" i="6" s="1"/>
  <c r="R14" i="6"/>
  <c r="S14" i="6"/>
  <c r="N15" i="6"/>
  <c r="N16" i="6"/>
  <c r="N17" i="6"/>
  <c r="S17" i="6"/>
  <c r="N18" i="6"/>
  <c r="Q18" i="6" s="1"/>
  <c r="S18" i="6"/>
  <c r="N19" i="6"/>
  <c r="N20" i="6"/>
  <c r="R20" i="6"/>
  <c r="N21" i="6"/>
  <c r="N22" i="6"/>
  <c r="N23" i="6"/>
  <c r="Q3" i="6"/>
  <c r="Q5" i="6"/>
  <c r="Q6" i="6"/>
  <c r="Q9" i="6"/>
  <c r="Q11" i="6"/>
  <c r="Q12" i="6"/>
  <c r="Q13" i="6"/>
  <c r="Q15" i="6"/>
  <c r="Q17" i="6"/>
  <c r="Q21" i="6"/>
  <c r="Q23" i="6"/>
  <c r="N2" i="6"/>
  <c r="Q2" i="6" s="1"/>
  <c r="R3" i="6"/>
  <c r="Q4" i="6"/>
  <c r="R5" i="6"/>
  <c r="S5" i="6"/>
  <c r="Q7" i="6"/>
  <c r="Q8" i="6"/>
  <c r="R8" i="6"/>
  <c r="S8" i="6"/>
  <c r="R9" i="6"/>
  <c r="Q10" i="6"/>
  <c r="S11" i="6"/>
  <c r="R12" i="6"/>
  <c r="S12" i="6"/>
  <c r="R13" i="6"/>
  <c r="Q16" i="6"/>
  <c r="R17" i="6"/>
  <c r="Q19" i="6"/>
  <c r="Q20" i="6"/>
  <c r="S20" i="6"/>
  <c r="R21" i="6"/>
  <c r="Q22" i="6"/>
  <c r="R23" i="6"/>
  <c r="S23" i="6"/>
  <c r="F2" i="6"/>
  <c r="D13" i="14"/>
  <c r="D10" i="14"/>
  <c r="E10" i="14" s="1"/>
  <c r="D9" i="14"/>
  <c r="E9" i="14" s="1"/>
  <c r="D8" i="14"/>
  <c r="E32" i="14" s="1"/>
  <c r="C18" i="11" a="1"/>
  <c r="C18" i="11" s="1"/>
  <c r="C17" i="11" a="1"/>
  <c r="C17" i="11" s="1"/>
  <c r="D18" i="11" a="1"/>
  <c r="D18" i="11" s="1"/>
  <c r="D17" i="11" a="1"/>
  <c r="D17" i="11" s="1"/>
  <c r="I4" i="6" s="1"/>
  <c r="F11" i="11"/>
  <c r="F12" i="11"/>
  <c r="F10" i="11"/>
  <c r="E3" i="6"/>
  <c r="E4" i="6"/>
  <c r="E5" i="6"/>
  <c r="E6" i="6"/>
  <c r="E7" i="6"/>
  <c r="E8" i="6"/>
  <c r="E9" i="6"/>
  <c r="E10" i="6"/>
  <c r="E11" i="6"/>
  <c r="E12" i="6"/>
  <c r="E13" i="6"/>
  <c r="E14" i="6"/>
  <c r="E15" i="6"/>
  <c r="E16" i="6"/>
  <c r="E17" i="6"/>
  <c r="E18" i="6"/>
  <c r="E19" i="6"/>
  <c r="E20" i="6"/>
  <c r="E21" i="6"/>
  <c r="E22" i="6"/>
  <c r="E23" i="6"/>
  <c r="E2" i="6"/>
  <c r="E31" i="14" l="1"/>
  <c r="E33" i="14"/>
  <c r="E34" i="14"/>
  <c r="E11" i="14"/>
  <c r="H4" i="6"/>
  <c r="I15" i="6"/>
  <c r="H15" i="6" s="1"/>
  <c r="J15" i="6" s="1"/>
  <c r="I3" i="6"/>
  <c r="I14" i="6"/>
  <c r="H14" i="6" s="1"/>
  <c r="J14" i="6" s="1"/>
  <c r="I13" i="6"/>
  <c r="H13" i="6" s="1"/>
  <c r="I2" i="6"/>
  <c r="I12" i="6"/>
  <c r="H12" i="6" s="1"/>
  <c r="J12" i="6" s="1"/>
  <c r="I16" i="6"/>
  <c r="H16" i="6" s="1"/>
  <c r="J16" i="6" s="1"/>
  <c r="I23" i="6"/>
  <c r="H23" i="6" s="1"/>
  <c r="J23" i="6" s="1"/>
  <c r="I11" i="6"/>
  <c r="H11" i="6" s="1"/>
  <c r="J11" i="6" s="1"/>
  <c r="I22" i="6"/>
  <c r="H22" i="6" s="1"/>
  <c r="J22" i="6" s="1"/>
  <c r="I10" i="6"/>
  <c r="H10" i="6" s="1"/>
  <c r="J10" i="6" s="1"/>
  <c r="I20" i="6"/>
  <c r="H20" i="6" s="1"/>
  <c r="J20" i="6" s="1"/>
  <c r="I8" i="6"/>
  <c r="H8" i="6" s="1"/>
  <c r="J8" i="6" s="1"/>
  <c r="I21" i="6"/>
  <c r="H21" i="6" s="1"/>
  <c r="J21" i="6" s="1"/>
  <c r="I9" i="6"/>
  <c r="H9" i="6" s="1"/>
  <c r="J9" i="6" s="1"/>
  <c r="I19" i="6"/>
  <c r="H19" i="6" s="1"/>
  <c r="J19" i="6" s="1"/>
  <c r="I7" i="6"/>
  <c r="I6" i="6"/>
  <c r="I17" i="6"/>
  <c r="H17" i="6" s="1"/>
  <c r="J17" i="6" s="1"/>
  <c r="I5" i="6"/>
  <c r="I18" i="6"/>
  <c r="H18" i="6" s="1"/>
  <c r="J18" i="6" s="1"/>
  <c r="C22" i="11"/>
  <c r="D22" i="11" s="1"/>
  <c r="F3" i="6"/>
  <c r="M3" i="6" s="1"/>
  <c r="F4" i="6"/>
  <c r="M4" i="6" s="1"/>
  <c r="F5" i="6"/>
  <c r="M5" i="6" s="1"/>
  <c r="F6" i="6"/>
  <c r="M6" i="6" s="1"/>
  <c r="F7" i="6"/>
  <c r="M7" i="6" s="1"/>
  <c r="F8" i="6"/>
  <c r="M8" i="6" s="1"/>
  <c r="F9" i="6"/>
  <c r="M9" i="6" s="1"/>
  <c r="F10" i="6"/>
  <c r="F11" i="6"/>
  <c r="F12" i="6"/>
  <c r="F13" i="6"/>
  <c r="F14" i="6"/>
  <c r="F15" i="6"/>
  <c r="M15" i="6" s="1"/>
  <c r="F16" i="6"/>
  <c r="M16" i="6" s="1"/>
  <c r="F17" i="6"/>
  <c r="M17" i="6" s="1"/>
  <c r="F18" i="6"/>
  <c r="M18" i="6" s="1"/>
  <c r="F19" i="6"/>
  <c r="M19" i="6" s="1"/>
  <c r="F20" i="6"/>
  <c r="M20" i="6" s="1"/>
  <c r="F21" i="6"/>
  <c r="M21" i="6" s="1"/>
  <c r="F22" i="6"/>
  <c r="F23" i="6"/>
  <c r="M23" i="6" s="1"/>
  <c r="H10" i="10"/>
  <c r="G10" i="10"/>
  <c r="H9" i="10"/>
  <c r="G9" i="10"/>
  <c r="C10" i="10" a="1"/>
  <c r="C10" i="10" s="1"/>
  <c r="C9" i="10" a="1"/>
  <c r="C9" i="10" s="1"/>
  <c r="H5" i="10"/>
  <c r="I5" i="10" s="1"/>
  <c r="H4" i="10"/>
  <c r="D10" i="10" s="1" a="1"/>
  <c r="D10" i="10" s="1"/>
  <c r="G5" i="10"/>
  <c r="G4" i="10"/>
  <c r="G11" i="6" l="1"/>
  <c r="L11" i="6" s="1"/>
  <c r="M11" i="6"/>
  <c r="G22" i="6"/>
  <c r="L22" i="6" s="1"/>
  <c r="M22" i="6"/>
  <c r="G10" i="6"/>
  <c r="M10" i="6"/>
  <c r="G13" i="6"/>
  <c r="L13" i="6" s="1"/>
  <c r="M13" i="6"/>
  <c r="G12" i="6"/>
  <c r="M12" i="6"/>
  <c r="G14" i="6"/>
  <c r="L14" i="6" s="1"/>
  <c r="M14" i="6"/>
  <c r="G2" i="6"/>
  <c r="L2" i="6" s="1"/>
  <c r="M2" i="6"/>
  <c r="D11" i="14"/>
  <c r="D12" i="14" s="1"/>
  <c r="K13" i="6"/>
  <c r="J13" i="6"/>
  <c r="H5" i="6"/>
  <c r="J5" i="6" s="1"/>
  <c r="K10" i="6"/>
  <c r="K4" i="6"/>
  <c r="J4" i="6"/>
  <c r="K22" i="6"/>
  <c r="H6" i="6"/>
  <c r="J6" i="6" s="1"/>
  <c r="H7" i="6"/>
  <c r="J7" i="6" s="1"/>
  <c r="H2" i="6"/>
  <c r="L10" i="6"/>
  <c r="H3" i="6"/>
  <c r="G9" i="6"/>
  <c r="L9" i="6" s="1"/>
  <c r="K9" i="6"/>
  <c r="G7" i="6"/>
  <c r="L7" i="6" s="1"/>
  <c r="G4" i="6"/>
  <c r="L4" i="6" s="1"/>
  <c r="G20" i="6"/>
  <c r="L20" i="6" s="1"/>
  <c r="K20" i="6"/>
  <c r="G5" i="6"/>
  <c r="L5" i="6" s="1"/>
  <c r="G16" i="6"/>
  <c r="L16" i="6" s="1"/>
  <c r="K16" i="6"/>
  <c r="G15" i="6"/>
  <c r="L15" i="6" s="1"/>
  <c r="K15" i="6"/>
  <c r="G3" i="6"/>
  <c r="L3" i="6" s="1"/>
  <c r="G21" i="6"/>
  <c r="L21" i="6" s="1"/>
  <c r="K21" i="6"/>
  <c r="G17" i="6"/>
  <c r="L17" i="6" s="1"/>
  <c r="K17" i="6"/>
  <c r="K11" i="6"/>
  <c r="G8" i="6"/>
  <c r="L8" i="6" s="1"/>
  <c r="K8" i="6"/>
  <c r="G19" i="6"/>
  <c r="L19" i="6" s="1"/>
  <c r="K19" i="6"/>
  <c r="G18" i="6"/>
  <c r="L18" i="6" s="1"/>
  <c r="K18" i="6"/>
  <c r="G6" i="6"/>
  <c r="L6" i="6" s="1"/>
  <c r="L12" i="6"/>
  <c r="K14" i="6"/>
  <c r="G23" i="6"/>
  <c r="L23" i="6" s="1"/>
  <c r="K23" i="6"/>
  <c r="K12" i="6"/>
  <c r="E22" i="11"/>
  <c r="I10" i="10"/>
  <c r="I9" i="10"/>
  <c r="D9" i="10" a="1"/>
  <c r="D9" i="10" s="1"/>
  <c r="I4" i="10"/>
  <c r="K6" i="6" l="1"/>
  <c r="K3" i="6"/>
  <c r="J3" i="6"/>
  <c r="K5" i="6"/>
  <c r="K2" i="6"/>
  <c r="J2" i="6"/>
  <c r="K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 authorId="0" shapeId="0" xr:uid="{7DBB7662-5E92-4F88-874E-C697DB91CB55}">
      <text>
        <r>
          <rPr>
            <sz val="9"/>
            <color indexed="81"/>
            <rFont val="Tahoma"/>
            <family val="2"/>
          </rPr>
          <t>Población total</t>
        </r>
      </text>
    </comment>
    <comment ref="E1" authorId="0" shapeId="0" xr:uid="{C4B0D29D-3A5D-4F24-A721-A2E561845AA5}">
      <text>
        <r>
          <rPr>
            <sz val="9"/>
            <color indexed="81"/>
            <rFont val="Tahoma"/>
            <family val="2"/>
          </rPr>
          <t>Porcentaje urbano</t>
        </r>
      </text>
    </comment>
    <comment ref="F1" authorId="0" shapeId="0" xr:uid="{28668795-8F94-4A02-B516-1F590D6429F3}">
      <text>
        <r>
          <rPr>
            <sz val="9"/>
            <color indexed="81"/>
            <rFont val="Tahoma"/>
            <family val="2"/>
          </rPr>
          <t>Población urbana</t>
        </r>
      </text>
    </comment>
    <comment ref="G1" authorId="0" shapeId="0" xr:uid="{0A60AD00-62FD-43D7-B58F-0AF908A53283}">
      <text>
        <r>
          <rPr>
            <sz val="9"/>
            <color indexed="81"/>
            <rFont val="Tahoma"/>
            <family val="2"/>
          </rPr>
          <t>Población rural</t>
        </r>
      </text>
    </comment>
    <comment ref="H1" authorId="0" shapeId="0" xr:uid="{CDE42DCF-29F9-40FF-BC55-C4625D85D6AA}">
      <text>
        <r>
          <rPr>
            <sz val="9"/>
            <color indexed="81"/>
            <rFont val="Tahoma"/>
            <family val="2"/>
          </rPr>
          <t>Área urbana proyectada linealmente</t>
        </r>
      </text>
    </comment>
    <comment ref="I1" authorId="0" shapeId="0" xr:uid="{5FC28843-A7DE-47EA-BB40-A4CEE76DEDA1}">
      <text>
        <r>
          <rPr>
            <sz val="9"/>
            <color indexed="81"/>
            <rFont val="Tahoma"/>
            <family val="2"/>
          </rPr>
          <t>Área rural proyectada linealmente.
Utilizando la regresión, al menos se debe dejar 1 ha para suelo urbano.</t>
        </r>
      </text>
    </comment>
    <comment ref="J1" authorId="0" shapeId="0" xr:uid="{57E91A39-6AE6-4ADF-83DD-6D7247F42E63}">
      <text>
        <r>
          <rPr>
            <sz val="9"/>
            <color indexed="81"/>
            <rFont val="Tahoma"/>
            <family val="2"/>
          </rPr>
          <t>Densidad total en habitantes / hectárea</t>
        </r>
      </text>
    </comment>
    <comment ref="K1" authorId="0" shapeId="0" xr:uid="{F1E8A7FD-5B5C-4812-B2D6-2CBD71A92030}">
      <text>
        <r>
          <rPr>
            <sz val="9"/>
            <color indexed="81"/>
            <rFont val="Tahoma"/>
            <family val="2"/>
          </rPr>
          <t>Densidad urbana en habitantes / hectárea</t>
        </r>
      </text>
    </comment>
    <comment ref="L1" authorId="0" shapeId="0" xr:uid="{2DD09233-94AA-4DD1-96AF-1EFE2862457A}">
      <text>
        <r>
          <rPr>
            <sz val="9"/>
            <color indexed="81"/>
            <rFont val="Tahoma"/>
            <family val="2"/>
          </rPr>
          <t>Densidad rural en habitantes / hectárea</t>
        </r>
      </text>
    </comment>
    <comment ref="N1" authorId="0" shapeId="0" xr:uid="{46767F03-0BB1-43B9-B66D-A9FB380A4F1F}">
      <text>
        <r>
          <rPr>
            <sz val="9"/>
            <color indexed="81"/>
            <rFont val="Tahoma"/>
            <family val="2"/>
          </rPr>
          <t>Caudal total requerido acueducto lps - día</t>
        </r>
      </text>
    </comment>
    <comment ref="O1" authorId="0" shapeId="0" xr:uid="{91FBA825-8321-4C16-BA53-BD03C5EB30EE}">
      <text>
        <r>
          <rPr>
            <sz val="9"/>
            <color indexed="81"/>
            <rFont val="Tahoma"/>
            <family val="2"/>
          </rPr>
          <t>Caudal urbano requerido acueducto lps - día</t>
        </r>
      </text>
    </comment>
    <comment ref="P1" authorId="0" shapeId="0" xr:uid="{DE5723A9-8645-48C5-A8C8-B1859F5ECEC9}">
      <text>
        <r>
          <rPr>
            <sz val="9"/>
            <color indexed="81"/>
            <rFont val="Tahoma"/>
            <family val="2"/>
          </rPr>
          <t>Caudal rural requerido acueducto lps - día</t>
        </r>
      </text>
    </comment>
    <comment ref="Q1" authorId="0" shapeId="0" xr:uid="{7AC6D96D-B4D2-4AD2-97A8-3ACFD250E9AE}">
      <text>
        <r>
          <rPr>
            <sz val="9"/>
            <color indexed="81"/>
            <rFont val="Tahoma"/>
            <family val="2"/>
          </rPr>
          <t>Caudal total sanitario residencial en lps - día</t>
        </r>
      </text>
    </comment>
    <comment ref="R1" authorId="0" shapeId="0" xr:uid="{4A5B18AA-D2A8-4139-AB75-B9D6581DC6A6}">
      <text>
        <r>
          <rPr>
            <sz val="9"/>
            <color indexed="81"/>
            <rFont val="Tahoma"/>
            <family val="2"/>
          </rPr>
          <t>Caudal urbano sanitario residencial en lps - día</t>
        </r>
      </text>
    </comment>
    <comment ref="S1" authorId="0" shapeId="0" xr:uid="{B6D4EC77-19BF-42EB-AE28-96E9A12A68FD}">
      <text>
        <r>
          <rPr>
            <sz val="9"/>
            <color indexed="81"/>
            <rFont val="Tahoma"/>
            <family val="2"/>
          </rPr>
          <t>Caudal rural sanitario residencial en lps - día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<sst xmlns="http://schemas.openxmlformats.org/spreadsheetml/2006/main" count="156" uniqueCount="89">
  <si>
    <t>Fuente</t>
  </si>
  <si>
    <t>Fecha</t>
  </si>
  <si>
    <t>PTotal</t>
  </si>
  <si>
    <t>Zona</t>
  </si>
  <si>
    <t>Municipio</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</si>
  <si>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</si>
  <si>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</si>
  <si>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</si>
  <si>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</si>
  <si>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</si>
  <si>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</si>
  <si>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</si>
  <si>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</si>
  <si>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</si>
  <si>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</si>
  <si>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</si>
  <si>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</si>
  <si>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</si>
  <si>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</si>
  <si>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</si>
  <si>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</si>
  <si>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</si>
  <si>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</si>
  <si>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</si>
  <si>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</si>
  <si>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</si>
  <si>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</si>
  <si>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</si>
  <si>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</si>
  <si>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</si>
  <si>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</si>
  <si>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</si>
  <si>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</si>
  <si>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</si>
  <si>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</si>
  <si>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</si>
  <si>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</si>
  <si>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</si>
  <si>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</si>
  <si>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</si>
  <si>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</si>
  <si>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</si>
  <si>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</si>
  <si>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</si>
  <si>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</si>
  <si>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</si>
  <si>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</si>
  <si>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</si>
  <si>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</si>
  <si>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</si>
  <si>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</si>
  <si>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Análisis de demanda de agua potable y caudal servido</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</si>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</sst>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5" fontId="5" fillId="0" borderId="1" xfId="0" applyNumberFormat="1" applyFont="1" applyBorder="1" applyAlignment="1">
      <alignment horizontal="left"/>
    </xf>
    <xf numFmtId="165" fontId="5" fillId="0" borderId="2" xfId="0" applyNumberFormat="1" applyFont="1" applyBorder="1" applyAlignment="1">
      <alignment horizontal="left"/>
    </xf>
    <xf numFmtId="165" fontId="5" fillId="0" borderId="5" xfId="0" applyNumberFormat="1" applyFont="1" applyBorder="1" applyAlignment="1">
      <alignment horizontal="left"/>
    </xf>
    <xf numFmtId="165"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6" fillId="0" borderId="1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2" xfId="0" applyFont="1" applyFill="1" applyBorder="1" applyAlignment="1">
      <alignment horizontal="left" vertical="top" wrapText="1"/>
    </xf>
    <xf numFmtId="0" fontId="1" fillId="0" borderId="5" xfId="0" applyFont="1" applyBorder="1" applyAlignment="1">
      <alignment horizontal="center"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horizontal="left" vertical="top" wrapText="1"/>
    </xf>
    <xf numFmtId="0" fontId="6" fillId="0" borderId="2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tyles" Target="styles.xml"/><Relationship Id="rId5" Type="http://schemas.openxmlformats.org/officeDocument/2006/relationships/chartsheet" Target="chartsheets/sheet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PoblacionAreaDensEPEQ!$N$1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PoblacionAreaDensEPEQ!$N$2:$N$23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PoblacionAreaDensEPEQ!$O$1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PoblacionAreaDensEPEQ!$O$2:$O$23</c:f>
              <c:numCache>
                <c:formatCode>0.00</c:formatCode>
                <c:ptCount val="22"/>
                <c:pt idx="0">
                  <c:v>11.517592592592592</c:v>
                </c:pt>
                <c:pt idx="1">
                  <c:v>18.601851851851851</c:v>
                </c:pt>
                <c:pt idx="2">
                  <c:v>19.886805555555554</c:v>
                </c:pt>
                <c:pt idx="3">
                  <c:v>33.424999999999997</c:v>
                </c:pt>
                <c:pt idx="4">
                  <c:v>43.28094218929408</c:v>
                </c:pt>
                <c:pt idx="5">
                  <c:v>60.036407075099092</c:v>
                </c:pt>
                <c:pt idx="6">
                  <c:v>86.621561736626305</c:v>
                </c:pt>
                <c:pt idx="7">
                  <c:v>97.109862202337112</c:v>
                </c:pt>
                <c:pt idx="8">
                  <c:v>109.07011381066648</c:v>
                </c:pt>
                <c:pt idx="9">
                  <c:v>132.56176643029988</c:v>
                </c:pt>
                <c:pt idx="10">
                  <c:v>161.3630498968848</c:v>
                </c:pt>
                <c:pt idx="11">
                  <c:v>159.32186965671548</c:v>
                </c:pt>
                <c:pt idx="12">
                  <c:v>170.81039990033705</c:v>
                </c:pt>
                <c:pt idx="13">
                  <c:v>182.31606162728079</c:v>
                </c:pt>
                <c:pt idx="14">
                  <c:v>193.78342602948499</c:v>
                </c:pt>
                <c:pt idx="15">
                  <c:v>205.16419609556513</c:v>
                </c:pt>
                <c:pt idx="16">
                  <c:v>216.40311361913604</c:v>
                </c:pt>
                <c:pt idx="17">
                  <c:v>227.4506360888081</c:v>
                </c:pt>
                <c:pt idx="18">
                  <c:v>238.25490059485804</c:v>
                </c:pt>
                <c:pt idx="19">
                  <c:v>248.76200816535706</c:v>
                </c:pt>
                <c:pt idx="20">
                  <c:v>258.92323528472878</c:v>
                </c:pt>
                <c:pt idx="21">
                  <c:v>268.68375025077984</c:v>
                </c:pt>
              </c:numCache>
            </c:numRef>
          </c:yVal>
          <c:smooth val="1"/>
          <c:extLst>
            <c:ext xmlns:c16="http://schemas.microsoft.com/office/drawing/2014/chart" uri="{C3380CC4-5D6E-409C-BE32-E72D297353CC}">
              <c16:uniqueId val="{00000005-6DBE-4319-8E4C-451C617EF0D1}"/>
            </c:ext>
          </c:extLst>
        </c:ser>
        <c:ser>
          <c:idx val="1"/>
          <c:order val="2"/>
          <c:tx>
            <c:strRef>
              <c:f>PoblacionAreaDensEPEQ!$P$1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PoblacionAreaDensEPEQ!$P$2:$P$23</c:f>
              <c:numCache>
                <c:formatCode>0.00</c:formatCode>
                <c:ptCount val="22"/>
                <c:pt idx="0">
                  <c:v>0</c:v>
                </c:pt>
                <c:pt idx="1">
                  <c:v>0</c:v>
                </c:pt>
                <c:pt idx="2">
                  <c:v>0</c:v>
                </c:pt>
                <c:pt idx="3">
                  <c:v>0</c:v>
                </c:pt>
                <c:pt idx="4">
                  <c:v>1.7248448477429537</c:v>
                </c:pt>
                <c:pt idx="5">
                  <c:v>4.5126669989749848</c:v>
                </c:pt>
                <c:pt idx="6">
                  <c:v>10.927975300410736</c:v>
                </c:pt>
                <c:pt idx="7">
                  <c:v>15.821850760625859</c:v>
                </c:pt>
                <c:pt idx="8">
                  <c:v>18.81437693007426</c:v>
                </c:pt>
                <c:pt idx="9">
                  <c:v>29.536844680811214</c:v>
                </c:pt>
                <c:pt idx="10">
                  <c:v>47.612876029041132</c:v>
                </c:pt>
                <c:pt idx="11">
                  <c:v>47.952667380321571</c:v>
                </c:pt>
                <c:pt idx="12">
                  <c:v>56.60210009966297</c:v>
                </c:pt>
                <c:pt idx="13">
                  <c:v>66.221206891237728</c:v>
                </c:pt>
                <c:pt idx="14">
                  <c:v>76.860555451996504</c:v>
                </c:pt>
                <c:pt idx="15">
                  <c:v>88.573303904434866</c:v>
                </c:pt>
                <c:pt idx="16">
                  <c:v>101.40984934382691</c:v>
                </c:pt>
                <c:pt idx="17">
                  <c:v>115.42297502230299</c:v>
                </c:pt>
                <c:pt idx="18">
                  <c:v>130.66454384958638</c:v>
                </c:pt>
                <c:pt idx="19">
                  <c:v>147.18521405686514</c:v>
                </c:pt>
                <c:pt idx="20">
                  <c:v>165.03857027082677</c:v>
                </c:pt>
                <c:pt idx="21">
                  <c:v>184.27458308255348</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PoblacionAreaDensEPEQ!$Q$1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PoblacionAreaDensEPEQ!$Q$2:$Q$23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PoblacionAreaDensEPEQ!$R$1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PoblacionAreaDensEPEQ!$R$2:$R$23</c:f>
              <c:numCache>
                <c:formatCode>0.00</c:formatCode>
                <c:ptCount val="22"/>
                <c:pt idx="0">
                  <c:v>9.7899537037037039</c:v>
                </c:pt>
                <c:pt idx="1">
                  <c:v>15.811574074074073</c:v>
                </c:pt>
                <c:pt idx="2">
                  <c:v>16.90378472222222</c:v>
                </c:pt>
                <c:pt idx="3">
                  <c:v>28.411249999999995</c:v>
                </c:pt>
                <c:pt idx="4">
                  <c:v>36.788800860899968</c:v>
                </c:pt>
                <c:pt idx="5">
                  <c:v>51.030946013834225</c:v>
                </c:pt>
                <c:pt idx="6">
                  <c:v>73.628327476132355</c:v>
                </c:pt>
                <c:pt idx="7">
                  <c:v>82.543382871986537</c:v>
                </c:pt>
                <c:pt idx="8">
                  <c:v>92.709596739066512</c:v>
                </c:pt>
                <c:pt idx="9">
                  <c:v>112.6775014657549</c:v>
                </c:pt>
                <c:pt idx="10">
                  <c:v>137.15859241235208</c:v>
                </c:pt>
                <c:pt idx="11">
                  <c:v>135.42358920820814</c:v>
                </c:pt>
                <c:pt idx="12">
                  <c:v>145.18883991528648</c:v>
                </c:pt>
                <c:pt idx="13">
                  <c:v>154.96865238318867</c:v>
                </c:pt>
                <c:pt idx="14">
                  <c:v>164.71591212506223</c:v>
                </c:pt>
                <c:pt idx="15">
                  <c:v>174.38956668123035</c:v>
                </c:pt>
                <c:pt idx="16">
                  <c:v>183.94264657626562</c:v>
                </c:pt>
                <c:pt idx="17">
                  <c:v>193.33304067548687</c:v>
                </c:pt>
                <c:pt idx="18">
                  <c:v>202.51666550562933</c:v>
                </c:pt>
                <c:pt idx="19">
                  <c:v>211.4477069405535</c:v>
                </c:pt>
                <c:pt idx="20">
                  <c:v>220.08474999201945</c:v>
                </c:pt>
                <c:pt idx="21">
                  <c:v>228.38118771316286</c:v>
                </c:pt>
              </c:numCache>
            </c:numRef>
          </c:yVal>
          <c:smooth val="1"/>
          <c:extLst>
            <c:ext xmlns:c16="http://schemas.microsoft.com/office/drawing/2014/chart" uri="{C3380CC4-5D6E-409C-BE32-E72D297353CC}">
              <c16:uniqueId val="{00000004-AF41-4827-AEA4-D9AD4EC36778}"/>
            </c:ext>
          </c:extLst>
        </c:ser>
        <c:ser>
          <c:idx val="1"/>
          <c:order val="2"/>
          <c:tx>
            <c:strRef>
              <c:f>PoblacionAreaDensEPEQ!$S$1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PoblacionAreaDensEPEQ!$S$2:$S$23</c:f>
              <c:numCache>
                <c:formatCode>0.00</c:formatCode>
                <c:ptCount val="22"/>
                <c:pt idx="0">
                  <c:v>0</c:v>
                </c:pt>
                <c:pt idx="1">
                  <c:v>0</c:v>
                </c:pt>
                <c:pt idx="2">
                  <c:v>0</c:v>
                </c:pt>
                <c:pt idx="3">
                  <c:v>0</c:v>
                </c:pt>
                <c:pt idx="4">
                  <c:v>1.4661181205815106</c:v>
                </c:pt>
                <c:pt idx="5">
                  <c:v>3.8357669491287369</c:v>
                </c:pt>
                <c:pt idx="6">
                  <c:v>9.2887790053491255</c:v>
                </c:pt>
                <c:pt idx="7">
                  <c:v>13.448573146531979</c:v>
                </c:pt>
                <c:pt idx="8">
                  <c:v>15.992220390563121</c:v>
                </c:pt>
                <c:pt idx="9">
                  <c:v>25.106317978689532</c:v>
                </c:pt>
                <c:pt idx="10">
                  <c:v>40.470944624684961</c:v>
                </c:pt>
                <c:pt idx="11">
                  <c:v>40.759767273273333</c:v>
                </c:pt>
                <c:pt idx="12">
                  <c:v>48.111785084713524</c:v>
                </c:pt>
                <c:pt idx="13">
                  <c:v>56.288025857552064</c:v>
                </c:pt>
                <c:pt idx="14">
                  <c:v>65.331472134197028</c:v>
                </c:pt>
                <c:pt idx="15">
                  <c:v>75.287308318769632</c:v>
                </c:pt>
                <c:pt idx="16">
                  <c:v>86.198371942252862</c:v>
                </c:pt>
                <c:pt idx="17">
                  <c:v>98.109528768957546</c:v>
                </c:pt>
                <c:pt idx="18">
                  <c:v>111.06486227214842</c:v>
                </c:pt>
                <c:pt idx="19">
                  <c:v>125.10743194833536</c:v>
                </c:pt>
                <c:pt idx="20">
                  <c:v>140.28278473020274</c:v>
                </c:pt>
                <c:pt idx="21">
                  <c:v>156.63339562017046</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PoblacionAreaDensEPEQ!$D$1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PoblacionAreaDensEPEQ!$D$2:$D$23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PoblacionAreaDensEPEQ!$F$1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PoblacionAreaDensEPEQ!$F$2:$F$23</c:f>
              <c:numCache>
                <c:formatCode>0</c:formatCode>
                <c:ptCount val="22"/>
                <c:pt idx="0">
                  <c:v>7108</c:v>
                </c:pt>
                <c:pt idx="1">
                  <c:v>11480</c:v>
                </c:pt>
                <c:pt idx="2">
                  <c:v>12273</c:v>
                </c:pt>
                <c:pt idx="3">
                  <c:v>20628</c:v>
                </c:pt>
                <c:pt idx="4">
                  <c:v>26710.524322535777</c:v>
                </c:pt>
                <c:pt idx="5">
                  <c:v>37051.039794918295</c:v>
                </c:pt>
                <c:pt idx="6">
                  <c:v>53457.878100317947</c:v>
                </c:pt>
                <c:pt idx="7">
                  <c:v>59930.65781629947</c:v>
                </c:pt>
                <c:pt idx="8">
                  <c:v>67311.841666011314</c:v>
                </c:pt>
                <c:pt idx="9">
                  <c:v>81809.547282699365</c:v>
                </c:pt>
                <c:pt idx="10">
                  <c:v>99584.053650648901</c:v>
                </c:pt>
                <c:pt idx="11">
                  <c:v>98324.35384528726</c:v>
                </c:pt>
                <c:pt idx="12">
                  <c:v>105414.418224208</c:v>
                </c:pt>
                <c:pt idx="13">
                  <c:v>112515.05517569328</c:v>
                </c:pt>
                <c:pt idx="14">
                  <c:v>119592.05720676787</c:v>
                </c:pt>
                <c:pt idx="15">
                  <c:v>126615.61816183449</c:v>
                </c:pt>
                <c:pt idx="16">
                  <c:v>133551.63583352396</c:v>
                </c:pt>
                <c:pt idx="17">
                  <c:v>140369.53541480729</c:v>
                </c:pt>
                <c:pt idx="18">
                  <c:v>147037.31008139811</c:v>
                </c:pt>
                <c:pt idx="19">
                  <c:v>153521.69646776322</c:v>
                </c:pt>
                <c:pt idx="20">
                  <c:v>159792.62520428977</c:v>
                </c:pt>
                <c:pt idx="21">
                  <c:v>165816.25729762414</c:v>
                </c:pt>
              </c:numCache>
            </c:numRef>
          </c:yVal>
          <c:smooth val="1"/>
          <c:extLst>
            <c:ext xmlns:c16="http://schemas.microsoft.com/office/drawing/2014/chart" uri="{C3380CC4-5D6E-409C-BE32-E72D297353CC}">
              <c16:uniqueId val="{00000000-1173-492D-AAB1-C9939508A352}"/>
            </c:ext>
          </c:extLst>
        </c:ser>
        <c:ser>
          <c:idx val="1"/>
          <c:order val="2"/>
          <c:tx>
            <c:strRef>
              <c:f>PoblacionAreaDensEPEQ!$G$1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PoblacionAreaDensEPEQ!$G$2:$G$23</c:f>
              <c:numCache>
                <c:formatCode>0</c:formatCode>
                <c:ptCount val="22"/>
                <c:pt idx="0">
                  <c:v>0</c:v>
                </c:pt>
                <c:pt idx="1">
                  <c:v>0</c:v>
                </c:pt>
                <c:pt idx="2">
                  <c:v>0</c:v>
                </c:pt>
                <c:pt idx="3">
                  <c:v>0</c:v>
                </c:pt>
                <c:pt idx="4">
                  <c:v>1064.4756774642228</c:v>
                </c:pt>
                <c:pt idx="5">
                  <c:v>2784.9602050817048</c:v>
                </c:pt>
                <c:pt idx="6">
                  <c:v>6744.1218996820535</c:v>
                </c:pt>
                <c:pt idx="7">
                  <c:v>9764.3421837005299</c:v>
                </c:pt>
                <c:pt idx="8">
                  <c:v>11611.158333988686</c:v>
                </c:pt>
                <c:pt idx="9">
                  <c:v>18228.452717300635</c:v>
                </c:pt>
                <c:pt idx="10">
                  <c:v>29383.946349351099</c:v>
                </c:pt>
                <c:pt idx="11">
                  <c:v>29593.64615471274</c:v>
                </c:pt>
                <c:pt idx="12">
                  <c:v>34931.581775792001</c:v>
                </c:pt>
                <c:pt idx="13">
                  <c:v>40867.944824306716</c:v>
                </c:pt>
                <c:pt idx="14">
                  <c:v>47433.942793232127</c:v>
                </c:pt>
                <c:pt idx="15">
                  <c:v>54662.381838165515</c:v>
                </c:pt>
                <c:pt idx="16">
                  <c:v>62584.364166476036</c:v>
                </c:pt>
                <c:pt idx="17">
                  <c:v>71232.464585192705</c:v>
                </c:pt>
                <c:pt idx="18">
                  <c:v>80638.689918601885</c:v>
                </c:pt>
                <c:pt idx="19">
                  <c:v>90834.30353223678</c:v>
                </c:pt>
                <c:pt idx="20">
                  <c:v>101852.37479571023</c:v>
                </c:pt>
                <c:pt idx="21">
                  <c:v>113723.74270237586</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PoblacionAreaDensEPEQ!$J$1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dLbl>
              <c:idx val="21"/>
              <c:layout>
                <c:manualLayout>
                  <c:x val="2.07665285419992E-3"/>
                  <c:y val="-4.0404040404040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9E-48C4-B4F4-7810C1F4519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PoblacionAreaDensEPEQ!$J$2:$J$23</c:f>
              <c:numCache>
                <c:formatCode>0.00</c:formatCode>
                <c:ptCount val="22"/>
                <c:pt idx="0">
                  <c:v>0.36484923021329407</c:v>
                </c:pt>
                <c:pt idx="1">
                  <c:v>0.58926127783463933</c:v>
                </c:pt>
                <c:pt idx="2">
                  <c:v>0.62996547585927942</c:v>
                </c:pt>
                <c:pt idx="3">
                  <c:v>1.0588224424366672</c:v>
                </c:pt>
                <c:pt idx="4">
                  <c:v>1.4256735184544518</c:v>
                </c:pt>
                <c:pt idx="5">
                  <c:v>2.0447571658380395</c:v>
                </c:pt>
                <c:pt idx="6">
                  <c:v>3.0901313108188986</c:v>
                </c:pt>
                <c:pt idx="7">
                  <c:v>3.5774011113837272</c:v>
                </c:pt>
                <c:pt idx="8">
                  <c:v>4.051068626353941</c:v>
                </c:pt>
                <c:pt idx="9">
                  <c:v>5.134888476656938</c:v>
                </c:pt>
                <c:pt idx="10">
                  <c:v>6.6198474285520703</c:v>
                </c:pt>
                <c:pt idx="11">
                  <c:v>6.5659515799696333</c:v>
                </c:pt>
                <c:pt idx="12">
                  <c:v>7.2038731096672723</c:v>
                </c:pt>
                <c:pt idx="13">
                  <c:v>7.8730542315427252</c:v>
                </c:pt>
                <c:pt idx="14">
                  <c:v>8.5733409574571837</c:v>
                </c:pt>
                <c:pt idx="15">
                  <c:v>9.3048872755494543</c:v>
                </c:pt>
                <c:pt idx="16">
                  <c:v>10.067539197680732</c:v>
                </c:pt>
                <c:pt idx="17">
                  <c:v>10.861399382610221</c:v>
                </c:pt>
                <c:pt idx="18">
                  <c:v>11.686467830337921</c:v>
                </c:pt>
                <c:pt idx="19">
                  <c:v>12.542641882104627</c:v>
                </c:pt>
                <c:pt idx="20">
                  <c:v>13.430075526049146</c:v>
                </c:pt>
                <c:pt idx="21">
                  <c:v>14.348614774032672</c:v>
                </c:pt>
              </c:numCache>
            </c:numRef>
          </c:yVal>
          <c:smooth val="1"/>
          <c:extLst>
            <c:ext xmlns:c16="http://schemas.microsoft.com/office/drawing/2014/chart" uri="{C3380CC4-5D6E-409C-BE32-E72D297353CC}">
              <c16:uniqueId val="{00000003-3D9E-48C4-B4F4-7810C1F45191}"/>
            </c:ext>
          </c:extLst>
        </c:ser>
        <c:ser>
          <c:idx val="0"/>
          <c:order val="1"/>
          <c:tx>
            <c:strRef>
              <c:f>PoblacionAreaDensEPEQ!$K$1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dLbl>
              <c:idx val="6"/>
              <c:layout>
                <c:manualLayout>
                  <c:x val="-1.3602076195009477E-3"/>
                  <c:y val="-5.4252445717012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C4-4F49-9B7B-1EB09C5315F8}"/>
                </c:ext>
              </c:extLst>
            </c:dLbl>
            <c:dLbl>
              <c:idx val="10"/>
              <c:layout>
                <c:manualLayout>
                  <c:x val="-2.4203389015700068E-2"/>
                  <c:y val="-5.38181818181819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C4-4F49-9B7B-1EB09C5315F8}"/>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PoblacionAreaDensEPEQ!$K$2:$K$23</c:f>
              <c:numCache>
                <c:formatCode>0.00</c:formatCode>
                <c:ptCount val="22"/>
                <c:pt idx="0">
                  <c:v>7108</c:v>
                </c:pt>
                <c:pt idx="1">
                  <c:v>11480</c:v>
                </c:pt>
                <c:pt idx="2">
                  <c:v>12273</c:v>
                </c:pt>
                <c:pt idx="3">
                  <c:v>20628</c:v>
                </c:pt>
                <c:pt idx="4">
                  <c:v>26710.524322535777</c:v>
                </c:pt>
                <c:pt idx="5">
                  <c:v>37051.039794918295</c:v>
                </c:pt>
                <c:pt idx="6">
                  <c:v>367.72064906401482</c:v>
                </c:pt>
                <c:pt idx="7">
                  <c:v>171.77385267199924</c:v>
                </c:pt>
                <c:pt idx="8">
                  <c:v>168.37562089567578</c:v>
                </c:pt>
                <c:pt idx="9">
                  <c:v>125.05902729845596</c:v>
                </c:pt>
                <c:pt idx="10">
                  <c:v>101.11270496214216</c:v>
                </c:pt>
                <c:pt idx="11">
                  <c:v>97.319889396976592</c:v>
                </c:pt>
                <c:pt idx="12">
                  <c:v>92.670463994036567</c:v>
                </c:pt>
                <c:pt idx="13">
                  <c:v>88.964621979020393</c:v>
                </c:pt>
                <c:pt idx="14">
                  <c:v>85.919104136585645</c:v>
                </c:pt>
                <c:pt idx="15">
                  <c:v>83.348419603327102</c:v>
                </c:pt>
                <c:pt idx="16">
                  <c:v>81.121793848455937</c:v>
                </c:pt>
                <c:pt idx="17">
                  <c:v>79.14795840704025</c:v>
                </c:pt>
                <c:pt idx="18">
                  <c:v>77.359322634223886</c:v>
                </c:pt>
                <c:pt idx="19">
                  <c:v>75.704634423561302</c:v>
                </c:pt>
                <c:pt idx="20">
                  <c:v>74.146223681273128</c:v>
                </c:pt>
                <c:pt idx="21">
                  <c:v>72.653166399617703</c:v>
                </c:pt>
              </c:numCache>
            </c:numRef>
          </c:yVal>
          <c:smooth val="1"/>
          <c:extLst>
            <c:ext xmlns:c16="http://schemas.microsoft.com/office/drawing/2014/chart" uri="{C3380CC4-5D6E-409C-BE32-E72D297353CC}">
              <c16:uniqueId val="{00000005-3D9E-48C4-B4F4-7810C1F45191}"/>
            </c:ext>
          </c:extLst>
        </c:ser>
        <c:ser>
          <c:idx val="1"/>
          <c:order val="2"/>
          <c:tx>
            <c:strRef>
              <c:f>PoblacionAreaDensEPEQ!$L$1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dLbls>
            <c:dLbl>
              <c:idx val="21"/>
              <c:layout>
                <c:manualLayout>
                  <c:x val="3.11497928129988E-3"/>
                  <c:y val="-8.08080808080808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C4-4F49-9B7B-1EB09C5315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PoblacionAreaDensEPEQ!$L$2:$L$23</c:f>
              <c:numCache>
                <c:formatCode>0.00</c:formatCode>
                <c:ptCount val="22"/>
                <c:pt idx="0">
                  <c:v>0</c:v>
                </c:pt>
                <c:pt idx="1">
                  <c:v>0</c:v>
                </c:pt>
                <c:pt idx="2">
                  <c:v>0</c:v>
                </c:pt>
                <c:pt idx="3">
                  <c:v>0</c:v>
                </c:pt>
                <c:pt idx="4">
                  <c:v>5.464168084957681E-2</c:v>
                </c:pt>
                <c:pt idx="5">
                  <c:v>0.14295761746980931</c:v>
                </c:pt>
                <c:pt idx="6">
                  <c:v>0.34877417272968836</c:v>
                </c:pt>
                <c:pt idx="7">
                  <c:v>0.51033697073568718</c:v>
                </c:pt>
                <c:pt idx="8">
                  <c:v>0.60847958125114521</c:v>
                </c:pt>
                <c:pt idx="9">
                  <c:v>0.96816419645642193</c:v>
                </c:pt>
                <c:pt idx="10">
                  <c:v>1.5885671549218519</c:v>
                </c:pt>
                <c:pt idx="11">
                  <c:v>1.6021074499205195</c:v>
                </c:pt>
                <c:pt idx="12">
                  <c:v>1.9041990769989954</c:v>
                </c:pt>
                <c:pt idx="13">
                  <c:v>2.2433586604530014</c:v>
                </c:pt>
                <c:pt idx="14">
                  <c:v>2.6220932270708506</c:v>
                </c:pt>
                <c:pt idx="15">
                  <c:v>3.0430698120149247</c:v>
                </c:pt>
                <c:pt idx="16">
                  <c:v>3.5089359959726703</c:v>
                </c:pt>
                <c:pt idx="17">
                  <c:v>4.0224985861803235</c:v>
                </c:pt>
                <c:pt idx="18">
                  <c:v>4.5866133108988514</c:v>
                </c:pt>
                <c:pt idx="19">
                  <c:v>5.2041765484263589</c:v>
                </c:pt>
                <c:pt idx="20">
                  <c:v>5.8782739580148107</c:v>
                </c:pt>
                <c:pt idx="21">
                  <c:v>6.6119528017713955</c:v>
                </c:pt>
              </c:numCache>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PoblacionAreaDensEPEQ!$M$1</c:f>
              <c:strCache>
                <c:ptCount val="1"/>
                <c:pt idx="0">
                  <c:v>EPEUrbHa</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PoblacionAreaDensEPEQ!$M$2:$M$23</c:f>
              <c:numCache>
                <c:formatCode>0</c:formatCode>
                <c:ptCount val="22"/>
                <c:pt idx="0">
                  <c:v>10.662000000000001</c:v>
                </c:pt>
                <c:pt idx="1">
                  <c:v>17.22</c:v>
                </c:pt>
                <c:pt idx="2">
                  <c:v>18.409500000000001</c:v>
                </c:pt>
                <c:pt idx="3">
                  <c:v>30.942</c:v>
                </c:pt>
                <c:pt idx="4">
                  <c:v>40.065786483803663</c:v>
                </c:pt>
                <c:pt idx="5">
                  <c:v>55.576559692377444</c:v>
                </c:pt>
                <c:pt idx="6">
                  <c:v>80.186817150476926</c:v>
                </c:pt>
                <c:pt idx="7">
                  <c:v>89.895986724449202</c:v>
                </c:pt>
                <c:pt idx="8">
                  <c:v>100.96776249901697</c:v>
                </c:pt>
                <c:pt idx="9">
                  <c:v>122.71432092404906</c:v>
                </c:pt>
                <c:pt idx="10">
                  <c:v>149.37608047597337</c:v>
                </c:pt>
                <c:pt idx="11">
                  <c:v>147.48653076793087</c:v>
                </c:pt>
                <c:pt idx="12">
                  <c:v>158.121627336312</c:v>
                </c:pt>
                <c:pt idx="13">
                  <c:v>168.77258276353993</c:v>
                </c:pt>
                <c:pt idx="14">
                  <c:v>179.38808581015181</c:v>
                </c:pt>
                <c:pt idx="15">
                  <c:v>189.92342724275173</c:v>
                </c:pt>
                <c:pt idx="16">
                  <c:v>200.32745375028594</c:v>
                </c:pt>
                <c:pt idx="17">
                  <c:v>210.55430312221091</c:v>
                </c:pt>
                <c:pt idx="18">
                  <c:v>220.55596512209718</c:v>
                </c:pt>
                <c:pt idx="19">
                  <c:v>230.28254470164484</c:v>
                </c:pt>
                <c:pt idx="20">
                  <c:v>239.68893780643464</c:v>
                </c:pt>
                <c:pt idx="21">
                  <c:v>248.72438594643623</c:v>
                </c:pt>
              </c:numCache>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heetViews>
  <sheetFormatPr defaultRowHeight="16.5" x14ac:dyDescent="0.6"/>
  <cols>
    <col min="1" max="1" width="2.59765625" style="3" customWidth="1"/>
    <col min="2" max="2" width="10.86328125" style="3" customWidth="1"/>
    <col min="3" max="16384" width="9.06640625" style="3"/>
  </cols>
  <sheetData>
    <row r="2" spans="2:9" x14ac:dyDescent="0.6">
      <c r="B2" s="3" t="s">
        <v>41</v>
      </c>
    </row>
    <row r="3" spans="2:9" x14ac:dyDescent="0.6">
      <c r="B3" s="8" t="s">
        <v>1</v>
      </c>
      <c r="C3" s="9" t="s">
        <v>2</v>
      </c>
      <c r="D3" s="9" t="s">
        <v>9</v>
      </c>
      <c r="E3" s="9" t="s">
        <v>10</v>
      </c>
      <c r="F3" s="9" t="s">
        <v>11</v>
      </c>
      <c r="G3" s="9" t="s">
        <v>14</v>
      </c>
      <c r="H3" s="9" t="s">
        <v>15</v>
      </c>
      <c r="I3" s="10" t="s">
        <v>16</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19</v>
      </c>
    </row>
    <row r="8" spans="2:9" x14ac:dyDescent="0.6">
      <c r="B8" s="26" t="s">
        <v>20</v>
      </c>
      <c r="C8" s="9" t="s">
        <v>17</v>
      </c>
      <c r="D8" s="10" t="s">
        <v>18</v>
      </c>
      <c r="F8" s="8" t="s">
        <v>26</v>
      </c>
      <c r="G8" s="9" t="s">
        <v>17</v>
      </c>
      <c r="H8" s="9" t="s">
        <v>18</v>
      </c>
      <c r="I8" s="10" t="s">
        <v>27</v>
      </c>
    </row>
    <row r="9" spans="2:9" x14ac:dyDescent="0.6">
      <c r="B9" s="27" t="s">
        <v>5</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6</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21</v>
      </c>
    </row>
    <row r="13" spans="2:9" x14ac:dyDescent="0.6">
      <c r="B13" s="11" t="s">
        <v>3</v>
      </c>
      <c r="C13" s="12" t="s">
        <v>23</v>
      </c>
      <c r="D13" s="12"/>
      <c r="E13" s="12"/>
      <c r="F13" s="12"/>
      <c r="G13" s="12"/>
      <c r="H13" s="12"/>
      <c r="I13" s="13"/>
    </row>
    <row r="14" spans="2:9" ht="16.5" customHeight="1" x14ac:dyDescent="0.6">
      <c r="B14" s="36" t="s">
        <v>22</v>
      </c>
      <c r="C14" s="32" t="s">
        <v>25</v>
      </c>
      <c r="D14" s="32"/>
      <c r="E14" s="32"/>
      <c r="F14" s="32"/>
      <c r="G14" s="32"/>
      <c r="H14" s="32"/>
      <c r="I14" s="33"/>
    </row>
    <row r="15" spans="2:9" x14ac:dyDescent="0.6">
      <c r="B15" s="37"/>
      <c r="C15" s="32"/>
      <c r="D15" s="32"/>
      <c r="E15" s="32"/>
      <c r="F15" s="32"/>
      <c r="G15" s="32"/>
      <c r="H15" s="32"/>
      <c r="I15" s="33"/>
    </row>
    <row r="16" spans="2:9" x14ac:dyDescent="0.6">
      <c r="B16" s="38"/>
      <c r="C16" s="32"/>
      <c r="D16" s="32"/>
      <c r="E16" s="32"/>
      <c r="F16" s="32"/>
      <c r="G16" s="32"/>
      <c r="H16" s="32"/>
      <c r="I16" s="33"/>
    </row>
    <row r="17" spans="2:9" ht="16.5" customHeight="1" x14ac:dyDescent="0.6">
      <c r="B17" s="36" t="s">
        <v>18</v>
      </c>
      <c r="C17" s="32" t="s">
        <v>24</v>
      </c>
      <c r="D17" s="32"/>
      <c r="E17" s="32"/>
      <c r="F17" s="32"/>
      <c r="G17" s="32"/>
      <c r="H17" s="32"/>
      <c r="I17" s="33"/>
    </row>
    <row r="18" spans="2:9" x14ac:dyDescent="0.6">
      <c r="B18" s="37"/>
      <c r="C18" s="32"/>
      <c r="D18" s="32"/>
      <c r="E18" s="32"/>
      <c r="F18" s="32"/>
      <c r="G18" s="32"/>
      <c r="H18" s="32"/>
      <c r="I18" s="33"/>
    </row>
    <row r="19" spans="2:9" x14ac:dyDescent="0.6">
      <c r="B19" s="39"/>
      <c r="C19" s="34"/>
      <c r="D19" s="34"/>
      <c r="E19" s="34"/>
      <c r="F19" s="34"/>
      <c r="G19" s="34"/>
      <c r="H19" s="34"/>
      <c r="I19" s="3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50</v>
      </c>
    </row>
    <row r="4" spans="2:6" x14ac:dyDescent="0.6">
      <c r="B4" s="3" t="s">
        <v>49</v>
      </c>
    </row>
    <row r="5" spans="2:6" x14ac:dyDescent="0.6">
      <c r="B5" s="51" t="s">
        <v>48</v>
      </c>
      <c r="C5" s="52"/>
      <c r="D5" s="47">
        <v>19482.02</v>
      </c>
      <c r="E5" s="48" t="s">
        <v>47</v>
      </c>
    </row>
    <row r="6" spans="2:6" x14ac:dyDescent="0.6">
      <c r="B6" s="53" t="s">
        <v>44</v>
      </c>
      <c r="C6" s="54"/>
      <c r="D6" s="49">
        <v>15</v>
      </c>
      <c r="E6" s="50" t="s">
        <v>45</v>
      </c>
    </row>
    <row r="8" spans="2:6" x14ac:dyDescent="0.6">
      <c r="B8" s="3" t="s">
        <v>43</v>
      </c>
    </row>
    <row r="9" spans="2:6" x14ac:dyDescent="0.6">
      <c r="B9" s="11" t="s">
        <v>34</v>
      </c>
      <c r="C9" s="9" t="s">
        <v>1</v>
      </c>
      <c r="D9" s="9" t="s">
        <v>31</v>
      </c>
      <c r="E9" s="9" t="s">
        <v>32</v>
      </c>
      <c r="F9" s="10" t="s">
        <v>33</v>
      </c>
    </row>
    <row r="10" spans="2:6" x14ac:dyDescent="0.6">
      <c r="B10" s="24" t="s">
        <v>29</v>
      </c>
      <c r="C10" s="17">
        <v>2010</v>
      </c>
      <c r="D10" s="17">
        <v>795.52</v>
      </c>
      <c r="E10" s="17">
        <v>18726.86</v>
      </c>
      <c r="F10" s="14">
        <f>E10+D10</f>
        <v>19522.38</v>
      </c>
    </row>
    <row r="11" spans="2:6" x14ac:dyDescent="0.6">
      <c r="B11" s="24" t="s">
        <v>28</v>
      </c>
      <c r="C11" s="17">
        <v>2013</v>
      </c>
      <c r="D11" s="17">
        <v>935.49</v>
      </c>
      <c r="E11" s="17">
        <v>18586.900000000001</v>
      </c>
      <c r="F11" s="14">
        <f>E11+D11</f>
        <v>19522.390000000003</v>
      </c>
    </row>
    <row r="12" spans="2:6" x14ac:dyDescent="0.6">
      <c r="B12" s="25" t="s">
        <v>30</v>
      </c>
      <c r="C12" s="19">
        <v>2020</v>
      </c>
      <c r="D12" s="19">
        <v>1024.53</v>
      </c>
      <c r="E12" s="19">
        <v>18457.490000000002</v>
      </c>
      <c r="F12" s="15">
        <f>E12+D12</f>
        <v>19482.02</v>
      </c>
    </row>
    <row r="14" spans="2:6" x14ac:dyDescent="0.6">
      <c r="B14" s="3" t="s">
        <v>35</v>
      </c>
    </row>
    <row r="15" spans="2:6" x14ac:dyDescent="0.6">
      <c r="B15" s="3" t="s">
        <v>19</v>
      </c>
    </row>
    <row r="16" spans="2:6" x14ac:dyDescent="0.6">
      <c r="B16" s="11" t="s">
        <v>20</v>
      </c>
      <c r="C16" s="40" t="s">
        <v>17</v>
      </c>
      <c r="D16" s="41" t="s">
        <v>18</v>
      </c>
    </row>
    <row r="17" spans="2:6" x14ac:dyDescent="0.6">
      <c r="B17" s="24" t="s">
        <v>5</v>
      </c>
      <c r="C17" s="42" cm="1">
        <f t="array" ref="C17">INDEX(LINEST(D10:D12,C10:C12^{1},TRUE,TRUE),1,1)</f>
        <v>21.09677215189873</v>
      </c>
      <c r="D17" s="43" cm="1">
        <f t="array" ref="D17">INDEX(LINEST(E10:E12,C10:C12^{1},TRUE,TRUE),1,1)</f>
        <v>-25.439556962025225</v>
      </c>
    </row>
    <row r="18" spans="2:6" x14ac:dyDescent="0.6">
      <c r="B18" s="25" t="s">
        <v>6</v>
      </c>
      <c r="C18" s="44" cm="1">
        <f t="array" ref="C18">INDEX(LINEST(D10:D12,C10:C12^{1},TRUE,TRUE),1,2)</f>
        <v>-41577.418037974669</v>
      </c>
      <c r="D18" s="45" cm="1">
        <f t="array" ref="D18">INDEX(LINEST(E10:E12,C10:C12^{1},TRUE,TRUE),1,2)</f>
        <v>69834.164240506143</v>
      </c>
    </row>
    <row r="20" spans="2:6" x14ac:dyDescent="0.6">
      <c r="B20" s="3" t="s">
        <v>42</v>
      </c>
    </row>
    <row r="21" spans="2:6" x14ac:dyDescent="0.6">
      <c r="B21" s="8" t="s">
        <v>1</v>
      </c>
      <c r="C21" s="9" t="s">
        <v>17</v>
      </c>
      <c r="D21" s="9" t="s">
        <v>18</v>
      </c>
      <c r="E21" s="10" t="s">
        <v>27</v>
      </c>
    </row>
    <row r="22" spans="2:6" x14ac:dyDescent="0.6">
      <c r="B22" s="18">
        <v>2020</v>
      </c>
      <c r="C22" s="29">
        <f>$C$17*B22+$C$18</f>
        <v>1038.0617088607687</v>
      </c>
      <c r="D22" s="29">
        <f>D5-C22</f>
        <v>18443.958291139232</v>
      </c>
      <c r="E22" s="30">
        <f>C22+D22</f>
        <v>19482.02</v>
      </c>
      <c r="F22" s="46"/>
    </row>
    <row r="23" spans="2:6" x14ac:dyDescent="0.6">
      <c r="B23" s="46"/>
      <c r="C23" s="46"/>
      <c r="D23" s="46"/>
      <c r="E23" s="46"/>
      <c r="F23" s="46"/>
    </row>
    <row r="24" spans="2:6" x14ac:dyDescent="0.6">
      <c r="F24" s="46"/>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37"/>
  <sheetViews>
    <sheetView showGridLines="0" topLeftCell="F5" zoomScale="130" zoomScaleNormal="130" workbookViewId="0">
      <selection activeCell="E43" sqref="E43"/>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51</v>
      </c>
    </row>
    <row r="4" spans="2:5" x14ac:dyDescent="0.45">
      <c r="B4" s="1" t="s">
        <v>49</v>
      </c>
    </row>
    <row r="5" spans="2:5" x14ac:dyDescent="0.45">
      <c r="B5" s="83" t="s">
        <v>68</v>
      </c>
      <c r="C5" s="84"/>
      <c r="D5" s="55">
        <v>128968</v>
      </c>
      <c r="E5" s="58" t="s">
        <v>72</v>
      </c>
    </row>
    <row r="6" spans="2:5" x14ac:dyDescent="0.45">
      <c r="B6" s="85" t="s">
        <v>61</v>
      </c>
      <c r="C6" s="67"/>
      <c r="D6" s="61" t="s">
        <v>57</v>
      </c>
      <c r="E6" s="62"/>
    </row>
    <row r="7" spans="2:5" x14ac:dyDescent="0.45">
      <c r="B7" s="85" t="s">
        <v>74</v>
      </c>
      <c r="C7" s="67"/>
      <c r="D7" s="61">
        <v>2600</v>
      </c>
      <c r="E7" s="62" t="s">
        <v>73</v>
      </c>
    </row>
    <row r="8" spans="2:5" x14ac:dyDescent="0.45">
      <c r="B8" s="85" t="s">
        <v>64</v>
      </c>
      <c r="C8" s="67"/>
      <c r="D8" s="73" t="str">
        <f>IF(D7&lt;=1000,D30,C30)</f>
        <v>Clima templado o frío</v>
      </c>
      <c r="E8" s="62"/>
    </row>
    <row r="9" spans="2:5" x14ac:dyDescent="0.45">
      <c r="B9" s="85" t="s">
        <v>65</v>
      </c>
      <c r="C9" s="67"/>
      <c r="D9" s="73" t="str">
        <f>IF(D5&lt;=D17,C17,IF(D5&lt;=D18,C18,IF(D5&lt;=D19,C19,C20)))</f>
        <v>Alto</v>
      </c>
      <c r="E9" s="62">
        <f>INDEX($B$17:$B$20,MATCH(D9,$C$17:$C$20,0))</f>
        <v>4</v>
      </c>
    </row>
    <row r="10" spans="2:5" x14ac:dyDescent="0.45">
      <c r="B10" s="85" t="s">
        <v>67</v>
      </c>
      <c r="C10" s="67"/>
      <c r="D10" s="73" t="str">
        <f>IF(AND(D6=E17,D5&lt;=D17),C17,IF(AND(D6=E18,D5&lt;=D18),C18,IF(D6=E19,C19,IF(D6=E20,C20,C17))))</f>
        <v>Bajo</v>
      </c>
      <c r="E10" s="62">
        <f>INDEX($B$17:$B$20,MATCH(D10,$C$17:$C$20,0))</f>
        <v>1</v>
      </c>
    </row>
    <row r="11" spans="2:5" x14ac:dyDescent="0.45">
      <c r="B11" s="85" t="s">
        <v>69</v>
      </c>
      <c r="C11" s="67"/>
      <c r="D11" s="74" t="str">
        <f>VLOOKUP(E11,B17:C20,2)</f>
        <v>Alto</v>
      </c>
      <c r="E11" s="62">
        <f>MAX(E9:E10)</f>
        <v>4</v>
      </c>
    </row>
    <row r="12" spans="2:5" ht="16.5" customHeight="1" x14ac:dyDescent="0.45">
      <c r="B12" s="85" t="s">
        <v>70</v>
      </c>
      <c r="C12" s="67"/>
      <c r="D12" s="74">
        <f>VLOOKUP(D11,B31:E34,4, FALSE)</f>
        <v>140</v>
      </c>
      <c r="E12" s="62" t="s">
        <v>81</v>
      </c>
    </row>
    <row r="13" spans="2:5" ht="16.5" customHeight="1" x14ac:dyDescent="0.45">
      <c r="B13" s="91" t="s">
        <v>79</v>
      </c>
      <c r="C13" s="92"/>
      <c r="D13" s="75">
        <f>VLOOKUP(D11,B31:F34,5, FALSE)</f>
        <v>0.85</v>
      </c>
      <c r="E13" s="59" t="s">
        <v>80</v>
      </c>
    </row>
    <row r="15" spans="2:5" x14ac:dyDescent="0.45">
      <c r="B15" s="1" t="s">
        <v>63</v>
      </c>
    </row>
    <row r="16" spans="2:5" ht="33" x14ac:dyDescent="0.45">
      <c r="B16" s="71" t="s">
        <v>52</v>
      </c>
      <c r="C16" s="72"/>
      <c r="D16" s="68" t="s">
        <v>66</v>
      </c>
      <c r="E16" s="69" t="s">
        <v>61</v>
      </c>
    </row>
    <row r="17" spans="2:6" x14ac:dyDescent="0.45">
      <c r="B17" s="60">
        <v>1</v>
      </c>
      <c r="C17" s="64" t="s">
        <v>53</v>
      </c>
      <c r="D17" s="70">
        <v>2500</v>
      </c>
      <c r="E17" s="56" t="s">
        <v>57</v>
      </c>
    </row>
    <row r="18" spans="2:6" x14ac:dyDescent="0.45">
      <c r="B18" s="60">
        <v>2</v>
      </c>
      <c r="C18" s="64" t="s">
        <v>54</v>
      </c>
      <c r="D18" s="70">
        <v>12500</v>
      </c>
      <c r="E18" s="56" t="s">
        <v>57</v>
      </c>
    </row>
    <row r="19" spans="2:6" x14ac:dyDescent="0.45">
      <c r="B19" s="60">
        <v>3</v>
      </c>
      <c r="C19" s="64" t="s">
        <v>76</v>
      </c>
      <c r="D19" s="70">
        <v>60000</v>
      </c>
      <c r="E19" s="56" t="s">
        <v>58</v>
      </c>
    </row>
    <row r="20" spans="2:6" x14ac:dyDescent="0.45">
      <c r="B20" s="63">
        <v>4</v>
      </c>
      <c r="C20" s="65" t="s">
        <v>55</v>
      </c>
      <c r="D20" s="82">
        <v>99999999</v>
      </c>
      <c r="E20" s="57" t="s">
        <v>59</v>
      </c>
    </row>
    <row r="21" spans="2:6" x14ac:dyDescent="0.45">
      <c r="B21" s="76" t="s">
        <v>71</v>
      </c>
      <c r="C21" s="77"/>
      <c r="D21" s="77"/>
      <c r="E21" s="78"/>
    </row>
    <row r="22" spans="2:6" x14ac:dyDescent="0.45">
      <c r="B22" s="76"/>
      <c r="C22" s="77"/>
      <c r="D22" s="77"/>
      <c r="E22" s="78"/>
    </row>
    <row r="23" spans="2:6" x14ac:dyDescent="0.45">
      <c r="B23" s="76"/>
      <c r="C23" s="77"/>
      <c r="D23" s="77"/>
      <c r="E23" s="78"/>
    </row>
    <row r="24" spans="2:6" x14ac:dyDescent="0.45">
      <c r="B24" s="76"/>
      <c r="C24" s="77"/>
      <c r="D24" s="77"/>
      <c r="E24" s="78"/>
    </row>
    <row r="25" spans="2:6" x14ac:dyDescent="0.45">
      <c r="B25" s="76"/>
      <c r="C25" s="77"/>
      <c r="D25" s="77"/>
      <c r="E25" s="78"/>
    </row>
    <row r="26" spans="2:6" x14ac:dyDescent="0.45">
      <c r="B26" s="79"/>
      <c r="C26" s="80"/>
      <c r="D26" s="80"/>
      <c r="E26" s="81"/>
    </row>
    <row r="28" spans="2:6" ht="16.5" customHeight="1" x14ac:dyDescent="0.45">
      <c r="B28" s="87" t="s">
        <v>88</v>
      </c>
      <c r="C28" s="87"/>
      <c r="D28" s="87"/>
      <c r="E28" s="87"/>
      <c r="F28" s="87"/>
    </row>
    <row r="29" spans="2:6" x14ac:dyDescent="0.45">
      <c r="B29" s="86"/>
      <c r="C29" s="86"/>
      <c r="D29" s="86"/>
      <c r="E29" s="86"/>
      <c r="F29" s="86"/>
    </row>
    <row r="30" spans="2:6" ht="49.5" x14ac:dyDescent="0.45">
      <c r="B30" s="66" t="s">
        <v>56</v>
      </c>
      <c r="C30" s="68" t="s">
        <v>62</v>
      </c>
      <c r="D30" s="68" t="s">
        <v>60</v>
      </c>
      <c r="E30" s="68" t="s">
        <v>75</v>
      </c>
      <c r="F30" s="69" t="s">
        <v>78</v>
      </c>
    </row>
    <row r="31" spans="2:6" x14ac:dyDescent="0.45">
      <c r="B31" s="60" t="s">
        <v>53</v>
      </c>
      <c r="C31" s="70">
        <v>90</v>
      </c>
      <c r="D31" s="70">
        <v>100</v>
      </c>
      <c r="E31" s="70">
        <f>IF($D$8=$C$30,C31,D31)</f>
        <v>90</v>
      </c>
      <c r="F31" s="56">
        <v>0.8</v>
      </c>
    </row>
    <row r="32" spans="2:6" x14ac:dyDescent="0.45">
      <c r="B32" s="60" t="s">
        <v>54</v>
      </c>
      <c r="C32" s="70">
        <v>115</v>
      </c>
      <c r="D32" s="70">
        <v>125</v>
      </c>
      <c r="E32" s="70">
        <f>IF($D$8=$C$30,C32,D32)</f>
        <v>115</v>
      </c>
      <c r="F32" s="56">
        <v>0.8</v>
      </c>
    </row>
    <row r="33" spans="2:6" x14ac:dyDescent="0.45">
      <c r="B33" s="60" t="s">
        <v>76</v>
      </c>
      <c r="C33" s="70">
        <v>125</v>
      </c>
      <c r="D33" s="70">
        <v>135</v>
      </c>
      <c r="E33" s="70">
        <f>IF($D$8=$C$30,C33,D33)</f>
        <v>125</v>
      </c>
      <c r="F33" s="56">
        <v>0.85</v>
      </c>
    </row>
    <row r="34" spans="2:6" x14ac:dyDescent="0.45">
      <c r="B34" s="63" t="s">
        <v>55</v>
      </c>
      <c r="C34" s="82">
        <v>140</v>
      </c>
      <c r="D34" s="82">
        <v>150</v>
      </c>
      <c r="E34" s="82">
        <f>IF($D$8=$C$30,C34,D34)</f>
        <v>140</v>
      </c>
      <c r="F34" s="57">
        <v>0.85</v>
      </c>
    </row>
    <row r="35" spans="2:6" ht="16.5" customHeight="1" x14ac:dyDescent="0.45">
      <c r="B35" s="88" t="s">
        <v>77</v>
      </c>
      <c r="C35" s="89"/>
      <c r="D35" s="89"/>
      <c r="E35" s="89"/>
      <c r="F35" s="90"/>
    </row>
    <row r="36" spans="2:6" ht="16.5" customHeight="1" x14ac:dyDescent="0.45">
      <c r="B36" s="76"/>
      <c r="C36" s="77"/>
      <c r="D36" s="77"/>
      <c r="E36" s="77"/>
      <c r="F36" s="78"/>
    </row>
    <row r="37" spans="2:6" x14ac:dyDescent="0.45">
      <c r="B37" s="79"/>
      <c r="C37" s="80"/>
      <c r="D37" s="80"/>
      <c r="E37" s="80"/>
      <c r="F37" s="81"/>
    </row>
  </sheetData>
  <mergeCells count="13">
    <mergeCell ref="B35:F37"/>
    <mergeCell ref="B28:F29"/>
    <mergeCell ref="B13:C13"/>
    <mergeCell ref="B21:E26"/>
    <mergeCell ref="B9:C9"/>
    <mergeCell ref="B10:C10"/>
    <mergeCell ref="B11:C11"/>
    <mergeCell ref="B7:C7"/>
    <mergeCell ref="B8:C8"/>
    <mergeCell ref="B12:C12"/>
    <mergeCell ref="B6:C6"/>
    <mergeCell ref="B5:C5"/>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S23"/>
  <sheetViews>
    <sheetView showGridLines="0" tabSelected="1" zoomScale="130" zoomScaleNormal="130" workbookViewId="0">
      <pane xSplit="3" ySplit="1" topLeftCell="H2" activePane="bottomRight" state="frozen"/>
      <selection pane="topRight" activeCell="D1" sqref="D1"/>
      <selection pane="bottomLeft" activeCell="A2" sqref="A2"/>
      <selection pane="bottomRight" sqref="A1:XFD1048576"/>
    </sheetView>
  </sheetViews>
  <sheetFormatPr defaultColWidth="9.19921875" defaultRowHeight="16.5" x14ac:dyDescent="0.45"/>
  <cols>
    <col min="1" max="1" width="14.19921875" style="1" customWidth="1"/>
    <col min="2" max="2" width="11.73046875" style="1" customWidth="1"/>
    <col min="3" max="3" width="8.33203125" style="1" customWidth="1"/>
    <col min="4" max="5" width="10.73046875" style="1" customWidth="1"/>
    <col min="6" max="6" width="12" style="1" bestFit="1" customWidth="1"/>
    <col min="7" max="7" width="11.73046875" style="1" customWidth="1"/>
    <col min="8" max="8" width="13.33203125" style="1" customWidth="1"/>
    <col min="9" max="10" width="11.73046875" style="1" customWidth="1"/>
    <col min="11" max="11" width="9.265625" style="1" customWidth="1"/>
    <col min="12" max="12" width="10.3984375" style="1" customWidth="1"/>
    <col min="13" max="13" width="10.6640625" style="1" customWidth="1"/>
    <col min="14" max="14" width="10.6640625" style="31" customWidth="1"/>
    <col min="15" max="16384" width="9.19921875" style="1"/>
  </cols>
  <sheetData>
    <row r="1" spans="1:19" x14ac:dyDescent="0.45">
      <c r="A1" s="2" t="s">
        <v>0</v>
      </c>
      <c r="B1" s="2" t="s">
        <v>3</v>
      </c>
      <c r="C1" s="2" t="s">
        <v>1</v>
      </c>
      <c r="D1" s="2" t="s">
        <v>2</v>
      </c>
      <c r="E1" s="2" t="s">
        <v>14</v>
      </c>
      <c r="F1" s="2" t="s">
        <v>12</v>
      </c>
      <c r="G1" s="2" t="s">
        <v>13</v>
      </c>
      <c r="H1" s="2" t="s">
        <v>39</v>
      </c>
      <c r="I1" s="2" t="s">
        <v>40</v>
      </c>
      <c r="J1" s="2" t="s">
        <v>38</v>
      </c>
      <c r="K1" s="2" t="s">
        <v>36</v>
      </c>
      <c r="L1" s="2" t="s">
        <v>37</v>
      </c>
      <c r="M1" s="2" t="s">
        <v>46</v>
      </c>
      <c r="N1" s="2" t="s">
        <v>83</v>
      </c>
      <c r="O1" s="2" t="s">
        <v>82</v>
      </c>
      <c r="P1" s="2" t="s">
        <v>84</v>
      </c>
      <c r="Q1" s="2" t="s">
        <v>85</v>
      </c>
      <c r="R1" s="2" t="s">
        <v>86</v>
      </c>
      <c r="S1" s="2" t="s">
        <v>87</v>
      </c>
    </row>
    <row r="2" spans="1:19" x14ac:dyDescent="0.45">
      <c r="A2" s="1" t="s">
        <v>7</v>
      </c>
      <c r="B2" s="1" t="s">
        <v>4</v>
      </c>
      <c r="C2" s="1">
        <v>1905</v>
      </c>
      <c r="D2" s="1">
        <v>7108</v>
      </c>
      <c r="E2" s="22">
        <f>IF((PoblacionSISBEN!$C$9*PoblacionAreaDensEPEQ!C2+PoblacionSISBEN!$C$10)&gt;1,1,PoblacionSISBEN!$C$9*PoblacionAreaDensEPEQ!C2+PoblacionSISBEN!$C$10)</f>
        <v>1</v>
      </c>
      <c r="F2" s="23">
        <f t="shared" ref="F2:F23" si="0">D2*E2</f>
        <v>7108</v>
      </c>
      <c r="G2" s="23">
        <f t="shared" ref="G2:G23" si="1">D2-F2</f>
        <v>0</v>
      </c>
      <c r="H2" s="31">
        <f>TipoSueloEPE!$D$5-PoblacionAreaDensEPEQ!I2</f>
        <v>1</v>
      </c>
      <c r="I2" s="31">
        <f>IF(TipoSueloEPE!$D$17*PoblacionAreaDensEPEQ!C2+TipoSueloEPE!$D$18&gt;TipoSueloEPE!$D$5,TipoSueloEPE!$D$5-1,TipoSueloEPE!$D$17*PoblacionAreaDensEPEQ!C2+TipoSueloEPE!$D$18)</f>
        <v>19481.02</v>
      </c>
      <c r="J2" s="31">
        <f>D2/(H2+I2)</f>
        <v>0.36484923021329407</v>
      </c>
      <c r="K2" s="31">
        <f>F2/H2</f>
        <v>7108</v>
      </c>
      <c r="L2" s="31">
        <f>G2/I2</f>
        <v>0</v>
      </c>
      <c r="M2" s="23">
        <f>F2*TipoSueloEPE!$D$6/10000</f>
        <v>10.662000000000001</v>
      </c>
      <c r="N2" s="31">
        <f>D2*(AguaPotSanBas!$D$12)/86400</f>
        <v>11.517592592592592</v>
      </c>
      <c r="O2" s="31">
        <f>F2*(AguaPotSanBas!$D$12)/86400</f>
        <v>11.517592592592592</v>
      </c>
      <c r="P2" s="31">
        <f>G2*(AguaPotSanBas!$D$12)/86400</f>
        <v>0</v>
      </c>
      <c r="Q2" s="31">
        <f>N2*AguaPotSanBas!$D$13</f>
        <v>9.7899537037037039</v>
      </c>
      <c r="R2" s="31">
        <f>O2*AguaPotSanBas!$D$13</f>
        <v>9.7899537037037039</v>
      </c>
      <c r="S2" s="31">
        <f>P2*AguaPotSanBas!$D$13</f>
        <v>0</v>
      </c>
    </row>
    <row r="3" spans="1:19" x14ac:dyDescent="0.45">
      <c r="A3" s="1" t="s">
        <v>7</v>
      </c>
      <c r="B3" s="1" t="s">
        <v>4</v>
      </c>
      <c r="C3" s="1">
        <v>1928</v>
      </c>
      <c r="D3" s="1">
        <v>11480</v>
      </c>
      <c r="E3" s="22">
        <f>IF((PoblacionSISBEN!$C$9*PoblacionAreaDensEPEQ!C3+PoblacionSISBEN!$C$10)&gt;1,1,PoblacionSISBEN!$C$9*PoblacionAreaDensEPEQ!C3+PoblacionSISBEN!$C$10)</f>
        <v>1</v>
      </c>
      <c r="F3" s="23">
        <f t="shared" si="0"/>
        <v>11480</v>
      </c>
      <c r="G3" s="23">
        <f t="shared" si="1"/>
        <v>0</v>
      </c>
      <c r="H3" s="31">
        <f>TipoSueloEPE!$D$5-PoblacionAreaDensEPEQ!I3</f>
        <v>1</v>
      </c>
      <c r="I3" s="31">
        <f>IF(TipoSueloEPE!$D$17*PoblacionAreaDensEPEQ!C3+TipoSueloEPE!$D$18&gt;TipoSueloEPE!$D$5,TipoSueloEPE!$D$5-1,TipoSueloEPE!$D$17*PoblacionAreaDensEPEQ!C3+TipoSueloEPE!$D$18)</f>
        <v>19481.02</v>
      </c>
      <c r="J3" s="31">
        <f>D3/(H3+I3)</f>
        <v>0.58926127783463933</v>
      </c>
      <c r="K3" s="31">
        <f>F3/H3</f>
        <v>11480</v>
      </c>
      <c r="L3" s="31">
        <f>G3/I3</f>
        <v>0</v>
      </c>
      <c r="M3" s="23">
        <f>F3*TipoSueloEPE!$D$6/10000</f>
        <v>17.22</v>
      </c>
      <c r="N3" s="31">
        <f>D3*(AguaPotSanBas!$D$12)/86400</f>
        <v>18.601851851851851</v>
      </c>
      <c r="O3" s="31">
        <f>F3*(AguaPotSanBas!$D$12)/86400</f>
        <v>18.601851851851851</v>
      </c>
      <c r="P3" s="31">
        <f>G3*(AguaPotSanBas!$D$12)/86400</f>
        <v>0</v>
      </c>
      <c r="Q3" s="31">
        <f>N3*AguaPotSanBas!$D$13</f>
        <v>15.811574074074073</v>
      </c>
      <c r="R3" s="31">
        <f>O3*AguaPotSanBas!$D$13</f>
        <v>15.811574074074073</v>
      </c>
      <c r="S3" s="31">
        <f>P3*AguaPotSanBas!$D$13</f>
        <v>0</v>
      </c>
    </row>
    <row r="4" spans="1:19" x14ac:dyDescent="0.45">
      <c r="A4" s="1" t="s">
        <v>7</v>
      </c>
      <c r="B4" s="1" t="s">
        <v>4</v>
      </c>
      <c r="C4" s="1">
        <v>1938</v>
      </c>
      <c r="D4" s="1">
        <v>12273</v>
      </c>
      <c r="E4" s="22">
        <f>IF((PoblacionSISBEN!$C$9*PoblacionAreaDensEPEQ!C4+PoblacionSISBEN!$C$10)&gt;1,1,PoblacionSISBEN!$C$9*PoblacionAreaDensEPEQ!C4+PoblacionSISBEN!$C$10)</f>
        <v>1</v>
      </c>
      <c r="F4" s="23">
        <f t="shared" si="0"/>
        <v>12273</v>
      </c>
      <c r="G4" s="23">
        <f t="shared" si="1"/>
        <v>0</v>
      </c>
      <c r="H4" s="31">
        <f>TipoSueloEPE!$D$5-PoblacionAreaDensEPEQ!I4</f>
        <v>1</v>
      </c>
      <c r="I4" s="31">
        <f>IF(TipoSueloEPE!$D$17*PoblacionAreaDensEPEQ!C4+TipoSueloEPE!$D$18&gt;TipoSueloEPE!$D$5,TipoSueloEPE!$D$5-1,TipoSueloEPE!$D$17*PoblacionAreaDensEPEQ!C4+TipoSueloEPE!$D$18)</f>
        <v>19481.02</v>
      </c>
      <c r="J4" s="31">
        <f>D4/(H4+I4)</f>
        <v>0.62996547585927942</v>
      </c>
      <c r="K4" s="31">
        <f>F4/H4</f>
        <v>12273</v>
      </c>
      <c r="L4" s="31">
        <f>G4/I4</f>
        <v>0</v>
      </c>
      <c r="M4" s="23">
        <f>F4*TipoSueloEPE!$D$6/10000</f>
        <v>18.409500000000001</v>
      </c>
      <c r="N4" s="31">
        <f>D4*(AguaPotSanBas!$D$12)/86400</f>
        <v>19.886805555555554</v>
      </c>
      <c r="O4" s="31">
        <f>F4*(AguaPotSanBas!$D$12)/86400</f>
        <v>19.886805555555554</v>
      </c>
      <c r="P4" s="31">
        <f>G4*(AguaPotSanBas!$D$12)/86400</f>
        <v>0</v>
      </c>
      <c r="Q4" s="31">
        <f>N4*AguaPotSanBas!$D$13</f>
        <v>16.90378472222222</v>
      </c>
      <c r="R4" s="31">
        <f>O4*AguaPotSanBas!$D$13</f>
        <v>16.90378472222222</v>
      </c>
      <c r="S4" s="31">
        <f>P4*AguaPotSanBas!$D$13</f>
        <v>0</v>
      </c>
    </row>
    <row r="5" spans="1:19" x14ac:dyDescent="0.45">
      <c r="A5" s="1" t="s">
        <v>7</v>
      </c>
      <c r="B5" s="1" t="s">
        <v>4</v>
      </c>
      <c r="C5" s="1">
        <v>1951</v>
      </c>
      <c r="D5" s="1">
        <v>20628</v>
      </c>
      <c r="E5" s="22">
        <f>IF((PoblacionSISBEN!$C$9*PoblacionAreaDensEPEQ!C5+PoblacionSISBEN!$C$10)&gt;1,1,PoblacionSISBEN!$C$9*PoblacionAreaDensEPEQ!C5+PoblacionSISBEN!$C$10)</f>
        <v>1</v>
      </c>
      <c r="F5" s="23">
        <f t="shared" si="0"/>
        <v>20628</v>
      </c>
      <c r="G5" s="23">
        <f t="shared" si="1"/>
        <v>0</v>
      </c>
      <c r="H5" s="31">
        <f>TipoSueloEPE!$D$5-PoblacionAreaDensEPEQ!I5</f>
        <v>1</v>
      </c>
      <c r="I5" s="31">
        <f>IF(TipoSueloEPE!$D$17*PoblacionAreaDensEPEQ!C5+TipoSueloEPE!$D$18&gt;TipoSueloEPE!$D$5,TipoSueloEPE!$D$5-1,TipoSueloEPE!$D$17*PoblacionAreaDensEPEQ!C5+TipoSueloEPE!$D$18)</f>
        <v>19481.02</v>
      </c>
      <c r="J5" s="31">
        <f t="shared" ref="J5:J23" si="2">D5/(H5+I5)</f>
        <v>1.0588224424366672</v>
      </c>
      <c r="K5" s="31">
        <f t="shared" ref="K5:K23" si="3">F5/H5</f>
        <v>20628</v>
      </c>
      <c r="L5" s="31">
        <f>G5/I5</f>
        <v>0</v>
      </c>
      <c r="M5" s="23">
        <f>F5*TipoSueloEPE!$D$6/10000</f>
        <v>30.942</v>
      </c>
      <c r="N5" s="31">
        <f>D5*(AguaPotSanBas!$D$12)/86400</f>
        <v>33.424999999999997</v>
      </c>
      <c r="O5" s="31">
        <f>F5*(AguaPotSanBas!$D$12)/86400</f>
        <v>33.424999999999997</v>
      </c>
      <c r="P5" s="31">
        <f>G5*(AguaPotSanBas!$D$12)/86400</f>
        <v>0</v>
      </c>
      <c r="Q5" s="31">
        <f>N5*AguaPotSanBas!$D$13</f>
        <v>28.411249999999995</v>
      </c>
      <c r="R5" s="31">
        <f>O5*AguaPotSanBas!$D$13</f>
        <v>28.411249999999995</v>
      </c>
      <c r="S5" s="31">
        <f>P5*AguaPotSanBas!$D$13</f>
        <v>0</v>
      </c>
    </row>
    <row r="6" spans="1:19" x14ac:dyDescent="0.45">
      <c r="A6" s="1" t="s">
        <v>7</v>
      </c>
      <c r="B6" s="1" t="s">
        <v>4</v>
      </c>
      <c r="C6" s="1">
        <v>1964</v>
      </c>
      <c r="D6" s="1">
        <v>27775</v>
      </c>
      <c r="E6" s="22">
        <f>IF((PoblacionSISBEN!$C$9*PoblacionAreaDensEPEQ!C6+PoblacionSISBEN!$C$10)&gt;1,1,PoblacionSISBEN!$C$9*PoblacionAreaDensEPEQ!C6+PoblacionSISBEN!$C$10)</f>
        <v>0.96167504311559959</v>
      </c>
      <c r="F6" s="23">
        <f t="shared" si="0"/>
        <v>26710.524322535777</v>
      </c>
      <c r="G6" s="23">
        <f t="shared" si="1"/>
        <v>1064.4756774642228</v>
      </c>
      <c r="H6" s="31">
        <f>TipoSueloEPE!$D$5-PoblacionAreaDensEPEQ!I6</f>
        <v>1</v>
      </c>
      <c r="I6" s="31">
        <f>IF(TipoSueloEPE!$D$17*PoblacionAreaDensEPEQ!C6+TipoSueloEPE!$D$18&gt;TipoSueloEPE!$D$5,TipoSueloEPE!$D$5-1,TipoSueloEPE!$D$17*PoblacionAreaDensEPEQ!C6+TipoSueloEPE!$D$18)</f>
        <v>19481.02</v>
      </c>
      <c r="J6" s="31">
        <f t="shared" si="2"/>
        <v>1.4256735184544518</v>
      </c>
      <c r="K6" s="31">
        <f t="shared" si="3"/>
        <v>26710.524322535777</v>
      </c>
      <c r="L6" s="31">
        <f>G6/I6</f>
        <v>5.464168084957681E-2</v>
      </c>
      <c r="M6" s="23">
        <f>F6*TipoSueloEPE!$D$6/10000</f>
        <v>40.065786483803663</v>
      </c>
      <c r="N6" s="31">
        <f>D6*(AguaPotSanBas!$D$12)/86400</f>
        <v>45.005787037037038</v>
      </c>
      <c r="O6" s="31">
        <f>F6*(AguaPotSanBas!$D$12)/86400</f>
        <v>43.28094218929408</v>
      </c>
      <c r="P6" s="31">
        <f>G6*(AguaPotSanBas!$D$12)/86400</f>
        <v>1.7248448477429537</v>
      </c>
      <c r="Q6" s="31">
        <f>N6*AguaPotSanBas!$D$13</f>
        <v>38.254918981481481</v>
      </c>
      <c r="R6" s="31">
        <f>O6*AguaPotSanBas!$D$13</f>
        <v>36.788800860899968</v>
      </c>
      <c r="S6" s="31">
        <f>P6*AguaPotSanBas!$D$13</f>
        <v>1.4661181205815106</v>
      </c>
    </row>
    <row r="7" spans="1:19" x14ac:dyDescent="0.45">
      <c r="A7" s="1" t="s">
        <v>7</v>
      </c>
      <c r="B7" s="1" t="s">
        <v>4</v>
      </c>
      <c r="C7" s="1">
        <v>1973</v>
      </c>
      <c r="D7" s="1">
        <v>39836</v>
      </c>
      <c r="E7" s="22">
        <f>IF((PoblacionSISBEN!$C$9*PoblacionAreaDensEPEQ!C7+PoblacionSISBEN!$C$10)&gt;1,1,PoblacionSISBEN!$C$9*PoblacionAreaDensEPEQ!C7+PoblacionSISBEN!$C$10)</f>
        <v>0.93008936125409925</v>
      </c>
      <c r="F7" s="23">
        <f t="shared" si="0"/>
        <v>37051.039794918295</v>
      </c>
      <c r="G7" s="23">
        <f t="shared" si="1"/>
        <v>2784.9602050817048</v>
      </c>
      <c r="H7" s="31">
        <f>TipoSueloEPE!$D$5-PoblacionAreaDensEPEQ!I7</f>
        <v>1</v>
      </c>
      <c r="I7" s="31">
        <f>IF(TipoSueloEPE!$D$17*PoblacionAreaDensEPEQ!C7+TipoSueloEPE!$D$18&gt;TipoSueloEPE!$D$5,TipoSueloEPE!$D$5-1,TipoSueloEPE!$D$17*PoblacionAreaDensEPEQ!C7+TipoSueloEPE!$D$18)</f>
        <v>19481.02</v>
      </c>
      <c r="J7" s="31">
        <f t="shared" si="2"/>
        <v>2.0447571658380395</v>
      </c>
      <c r="K7" s="31">
        <f t="shared" si="3"/>
        <v>37051.039794918295</v>
      </c>
      <c r="L7" s="31">
        <f>G7/I7</f>
        <v>0.14295761746980931</v>
      </c>
      <c r="M7" s="23">
        <f>F7*TipoSueloEPE!$D$6/10000</f>
        <v>55.576559692377444</v>
      </c>
      <c r="N7" s="31">
        <f>D7*(AguaPotSanBas!$D$12)/86400</f>
        <v>64.54907407407407</v>
      </c>
      <c r="O7" s="31">
        <f>F7*(AguaPotSanBas!$D$12)/86400</f>
        <v>60.036407075099092</v>
      </c>
      <c r="P7" s="31">
        <f>G7*(AguaPotSanBas!$D$12)/86400</f>
        <v>4.5126669989749848</v>
      </c>
      <c r="Q7" s="31">
        <f>N7*AguaPotSanBas!$D$13</f>
        <v>54.866712962962957</v>
      </c>
      <c r="R7" s="31">
        <f>O7*AguaPotSanBas!$D$13</f>
        <v>51.030946013834225</v>
      </c>
      <c r="S7" s="31">
        <f>P7*AguaPotSanBas!$D$13</f>
        <v>3.8357669491287369</v>
      </c>
    </row>
    <row r="8" spans="1:19" x14ac:dyDescent="0.45">
      <c r="A8" s="1" t="s">
        <v>7</v>
      </c>
      <c r="B8" s="1" t="s">
        <v>4</v>
      </c>
      <c r="C8" s="1">
        <v>1985</v>
      </c>
      <c r="D8" s="1">
        <v>60202</v>
      </c>
      <c r="E8" s="22">
        <f>IF((PoblacionSISBEN!$C$9*PoblacionAreaDensEPEQ!C8+PoblacionSISBEN!$C$10)&gt;1,1,PoblacionSISBEN!$C$9*PoblacionAreaDensEPEQ!C8+PoblacionSISBEN!$C$10)</f>
        <v>0.88797511877209967</v>
      </c>
      <c r="F8" s="23">
        <f t="shared" si="0"/>
        <v>53457.878100317947</v>
      </c>
      <c r="G8" s="23">
        <f t="shared" si="1"/>
        <v>6744.1218996820535</v>
      </c>
      <c r="H8" s="31">
        <f>TipoSueloEPE!$D$5-PoblacionAreaDensEPEQ!I8</f>
        <v>145.37632911392939</v>
      </c>
      <c r="I8" s="31">
        <f>IF(TipoSueloEPE!$D$17*PoblacionAreaDensEPEQ!C8+TipoSueloEPE!$D$18&gt;TipoSueloEPE!$D$5,TipoSueloEPE!$D$5-1,TipoSueloEPE!$D$17*PoblacionAreaDensEPEQ!C8+TipoSueloEPE!$D$18)</f>
        <v>19336.643670886071</v>
      </c>
      <c r="J8" s="31">
        <f t="shared" si="2"/>
        <v>3.0901313108188986</v>
      </c>
      <c r="K8" s="31">
        <f t="shared" si="3"/>
        <v>367.72064906401482</v>
      </c>
      <c r="L8" s="31">
        <f t="shared" ref="L8:L23" si="4">G8/I8</f>
        <v>0.34877417272968836</v>
      </c>
      <c r="M8" s="23">
        <f>F8*TipoSueloEPE!$D$6/10000</f>
        <v>80.186817150476926</v>
      </c>
      <c r="N8" s="31">
        <f>D8*(AguaPotSanBas!$D$12)/86400</f>
        <v>97.549537037037041</v>
      </c>
      <c r="O8" s="31">
        <f>F8*(AguaPotSanBas!$D$12)/86400</f>
        <v>86.621561736626305</v>
      </c>
      <c r="P8" s="31">
        <f>G8*(AguaPotSanBas!$D$12)/86400</f>
        <v>10.927975300410736</v>
      </c>
      <c r="Q8" s="31">
        <f>N8*AguaPotSanBas!$D$13</f>
        <v>82.917106481481483</v>
      </c>
      <c r="R8" s="31">
        <f>O8*AguaPotSanBas!$D$13</f>
        <v>73.628327476132355</v>
      </c>
      <c r="S8" s="31">
        <f>P8*AguaPotSanBas!$D$13</f>
        <v>9.2887790053491255</v>
      </c>
    </row>
    <row r="9" spans="1:19" x14ac:dyDescent="0.45">
      <c r="A9" s="1" t="s">
        <v>7</v>
      </c>
      <c r="B9" s="1" t="s">
        <v>4</v>
      </c>
      <c r="C9" s="1">
        <v>1993</v>
      </c>
      <c r="D9" s="1">
        <v>69695</v>
      </c>
      <c r="E9" s="22">
        <f>IF((PoblacionSISBEN!$C$9*PoblacionAreaDensEPEQ!C9+PoblacionSISBEN!$C$10)&gt;1,1,PoblacionSISBEN!$C$9*PoblacionAreaDensEPEQ!C9+PoblacionSISBEN!$C$10)</f>
        <v>0.85989895711743269</v>
      </c>
      <c r="F9" s="23">
        <f t="shared" si="0"/>
        <v>59930.65781629947</v>
      </c>
      <c r="G9" s="23">
        <f t="shared" si="1"/>
        <v>9764.3421837005299</v>
      </c>
      <c r="H9" s="31">
        <f>TipoSueloEPE!$D$5-PoblacionAreaDensEPEQ!I9</f>
        <v>348.89278481013389</v>
      </c>
      <c r="I9" s="31">
        <f>IF(TipoSueloEPE!$D$17*PoblacionAreaDensEPEQ!C9+TipoSueloEPE!$D$18&gt;TipoSueloEPE!$D$5,TipoSueloEPE!$D$5-1,TipoSueloEPE!$D$17*PoblacionAreaDensEPEQ!C9+TipoSueloEPE!$D$18)</f>
        <v>19133.127215189867</v>
      </c>
      <c r="J9" s="31">
        <f t="shared" si="2"/>
        <v>3.5774011113837272</v>
      </c>
      <c r="K9" s="31">
        <f t="shared" si="3"/>
        <v>171.77385267199924</v>
      </c>
      <c r="L9" s="31">
        <f t="shared" si="4"/>
        <v>0.51033697073568718</v>
      </c>
      <c r="M9" s="23">
        <f>F9*TipoSueloEPE!$D$6/10000</f>
        <v>89.895986724449202</v>
      </c>
      <c r="N9" s="31">
        <f>D9*(AguaPotSanBas!$D$12)/86400</f>
        <v>112.93171296296296</v>
      </c>
      <c r="O9" s="31">
        <f>F9*(AguaPotSanBas!$D$12)/86400</f>
        <v>97.109862202337112</v>
      </c>
      <c r="P9" s="31">
        <f>G9*(AguaPotSanBas!$D$12)/86400</f>
        <v>15.821850760625859</v>
      </c>
      <c r="Q9" s="31">
        <f>N9*AguaPotSanBas!$D$13</f>
        <v>95.991956018518522</v>
      </c>
      <c r="R9" s="31">
        <f>O9*AguaPotSanBas!$D$13</f>
        <v>82.543382871986537</v>
      </c>
      <c r="S9" s="31">
        <f>P9*AguaPotSanBas!$D$13</f>
        <v>13.448573146531979</v>
      </c>
    </row>
    <row r="10" spans="1:19" x14ac:dyDescent="0.45">
      <c r="A10" s="1" t="s">
        <v>7</v>
      </c>
      <c r="B10" s="1" t="s">
        <v>4</v>
      </c>
      <c r="C10" s="1">
        <v>1995</v>
      </c>
      <c r="D10" s="1">
        <v>78923</v>
      </c>
      <c r="E10" s="22">
        <f>IF((PoblacionSISBEN!$C$9*PoblacionAreaDensEPEQ!C10+PoblacionSISBEN!$C$10)&gt;1,1,PoblacionSISBEN!$C$9*PoblacionAreaDensEPEQ!C10+PoblacionSISBEN!$C$10)</f>
        <v>0.85287991670376595</v>
      </c>
      <c r="F10" s="23">
        <f t="shared" si="0"/>
        <v>67311.841666011314</v>
      </c>
      <c r="G10" s="23">
        <f t="shared" si="1"/>
        <v>11611.158333988686</v>
      </c>
      <c r="H10" s="31">
        <f>TipoSueloEPE!$D$5-PoblacionAreaDensEPEQ!I10</f>
        <v>399.7718987341832</v>
      </c>
      <c r="I10" s="31">
        <f>IF(TipoSueloEPE!$D$17*PoblacionAreaDensEPEQ!C10+TipoSueloEPE!$D$18&gt;TipoSueloEPE!$D$5,TipoSueloEPE!$D$5-1,TipoSueloEPE!$D$17*PoblacionAreaDensEPEQ!C10+TipoSueloEPE!$D$18)</f>
        <v>19082.248101265817</v>
      </c>
      <c r="J10" s="31">
        <f t="shared" si="2"/>
        <v>4.051068626353941</v>
      </c>
      <c r="K10" s="31">
        <f t="shared" si="3"/>
        <v>168.37562089567578</v>
      </c>
      <c r="L10" s="31">
        <f t="shared" si="4"/>
        <v>0.60847958125114521</v>
      </c>
      <c r="M10" s="23">
        <f>F10*TipoSueloEPE!$D$6/10000</f>
        <v>100.96776249901697</v>
      </c>
      <c r="N10" s="31">
        <f>D10*(AguaPotSanBas!$D$12)/86400</f>
        <v>127.88449074074074</v>
      </c>
      <c r="O10" s="31">
        <f>F10*(AguaPotSanBas!$D$12)/86400</f>
        <v>109.07011381066648</v>
      </c>
      <c r="P10" s="31">
        <f>G10*(AguaPotSanBas!$D$12)/86400</f>
        <v>18.81437693007426</v>
      </c>
      <c r="Q10" s="31">
        <f>N10*AguaPotSanBas!$D$13</f>
        <v>108.70181712962963</v>
      </c>
      <c r="R10" s="31">
        <f>O10*AguaPotSanBas!$D$13</f>
        <v>92.709596739066512</v>
      </c>
      <c r="S10" s="31">
        <f>P10*AguaPotSanBas!$D$13</f>
        <v>15.992220390563121</v>
      </c>
    </row>
    <row r="11" spans="1:19" x14ac:dyDescent="0.45">
      <c r="A11" s="1" t="s">
        <v>7</v>
      </c>
      <c r="B11" s="1" t="s">
        <v>4</v>
      </c>
      <c r="C11" s="1">
        <v>2005</v>
      </c>
      <c r="D11" s="1">
        <v>100038</v>
      </c>
      <c r="E11" s="22">
        <f>IF((PoblacionSISBEN!$C$9*PoblacionAreaDensEPEQ!C11+PoblacionSISBEN!$C$10)&gt;1,1,PoblacionSISBEN!$C$9*PoblacionAreaDensEPEQ!C11+PoblacionSISBEN!$C$10)</f>
        <v>0.81778471463543223</v>
      </c>
      <c r="F11" s="23">
        <f t="shared" si="0"/>
        <v>81809.547282699365</v>
      </c>
      <c r="G11" s="23">
        <f t="shared" si="1"/>
        <v>18228.452717300635</v>
      </c>
      <c r="H11" s="31">
        <f>TipoSueloEPE!$D$5-PoblacionAreaDensEPEQ!I11</f>
        <v>654.16746835443701</v>
      </c>
      <c r="I11" s="31">
        <f>IF(TipoSueloEPE!$D$17*PoblacionAreaDensEPEQ!C11+TipoSueloEPE!$D$18&gt;TipoSueloEPE!$D$5,TipoSueloEPE!$D$5-1,TipoSueloEPE!$D$17*PoblacionAreaDensEPEQ!C11+TipoSueloEPE!$D$18)</f>
        <v>18827.852531645563</v>
      </c>
      <c r="J11" s="31">
        <f t="shared" si="2"/>
        <v>5.134888476656938</v>
      </c>
      <c r="K11" s="31">
        <f t="shared" si="3"/>
        <v>125.05902729845596</v>
      </c>
      <c r="L11" s="31">
        <f t="shared" si="4"/>
        <v>0.96816419645642193</v>
      </c>
      <c r="M11" s="23">
        <f>F11*TipoSueloEPE!$D$6/10000</f>
        <v>122.71432092404906</v>
      </c>
      <c r="N11" s="31">
        <f>D11*(AguaPotSanBas!$D$12)/86400</f>
        <v>162.0986111111111</v>
      </c>
      <c r="O11" s="31">
        <f>F11*(AguaPotSanBas!$D$12)/86400</f>
        <v>132.56176643029988</v>
      </c>
      <c r="P11" s="31">
        <f>G11*(AguaPotSanBas!$D$12)/86400</f>
        <v>29.536844680811214</v>
      </c>
      <c r="Q11" s="31">
        <f>N11*AguaPotSanBas!$D$13</f>
        <v>137.78381944444442</v>
      </c>
      <c r="R11" s="31">
        <f>O11*AguaPotSanBas!$D$13</f>
        <v>112.6775014657549</v>
      </c>
      <c r="S11" s="31">
        <f>P11*AguaPotSanBas!$D$13</f>
        <v>25.106317978689532</v>
      </c>
    </row>
    <row r="12" spans="1:19" x14ac:dyDescent="0.45">
      <c r="A12" s="1" t="s">
        <v>7</v>
      </c>
      <c r="B12" s="1" t="s">
        <v>4</v>
      </c>
      <c r="C12" s="1">
        <v>2018</v>
      </c>
      <c r="D12" s="1">
        <v>128968</v>
      </c>
      <c r="E12" s="22">
        <f>IF((PoblacionSISBEN!$C$9*PoblacionAreaDensEPEQ!C12+PoblacionSISBEN!$C$10)&gt;1,1,PoblacionSISBEN!$C$9*PoblacionAreaDensEPEQ!C12+PoblacionSISBEN!$C$10)</f>
        <v>0.7721609519465984</v>
      </c>
      <c r="F12" s="23">
        <f t="shared" si="0"/>
        <v>99584.053650648901</v>
      </c>
      <c r="G12" s="23">
        <f t="shared" si="1"/>
        <v>29383.946349351099</v>
      </c>
      <c r="H12" s="31">
        <f>TipoSueloEPE!$D$5-PoblacionAreaDensEPEQ!I12</f>
        <v>984.88170886076477</v>
      </c>
      <c r="I12" s="31">
        <f>IF(TipoSueloEPE!$D$17*PoblacionAreaDensEPEQ!C12+TipoSueloEPE!$D$18&gt;TipoSueloEPE!$D$5,TipoSueloEPE!$D$5-1,TipoSueloEPE!$D$17*PoblacionAreaDensEPEQ!C12+TipoSueloEPE!$D$18)</f>
        <v>18497.138291139236</v>
      </c>
      <c r="J12" s="31">
        <f t="shared" si="2"/>
        <v>6.6198474285520703</v>
      </c>
      <c r="K12" s="31">
        <f t="shared" si="3"/>
        <v>101.11270496214216</v>
      </c>
      <c r="L12" s="31">
        <f t="shared" si="4"/>
        <v>1.5885671549218519</v>
      </c>
      <c r="M12" s="23">
        <f>F12*TipoSueloEPE!$D$6/10000</f>
        <v>149.37608047597337</v>
      </c>
      <c r="N12" s="31">
        <f>D12*(AguaPotSanBas!$D$12)/86400</f>
        <v>208.97592592592594</v>
      </c>
      <c r="O12" s="31">
        <f>F12*(AguaPotSanBas!$D$12)/86400</f>
        <v>161.3630498968848</v>
      </c>
      <c r="P12" s="31">
        <f>G12*(AguaPotSanBas!$D$12)/86400</f>
        <v>47.612876029041132</v>
      </c>
      <c r="Q12" s="31">
        <f>N12*AguaPotSanBas!$D$13</f>
        <v>177.62953703703704</v>
      </c>
      <c r="R12" s="31">
        <f>O12*AguaPotSanBas!$D$13</f>
        <v>137.15859241235208</v>
      </c>
      <c r="S12" s="31">
        <f>P12*AguaPotSanBas!$D$13</f>
        <v>40.470944624684961</v>
      </c>
    </row>
    <row r="13" spans="1:19" x14ac:dyDescent="0.45">
      <c r="A13" s="1" t="s">
        <v>8</v>
      </c>
      <c r="B13" s="1" t="s">
        <v>4</v>
      </c>
      <c r="C13" s="1">
        <v>2019</v>
      </c>
      <c r="D13" s="1">
        <v>127918</v>
      </c>
      <c r="E13" s="22">
        <f>IF((PoblacionSISBEN!$C$9*PoblacionAreaDensEPEQ!C13+PoblacionSISBEN!$C$10)&gt;1,1,PoblacionSISBEN!$C$9*PoblacionAreaDensEPEQ!C13+PoblacionSISBEN!$C$10)</f>
        <v>0.76865143173976502</v>
      </c>
      <c r="F13" s="23">
        <f t="shared" si="0"/>
        <v>98324.35384528726</v>
      </c>
      <c r="G13" s="23">
        <f t="shared" si="1"/>
        <v>29593.64615471274</v>
      </c>
      <c r="H13" s="31">
        <f>TipoSueloEPE!$D$5-PoblacionAreaDensEPEQ!I13</f>
        <v>1010.3212658227894</v>
      </c>
      <c r="I13" s="31">
        <f>IF(TipoSueloEPE!$D$17*PoblacionAreaDensEPEQ!C13+TipoSueloEPE!$D$18&gt;TipoSueloEPE!$D$5,TipoSueloEPE!$D$5-1,TipoSueloEPE!$D$17*PoblacionAreaDensEPEQ!C13+TipoSueloEPE!$D$18)</f>
        <v>18471.698734177211</v>
      </c>
      <c r="J13" s="31">
        <f t="shared" si="2"/>
        <v>6.5659515799696333</v>
      </c>
      <c r="K13" s="31">
        <f t="shared" si="3"/>
        <v>97.319889396976592</v>
      </c>
      <c r="L13" s="31">
        <f t="shared" si="4"/>
        <v>1.6021074499205195</v>
      </c>
      <c r="M13" s="23">
        <f>F13*TipoSueloEPE!$D$6/10000</f>
        <v>147.48653076793087</v>
      </c>
      <c r="N13" s="31">
        <f>D13*(AguaPotSanBas!$D$12)/86400</f>
        <v>207.27453703703705</v>
      </c>
      <c r="O13" s="31">
        <f>F13*(AguaPotSanBas!$D$12)/86400</f>
        <v>159.32186965671548</v>
      </c>
      <c r="P13" s="31">
        <f>G13*(AguaPotSanBas!$D$12)/86400</f>
        <v>47.952667380321571</v>
      </c>
      <c r="Q13" s="31">
        <f>N13*AguaPotSanBas!$D$13</f>
        <v>176.1833564814815</v>
      </c>
      <c r="R13" s="31">
        <f>O13*AguaPotSanBas!$D$13</f>
        <v>135.42358920820814</v>
      </c>
      <c r="S13" s="31">
        <f>P13*AguaPotSanBas!$D$13</f>
        <v>40.759767273273333</v>
      </c>
    </row>
    <row r="14" spans="1:19" x14ac:dyDescent="0.45">
      <c r="A14" s="1" t="s">
        <v>8</v>
      </c>
      <c r="B14" s="1" t="s">
        <v>4</v>
      </c>
      <c r="C14" s="1">
        <v>2024</v>
      </c>
      <c r="D14" s="1">
        <v>140346</v>
      </c>
      <c r="E14" s="22">
        <f>IF((PoblacionSISBEN!$C$9*PoblacionAreaDensEPEQ!C14+PoblacionSISBEN!$C$10)&gt;1,1,PoblacionSISBEN!$C$9*PoblacionAreaDensEPEQ!C14+PoblacionSISBEN!$C$10)</f>
        <v>0.75110383070559905</v>
      </c>
      <c r="F14" s="23">
        <f t="shared" si="0"/>
        <v>105414.418224208</v>
      </c>
      <c r="G14" s="23">
        <f t="shared" si="1"/>
        <v>34931.581775792001</v>
      </c>
      <c r="H14" s="31">
        <f>TipoSueloEPE!$D$5-PoblacionAreaDensEPEQ!I14</f>
        <v>1137.5190506329127</v>
      </c>
      <c r="I14" s="31">
        <f>IF(TipoSueloEPE!$D$17*PoblacionAreaDensEPEQ!C14+TipoSueloEPE!$D$18&gt;TipoSueloEPE!$D$5,TipoSueloEPE!$D$5-1,TipoSueloEPE!$D$17*PoblacionAreaDensEPEQ!C14+TipoSueloEPE!$D$18)</f>
        <v>18344.500949367088</v>
      </c>
      <c r="J14" s="31">
        <f t="shared" si="2"/>
        <v>7.2038731096672723</v>
      </c>
      <c r="K14" s="31">
        <f t="shared" si="3"/>
        <v>92.670463994036567</v>
      </c>
      <c r="L14" s="31">
        <f t="shared" si="4"/>
        <v>1.9041990769989954</v>
      </c>
      <c r="M14" s="23">
        <f>F14*TipoSueloEPE!$D$6/10000</f>
        <v>158.121627336312</v>
      </c>
      <c r="N14" s="31">
        <f>D14*(AguaPotSanBas!$D$12)/86400</f>
        <v>227.41249999999999</v>
      </c>
      <c r="O14" s="31">
        <f>F14*(AguaPotSanBas!$D$12)/86400</f>
        <v>170.81039990033705</v>
      </c>
      <c r="P14" s="31">
        <f>G14*(AguaPotSanBas!$D$12)/86400</f>
        <v>56.60210009966297</v>
      </c>
      <c r="Q14" s="31">
        <f>N14*AguaPotSanBas!$D$13</f>
        <v>193.300625</v>
      </c>
      <c r="R14" s="31">
        <f>O14*AguaPotSanBas!$D$13</f>
        <v>145.18883991528648</v>
      </c>
      <c r="S14" s="31">
        <f>P14*AguaPotSanBas!$D$13</f>
        <v>48.111785084713524</v>
      </c>
    </row>
    <row r="15" spans="1:19" x14ac:dyDescent="0.45">
      <c r="A15" s="1" t="s">
        <v>8</v>
      </c>
      <c r="B15" s="1" t="s">
        <v>4</v>
      </c>
      <c r="C15" s="1">
        <v>2029</v>
      </c>
      <c r="D15" s="1">
        <v>153383</v>
      </c>
      <c r="E15" s="22">
        <f>IF((PoblacionSISBEN!$C$9*PoblacionAreaDensEPEQ!C15+PoblacionSISBEN!$C$10)&gt;1,1,PoblacionSISBEN!$C$9*PoblacionAreaDensEPEQ!C15+PoblacionSISBEN!$C$10)</f>
        <v>0.73355622967143219</v>
      </c>
      <c r="F15" s="23">
        <f t="shared" si="0"/>
        <v>112515.05517569328</v>
      </c>
      <c r="G15" s="23">
        <f t="shared" si="1"/>
        <v>40867.944824306716</v>
      </c>
      <c r="H15" s="31">
        <f>TipoSueloEPE!$D$5-PoblacionAreaDensEPEQ!I15</f>
        <v>1264.7168354430432</v>
      </c>
      <c r="I15" s="31">
        <f>IF(TipoSueloEPE!$D$17*PoblacionAreaDensEPEQ!C15+TipoSueloEPE!$D$18&gt;TipoSueloEPE!$D$5,TipoSueloEPE!$D$5-1,TipoSueloEPE!$D$17*PoblacionAreaDensEPEQ!C15+TipoSueloEPE!$D$18)</f>
        <v>18217.303164556957</v>
      </c>
      <c r="J15" s="31">
        <f t="shared" si="2"/>
        <v>7.8730542315427252</v>
      </c>
      <c r="K15" s="31">
        <f t="shared" si="3"/>
        <v>88.964621979020393</v>
      </c>
      <c r="L15" s="31">
        <f t="shared" si="4"/>
        <v>2.2433586604530014</v>
      </c>
      <c r="M15" s="23">
        <f>F15*TipoSueloEPE!$D$6/10000</f>
        <v>168.77258276353993</v>
      </c>
      <c r="N15" s="31">
        <f>D15*(AguaPotSanBas!$D$12)/86400</f>
        <v>248.53726851851852</v>
      </c>
      <c r="O15" s="31">
        <f>F15*(AguaPotSanBas!$D$12)/86400</f>
        <v>182.31606162728079</v>
      </c>
      <c r="P15" s="31">
        <f>G15*(AguaPotSanBas!$D$12)/86400</f>
        <v>66.221206891237728</v>
      </c>
      <c r="Q15" s="31">
        <f>N15*AguaPotSanBas!$D$13</f>
        <v>211.25667824074074</v>
      </c>
      <c r="R15" s="31">
        <f>O15*AguaPotSanBas!$D$13</f>
        <v>154.96865238318867</v>
      </c>
      <c r="S15" s="31">
        <f>P15*AguaPotSanBas!$D$13</f>
        <v>56.288025857552064</v>
      </c>
    </row>
    <row r="16" spans="1:19" x14ac:dyDescent="0.45">
      <c r="A16" s="1" t="s">
        <v>8</v>
      </c>
      <c r="B16" s="1" t="s">
        <v>4</v>
      </c>
      <c r="C16" s="1">
        <v>2034</v>
      </c>
      <c r="D16" s="1">
        <v>167026</v>
      </c>
      <c r="E16" s="22">
        <f>IF((PoblacionSISBEN!$C$9*PoblacionAreaDensEPEQ!C16+PoblacionSISBEN!$C$10)&gt;1,1,PoblacionSISBEN!$C$9*PoblacionAreaDensEPEQ!C16+PoblacionSISBEN!$C$10)</f>
        <v>0.71600862863726533</v>
      </c>
      <c r="F16" s="23">
        <f t="shared" si="0"/>
        <v>119592.05720676787</v>
      </c>
      <c r="G16" s="23">
        <f t="shared" si="1"/>
        <v>47433.942793232127</v>
      </c>
      <c r="H16" s="31">
        <f>TipoSueloEPE!$D$5-PoblacionAreaDensEPEQ!I16</f>
        <v>1391.9146202531665</v>
      </c>
      <c r="I16" s="31">
        <f>IF(TipoSueloEPE!$D$17*PoblacionAreaDensEPEQ!C16+TipoSueloEPE!$D$18&gt;TipoSueloEPE!$D$5,TipoSueloEPE!$D$5-1,TipoSueloEPE!$D$17*PoblacionAreaDensEPEQ!C16+TipoSueloEPE!$D$18)</f>
        <v>18090.105379746834</v>
      </c>
      <c r="J16" s="31">
        <f t="shared" si="2"/>
        <v>8.5733409574571837</v>
      </c>
      <c r="K16" s="31">
        <f t="shared" si="3"/>
        <v>85.919104136585645</v>
      </c>
      <c r="L16" s="31">
        <f t="shared" si="4"/>
        <v>2.6220932270708506</v>
      </c>
      <c r="M16" s="23">
        <f>F16*TipoSueloEPE!$D$6/10000</f>
        <v>179.38808581015181</v>
      </c>
      <c r="N16" s="31">
        <f>D16*(AguaPotSanBas!$D$12)/86400</f>
        <v>270.64398148148149</v>
      </c>
      <c r="O16" s="31">
        <f>F16*(AguaPotSanBas!$D$12)/86400</f>
        <v>193.78342602948499</v>
      </c>
      <c r="P16" s="31">
        <f>G16*(AguaPotSanBas!$D$12)/86400</f>
        <v>76.860555451996504</v>
      </c>
      <c r="Q16" s="31">
        <f>N16*AguaPotSanBas!$D$13</f>
        <v>230.04738425925925</v>
      </c>
      <c r="R16" s="31">
        <f>O16*AguaPotSanBas!$D$13</f>
        <v>164.71591212506223</v>
      </c>
      <c r="S16" s="31">
        <f>P16*AguaPotSanBas!$D$13</f>
        <v>65.331472134197028</v>
      </c>
    </row>
    <row r="17" spans="1:19" x14ac:dyDescent="0.45">
      <c r="A17" s="1" t="s">
        <v>8</v>
      </c>
      <c r="B17" s="1" t="s">
        <v>4</v>
      </c>
      <c r="C17" s="1">
        <v>2039</v>
      </c>
      <c r="D17" s="1">
        <v>181278</v>
      </c>
      <c r="E17" s="22">
        <f>IF((PoblacionSISBEN!$C$9*PoblacionAreaDensEPEQ!C17+PoblacionSISBEN!$C$10)&gt;1,1,PoblacionSISBEN!$C$9*PoblacionAreaDensEPEQ!C17+PoblacionSISBEN!$C$10)</f>
        <v>0.69846102760309847</v>
      </c>
      <c r="F17" s="23">
        <f t="shared" si="0"/>
        <v>126615.61816183449</v>
      </c>
      <c r="G17" s="23">
        <f t="shared" si="1"/>
        <v>54662.381838165515</v>
      </c>
      <c r="H17" s="31">
        <f>TipoSueloEPE!$D$5-PoblacionAreaDensEPEQ!I17</f>
        <v>1519.1124050632898</v>
      </c>
      <c r="I17" s="31">
        <f>IF(TipoSueloEPE!$D$17*PoblacionAreaDensEPEQ!C17+TipoSueloEPE!$D$18&gt;TipoSueloEPE!$D$5,TipoSueloEPE!$D$5-1,TipoSueloEPE!$D$17*PoblacionAreaDensEPEQ!C17+TipoSueloEPE!$D$18)</f>
        <v>17962.907594936711</v>
      </c>
      <c r="J17" s="31">
        <f t="shared" si="2"/>
        <v>9.3048872755494543</v>
      </c>
      <c r="K17" s="31">
        <f t="shared" si="3"/>
        <v>83.348419603327102</v>
      </c>
      <c r="L17" s="31">
        <f t="shared" si="4"/>
        <v>3.0430698120149247</v>
      </c>
      <c r="M17" s="23">
        <f>F17*TipoSueloEPE!$D$6/10000</f>
        <v>189.92342724275173</v>
      </c>
      <c r="N17" s="31">
        <f>D17*(AguaPotSanBas!$D$12)/86400</f>
        <v>293.73750000000001</v>
      </c>
      <c r="O17" s="31">
        <f>F17*(AguaPotSanBas!$D$12)/86400</f>
        <v>205.16419609556513</v>
      </c>
      <c r="P17" s="31">
        <f>G17*(AguaPotSanBas!$D$12)/86400</f>
        <v>88.573303904434866</v>
      </c>
      <c r="Q17" s="31">
        <f>N17*AguaPotSanBas!$D$13</f>
        <v>249.676875</v>
      </c>
      <c r="R17" s="31">
        <f>O17*AguaPotSanBas!$D$13</f>
        <v>174.38956668123035</v>
      </c>
      <c r="S17" s="31">
        <f>P17*AguaPotSanBas!$D$13</f>
        <v>75.287308318769632</v>
      </c>
    </row>
    <row r="18" spans="1:19" x14ac:dyDescent="0.45">
      <c r="A18" s="1" t="s">
        <v>8</v>
      </c>
      <c r="B18" s="1" t="s">
        <v>4</v>
      </c>
      <c r="C18" s="1">
        <v>2044</v>
      </c>
      <c r="D18" s="1">
        <v>196136</v>
      </c>
      <c r="E18" s="22">
        <f>IF((PoblacionSISBEN!$C$9*PoblacionAreaDensEPEQ!C18+PoblacionSISBEN!$C$10)&gt;1,1,PoblacionSISBEN!$C$9*PoblacionAreaDensEPEQ!C18+PoblacionSISBEN!$C$10)</f>
        <v>0.68091342656893161</v>
      </c>
      <c r="F18" s="23">
        <f t="shared" si="0"/>
        <v>133551.63583352396</v>
      </c>
      <c r="G18" s="23">
        <f t="shared" si="1"/>
        <v>62584.364166476036</v>
      </c>
      <c r="H18" s="31">
        <f>TipoSueloEPE!$D$5-PoblacionAreaDensEPEQ!I18</f>
        <v>1646.3101898734203</v>
      </c>
      <c r="I18" s="31">
        <f>IF(TipoSueloEPE!$D$17*PoblacionAreaDensEPEQ!C18+TipoSueloEPE!$D$18&gt;TipoSueloEPE!$D$5,TipoSueloEPE!$D$5-1,TipoSueloEPE!$D$17*PoblacionAreaDensEPEQ!C18+TipoSueloEPE!$D$18)</f>
        <v>17835.70981012658</v>
      </c>
      <c r="J18" s="31">
        <f t="shared" si="2"/>
        <v>10.067539197680732</v>
      </c>
      <c r="K18" s="31">
        <f t="shared" si="3"/>
        <v>81.121793848455937</v>
      </c>
      <c r="L18" s="31">
        <f t="shared" si="4"/>
        <v>3.5089359959726703</v>
      </c>
      <c r="M18" s="23">
        <f>F18*TipoSueloEPE!$D$6/10000</f>
        <v>200.32745375028594</v>
      </c>
      <c r="N18" s="31">
        <f>D18*(AguaPotSanBas!$D$12)/86400</f>
        <v>317.81296296296296</v>
      </c>
      <c r="O18" s="31">
        <f>F18*(AguaPotSanBas!$D$12)/86400</f>
        <v>216.40311361913604</v>
      </c>
      <c r="P18" s="31">
        <f>G18*(AguaPotSanBas!$D$12)/86400</f>
        <v>101.40984934382691</v>
      </c>
      <c r="Q18" s="31">
        <f>N18*AguaPotSanBas!$D$13</f>
        <v>270.14101851851848</v>
      </c>
      <c r="R18" s="31">
        <f>O18*AguaPotSanBas!$D$13</f>
        <v>183.94264657626562</v>
      </c>
      <c r="S18" s="31">
        <f>P18*AguaPotSanBas!$D$13</f>
        <v>86.198371942252862</v>
      </c>
    </row>
    <row r="19" spans="1:19" x14ac:dyDescent="0.45">
      <c r="A19" s="1" t="s">
        <v>8</v>
      </c>
      <c r="B19" s="1" t="s">
        <v>4</v>
      </c>
      <c r="C19" s="1">
        <v>2049</v>
      </c>
      <c r="D19" s="1">
        <v>211602</v>
      </c>
      <c r="E19" s="22">
        <f>IF((PoblacionSISBEN!$C$9*PoblacionAreaDensEPEQ!C19+PoblacionSISBEN!$C$10)&gt;1,1,PoblacionSISBEN!$C$9*PoblacionAreaDensEPEQ!C19+PoblacionSISBEN!$C$10)</f>
        <v>0.66336582553476475</v>
      </c>
      <c r="F19" s="23">
        <f t="shared" si="0"/>
        <v>140369.53541480729</v>
      </c>
      <c r="G19" s="23">
        <f t="shared" si="1"/>
        <v>71232.464585192705</v>
      </c>
      <c r="H19" s="31">
        <f>TipoSueloEPE!$D$5-PoblacionAreaDensEPEQ!I19</f>
        <v>1773.5079746835436</v>
      </c>
      <c r="I19" s="31">
        <f>IF(TipoSueloEPE!$D$17*PoblacionAreaDensEPEQ!C19+TipoSueloEPE!$D$18&gt;TipoSueloEPE!$D$5,TipoSueloEPE!$D$5-1,TipoSueloEPE!$D$17*PoblacionAreaDensEPEQ!C19+TipoSueloEPE!$D$18)</f>
        <v>17708.512025316457</v>
      </c>
      <c r="J19" s="31">
        <f t="shared" si="2"/>
        <v>10.861399382610221</v>
      </c>
      <c r="K19" s="31">
        <f t="shared" si="3"/>
        <v>79.14795840704025</v>
      </c>
      <c r="L19" s="31">
        <f t="shared" si="4"/>
        <v>4.0224985861803235</v>
      </c>
      <c r="M19" s="23">
        <f>F19*TipoSueloEPE!$D$6/10000</f>
        <v>210.55430312221091</v>
      </c>
      <c r="N19" s="31">
        <f>D19*(AguaPotSanBas!$D$12)/86400</f>
        <v>342.87361111111113</v>
      </c>
      <c r="O19" s="31">
        <f>F19*(AguaPotSanBas!$D$12)/86400</f>
        <v>227.4506360888081</v>
      </c>
      <c r="P19" s="31">
        <f>G19*(AguaPotSanBas!$D$12)/86400</f>
        <v>115.42297502230299</v>
      </c>
      <c r="Q19" s="31">
        <f>N19*AguaPotSanBas!$D$13</f>
        <v>291.44256944444447</v>
      </c>
      <c r="R19" s="31">
        <f>O19*AguaPotSanBas!$D$13</f>
        <v>193.33304067548687</v>
      </c>
      <c r="S19" s="31">
        <f>P19*AguaPotSanBas!$D$13</f>
        <v>98.109528768957546</v>
      </c>
    </row>
    <row r="20" spans="1:19" x14ac:dyDescent="0.45">
      <c r="A20" s="1" t="s">
        <v>8</v>
      </c>
      <c r="B20" s="1" t="s">
        <v>4</v>
      </c>
      <c r="C20" s="1">
        <v>2054</v>
      </c>
      <c r="D20" s="1">
        <v>227676</v>
      </c>
      <c r="E20" s="22">
        <f>IF((PoblacionSISBEN!$C$9*PoblacionAreaDensEPEQ!C20+PoblacionSISBEN!$C$10)&gt;1,1,PoblacionSISBEN!$C$9*PoblacionAreaDensEPEQ!C20+PoblacionSISBEN!$C$10)</f>
        <v>0.64581822450059789</v>
      </c>
      <c r="F20" s="23">
        <f t="shared" si="0"/>
        <v>147037.31008139811</v>
      </c>
      <c r="G20" s="23">
        <f t="shared" si="1"/>
        <v>80638.689918601885</v>
      </c>
      <c r="H20" s="31">
        <f>TipoSueloEPE!$D$5-PoblacionAreaDensEPEQ!I20</f>
        <v>1900.7057594936668</v>
      </c>
      <c r="I20" s="31">
        <f>IF(TipoSueloEPE!$D$17*PoblacionAreaDensEPEQ!C20+TipoSueloEPE!$D$18&gt;TipoSueloEPE!$D$5,TipoSueloEPE!$D$5-1,TipoSueloEPE!$D$17*PoblacionAreaDensEPEQ!C20+TipoSueloEPE!$D$18)</f>
        <v>17581.314240506334</v>
      </c>
      <c r="J20" s="31">
        <f t="shared" si="2"/>
        <v>11.686467830337921</v>
      </c>
      <c r="K20" s="31">
        <f t="shared" si="3"/>
        <v>77.359322634223886</v>
      </c>
      <c r="L20" s="31">
        <f t="shared" si="4"/>
        <v>4.5866133108988514</v>
      </c>
      <c r="M20" s="23">
        <f>F20*TipoSueloEPE!$D$6/10000</f>
        <v>220.55596512209718</v>
      </c>
      <c r="N20" s="31">
        <f>D20*(AguaPotSanBas!$D$12)/86400</f>
        <v>368.91944444444442</v>
      </c>
      <c r="O20" s="31">
        <f>F20*(AguaPotSanBas!$D$12)/86400</f>
        <v>238.25490059485804</v>
      </c>
      <c r="P20" s="31">
        <f>G20*(AguaPotSanBas!$D$12)/86400</f>
        <v>130.66454384958638</v>
      </c>
      <c r="Q20" s="31">
        <f>N20*AguaPotSanBas!$D$13</f>
        <v>313.58152777777775</v>
      </c>
      <c r="R20" s="31">
        <f>O20*AguaPotSanBas!$D$13</f>
        <v>202.51666550562933</v>
      </c>
      <c r="S20" s="31">
        <f>P20*AguaPotSanBas!$D$13</f>
        <v>111.06486227214842</v>
      </c>
    </row>
    <row r="21" spans="1:19" x14ac:dyDescent="0.45">
      <c r="A21" s="1" t="s">
        <v>8</v>
      </c>
      <c r="B21" s="1" t="s">
        <v>4</v>
      </c>
      <c r="C21" s="1">
        <v>2059</v>
      </c>
      <c r="D21" s="1">
        <v>244356</v>
      </c>
      <c r="E21" s="22">
        <f>IF((PoblacionSISBEN!$C$9*PoblacionAreaDensEPEQ!C21+PoblacionSISBEN!$C$10)&gt;1,1,PoblacionSISBEN!$C$9*PoblacionAreaDensEPEQ!C21+PoblacionSISBEN!$C$10)</f>
        <v>0.62827062346643103</v>
      </c>
      <c r="F21" s="23">
        <f t="shared" si="0"/>
        <v>153521.69646776322</v>
      </c>
      <c r="G21" s="23">
        <f t="shared" si="1"/>
        <v>90834.30353223678</v>
      </c>
      <c r="H21" s="31">
        <f>TipoSueloEPE!$D$5-PoblacionAreaDensEPEQ!I21</f>
        <v>2027.9035443037974</v>
      </c>
      <c r="I21" s="31">
        <f>IF(TipoSueloEPE!$D$17*PoblacionAreaDensEPEQ!C21+TipoSueloEPE!$D$18&gt;TipoSueloEPE!$D$5,TipoSueloEPE!$D$5-1,TipoSueloEPE!$D$17*PoblacionAreaDensEPEQ!C21+TipoSueloEPE!$D$18)</f>
        <v>17454.116455696203</v>
      </c>
      <c r="J21" s="31">
        <f t="shared" si="2"/>
        <v>12.542641882104627</v>
      </c>
      <c r="K21" s="31">
        <f t="shared" si="3"/>
        <v>75.704634423561302</v>
      </c>
      <c r="L21" s="31">
        <f t="shared" si="4"/>
        <v>5.2041765484263589</v>
      </c>
      <c r="M21" s="23">
        <f>F21*TipoSueloEPE!$D$6/10000</f>
        <v>230.28254470164484</v>
      </c>
      <c r="N21" s="31">
        <f>D21*(AguaPotSanBas!$D$12)/86400</f>
        <v>395.94722222222219</v>
      </c>
      <c r="O21" s="31">
        <f>F21*(AguaPotSanBas!$D$12)/86400</f>
        <v>248.76200816535706</v>
      </c>
      <c r="P21" s="31">
        <f>G21*(AguaPotSanBas!$D$12)/86400</f>
        <v>147.18521405686514</v>
      </c>
      <c r="Q21" s="31">
        <f>N21*AguaPotSanBas!$D$13</f>
        <v>336.55513888888885</v>
      </c>
      <c r="R21" s="31">
        <f>O21*AguaPotSanBas!$D$13</f>
        <v>211.4477069405535</v>
      </c>
      <c r="S21" s="31">
        <f>P21*AguaPotSanBas!$D$13</f>
        <v>125.10743194833536</v>
      </c>
    </row>
    <row r="22" spans="1:19" x14ac:dyDescent="0.45">
      <c r="A22" s="1" t="s">
        <v>8</v>
      </c>
      <c r="B22" s="1" t="s">
        <v>4</v>
      </c>
      <c r="C22" s="1">
        <v>2064</v>
      </c>
      <c r="D22" s="1">
        <v>261645</v>
      </c>
      <c r="E22" s="22">
        <f>IF((PoblacionSISBEN!$C$9*PoblacionAreaDensEPEQ!C22+PoblacionSISBEN!$C$10)&gt;1,1,PoblacionSISBEN!$C$9*PoblacionAreaDensEPEQ!C22+PoblacionSISBEN!$C$10)</f>
        <v>0.61072302243226417</v>
      </c>
      <c r="F22" s="23">
        <f t="shared" si="0"/>
        <v>159792.62520428977</v>
      </c>
      <c r="G22" s="23">
        <f t="shared" si="1"/>
        <v>101852.37479571023</v>
      </c>
      <c r="H22" s="31">
        <f>TipoSueloEPE!$D$5-PoblacionAreaDensEPEQ!I22</f>
        <v>2155.1013291139207</v>
      </c>
      <c r="I22" s="31">
        <f>IF(TipoSueloEPE!$D$17*PoblacionAreaDensEPEQ!C22+TipoSueloEPE!$D$18&gt;TipoSueloEPE!$D$5,TipoSueloEPE!$D$5-1,TipoSueloEPE!$D$17*PoblacionAreaDensEPEQ!C22+TipoSueloEPE!$D$18)</f>
        <v>17326.91867088608</v>
      </c>
      <c r="J22" s="31">
        <f t="shared" si="2"/>
        <v>13.430075526049146</v>
      </c>
      <c r="K22" s="31">
        <f t="shared" si="3"/>
        <v>74.146223681273128</v>
      </c>
      <c r="L22" s="31">
        <f t="shared" si="4"/>
        <v>5.8782739580148107</v>
      </c>
      <c r="M22" s="23">
        <f>F22*TipoSueloEPE!$D$6/10000</f>
        <v>239.68893780643464</v>
      </c>
      <c r="N22" s="31">
        <f>D22*(AguaPotSanBas!$D$12)/86400</f>
        <v>423.96180555555554</v>
      </c>
      <c r="O22" s="31">
        <f>F22*(AguaPotSanBas!$D$12)/86400</f>
        <v>258.92323528472878</v>
      </c>
      <c r="P22" s="31">
        <f>G22*(AguaPotSanBas!$D$12)/86400</f>
        <v>165.03857027082677</v>
      </c>
      <c r="Q22" s="31">
        <f>N22*AguaPotSanBas!$D$13</f>
        <v>360.36753472222222</v>
      </c>
      <c r="R22" s="31">
        <f>O22*AguaPotSanBas!$D$13</f>
        <v>220.08474999201945</v>
      </c>
      <c r="S22" s="31">
        <f>P22*AguaPotSanBas!$D$13</f>
        <v>140.28278473020274</v>
      </c>
    </row>
    <row r="23" spans="1:19" x14ac:dyDescent="0.45">
      <c r="A23" s="1" t="s">
        <v>8</v>
      </c>
      <c r="B23" s="1" t="s">
        <v>4</v>
      </c>
      <c r="C23" s="1">
        <v>2069</v>
      </c>
      <c r="D23" s="1">
        <v>279540</v>
      </c>
      <c r="E23" s="22">
        <f>IF((PoblacionSISBEN!$C$9*PoblacionAreaDensEPEQ!C23+PoblacionSISBEN!$C$10)&gt;1,1,PoblacionSISBEN!$C$9*PoblacionAreaDensEPEQ!C23+PoblacionSISBEN!$C$10)</f>
        <v>0.59317542139809731</v>
      </c>
      <c r="F23" s="23">
        <f t="shared" si="0"/>
        <v>165816.25729762414</v>
      </c>
      <c r="G23" s="23">
        <f t="shared" si="1"/>
        <v>113723.74270237586</v>
      </c>
      <c r="H23" s="31">
        <f>TipoSueloEPE!$D$5-PoblacionAreaDensEPEQ!I23</f>
        <v>2282.2991139240512</v>
      </c>
      <c r="I23" s="31">
        <f>IF(TipoSueloEPE!$D$17*PoblacionAreaDensEPEQ!C23+TipoSueloEPE!$D$18&gt;TipoSueloEPE!$D$5,TipoSueloEPE!$D$5-1,TipoSueloEPE!$D$17*PoblacionAreaDensEPEQ!C23+TipoSueloEPE!$D$18)</f>
        <v>17199.720886075949</v>
      </c>
      <c r="J23" s="31">
        <f t="shared" si="2"/>
        <v>14.348614774032672</v>
      </c>
      <c r="K23" s="31">
        <f t="shared" si="3"/>
        <v>72.653166399617703</v>
      </c>
      <c r="L23" s="31">
        <f t="shared" si="4"/>
        <v>6.6119528017713955</v>
      </c>
      <c r="M23" s="23">
        <f>F23*TipoSueloEPE!$D$6/10000</f>
        <v>248.72438594643623</v>
      </c>
      <c r="N23" s="31">
        <f>D23*(AguaPotSanBas!$D$12)/86400</f>
        <v>452.95833333333331</v>
      </c>
      <c r="O23" s="31">
        <f>F23*(AguaPotSanBas!$D$12)/86400</f>
        <v>268.68375025077984</v>
      </c>
      <c r="P23" s="31">
        <f>G23*(AguaPotSanBas!$D$12)/86400</f>
        <v>184.27458308255348</v>
      </c>
      <c r="Q23" s="31">
        <f>N23*AguaPotSanBas!$D$13</f>
        <v>385.01458333333329</v>
      </c>
      <c r="R23" s="31">
        <f>O23*AguaPotSanBas!$D$13</f>
        <v>228.38118771316286</v>
      </c>
      <c r="S23" s="31">
        <f>P23*AguaPotSanBas!$D$13</f>
        <v>156.63339562017046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5</vt:i4>
      </vt:variant>
    </vt:vector>
  </HeadingPairs>
  <TitlesOfParts>
    <vt:vector size="9" baseType="lpstr">
      <vt:lpstr>PoblacionSISBEN</vt:lpstr>
      <vt:lpstr>TipoSueloEPE</vt:lpstr>
      <vt:lpstr>AguaPotSanBas</vt:lpstr>
      <vt:lpstr>PoblacionAreaDensEPEQ</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2024-07-10T17:37:24Z</dcterms:modified>
</cp:coreProperties>
</file>