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lb" ContentType="model/gltf.binary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wa-arm-structure\Materials\"/>
    </mc:Choice>
  </mc:AlternateContent>
  <xr:revisionPtr revIDLastSave="0" documentId="13_ncr:1_{63C1AE82-6469-45E6-AA96-71923F3AA090}" xr6:coauthVersionLast="38" xr6:coauthVersionMax="38" xr10:uidLastSave="{00000000-0000-0000-0000-000000000000}"/>
  <bookViews>
    <workbookView xWindow="0" yWindow="0" windowWidth="28800" windowHeight="12225" activeTab="1" xr2:uid="{732C66A2-6AAA-4FEE-96F2-21042206E23E}"/>
  </bookViews>
  <sheets>
    <sheet name="Key figures" sheetId="2" r:id="rId1"/>
    <sheet name="Link n" sheetId="4" r:id="rId2"/>
    <sheet name="Lookups" sheetId="3" r:id="rId3"/>
    <sheet name="Materials" sheetId="6" r:id="rId4"/>
    <sheet name="Carbon Fibre" sheetId="5" r:id="rId5"/>
  </sheets>
  <definedNames>
    <definedName name="gravity">Lookups!$L$15</definedName>
    <definedName name="LinkLongRodLength">'Key figures'!$C$13</definedName>
    <definedName name="MaxDesiredLinkDeflectionUnderMaxLoad">'Key figures'!$C$17</definedName>
    <definedName name="MaxEndEffectorSpeed">'Key figures'!$C$6</definedName>
    <definedName name="MaxLoad">'Key figures'!$C$3</definedName>
    <definedName name="NumberOfLinks">'Key figures'!$C$5</definedName>
    <definedName name="RodsPerLink">'Key figures'!$C$14</definedName>
    <definedName name="StructuralRodCrossSection">'Key figures'!$C$11</definedName>
    <definedName name="StructuralRodMaterial">'Key figures'!$C$10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" i="4" l="1"/>
  <c r="M4" i="4"/>
  <c r="M8" i="4" s="1"/>
  <c r="M5" i="4" l="1"/>
  <c r="M12" i="4" s="1"/>
  <c r="M29" i="4"/>
  <c r="M27" i="4" l="1"/>
  <c r="D15" i="6"/>
  <c r="C15" i="6"/>
  <c r="D14" i="6"/>
  <c r="C14" i="6"/>
  <c r="C33" i="4"/>
  <c r="C32" i="4"/>
  <c r="C27" i="4"/>
  <c r="C34" i="4" l="1"/>
  <c r="K24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23" i="5"/>
  <c r="C16" i="4"/>
  <c r="C6" i="4"/>
  <c r="C5" i="4"/>
  <c r="C4" i="4"/>
  <c r="C10" i="4" l="1"/>
  <c r="C3" i="4"/>
  <c r="F3" i="2" l="1"/>
  <c r="D12" i="3"/>
  <c r="C11" i="4" s="1"/>
  <c r="C13" i="4" s="1" a="1"/>
  <c r="C13" i="4" s="1"/>
  <c r="E12" i="3"/>
  <c r="C21" i="4" l="1"/>
  <c r="C20" i="4"/>
  <c r="C14" i="4"/>
  <c r="C15" i="4"/>
  <c r="E10" i="3"/>
  <c r="E9" i="3"/>
  <c r="E8" i="3"/>
  <c r="E6" i="3"/>
  <c r="E5" i="3"/>
  <c r="E4" i="3"/>
  <c r="D10" i="3"/>
  <c r="D9" i="3"/>
  <c r="D8" i="3"/>
  <c r="D7" i="3"/>
  <c r="D6" i="3"/>
  <c r="D5" i="3"/>
  <c r="D4" i="3"/>
  <c r="L5" i="3"/>
  <c r="C31" i="4" l="1"/>
  <c r="C39" i="4" s="1"/>
  <c r="M7" i="4"/>
  <c r="M9" i="4" s="1"/>
  <c r="M11" i="4" s="1"/>
  <c r="M13" i="4" s="1"/>
  <c r="C28" i="4"/>
  <c r="C17" i="4"/>
  <c r="C18" i="4" s="1"/>
  <c r="C35" i="4" l="1"/>
  <c r="M30" i="4" s="1"/>
  <c r="M31" i="4" s="1"/>
  <c r="M33" i="4" l="1"/>
  <c r="M34" i="4" s="1"/>
  <c r="M3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 Cooke</author>
  </authors>
  <commentList>
    <comment ref="C4" authorId="0" shapeId="0" xr:uid="{F694BC34-B747-4FF6-B804-4E751AED1497}">
      <text>
        <r>
          <rPr>
            <b/>
            <sz val="9"/>
            <color indexed="81"/>
            <rFont val="Tahoma"/>
            <family val="2"/>
          </rPr>
          <t>Ray Cooke:</t>
        </r>
        <r>
          <rPr>
            <sz val="9"/>
            <color indexed="81"/>
            <rFont val="Tahoma"/>
            <family val="2"/>
          </rPr>
          <t xml:space="preserve">
Young's Modulus
Measure of stiffness of material.
= Ratio of stress to strain</t>
        </r>
      </text>
    </comment>
    <comment ref="D4" authorId="0" shapeId="0" xr:uid="{55503AB6-BFDE-40A5-8C4E-2ECED3B7E145}">
      <text>
        <r>
          <rPr>
            <b/>
            <sz val="9"/>
            <color indexed="81"/>
            <rFont val="Tahoma"/>
            <family val="2"/>
          </rPr>
          <t>Ray Cooke:</t>
        </r>
        <r>
          <rPr>
            <sz val="9"/>
            <color indexed="81"/>
            <rFont val="Tahoma"/>
            <family val="2"/>
          </rPr>
          <t xml:space="preserve">
Shear Modulus
OR
Modulus of rigidity
= Ratio of Shear Stress to Shear Strain
https://en.wikipedia.org/wiki/Shear_modulus
</t>
        </r>
      </text>
    </comment>
    <comment ref="E4" authorId="0" shapeId="0" xr:uid="{C6F502C4-286F-40AC-875C-A411CC460751}">
      <text>
        <r>
          <rPr>
            <b/>
            <sz val="9"/>
            <color indexed="81"/>
            <rFont val="Tahoma"/>
            <family val="2"/>
          </rPr>
          <t>Ray Cooke:</t>
        </r>
        <r>
          <rPr>
            <sz val="9"/>
            <color indexed="81"/>
            <rFont val="Tahoma"/>
            <family val="2"/>
          </rPr>
          <t xml:space="preserve">
Poisson ratio of material</t>
        </r>
      </text>
    </comment>
    <comment ref="F4" authorId="0" shapeId="0" xr:uid="{FBE13B0C-F869-4961-86A9-44A1E36CF297}">
      <text>
        <r>
          <rPr>
            <b/>
            <sz val="9"/>
            <color indexed="81"/>
            <rFont val="Tahoma"/>
            <family val="2"/>
          </rPr>
          <t>Ray Cooke:</t>
        </r>
        <r>
          <rPr>
            <sz val="9"/>
            <color indexed="81"/>
            <rFont val="Tahoma"/>
            <family val="2"/>
          </rPr>
          <t xml:space="preserve">
Density</t>
        </r>
      </text>
    </comment>
    <comment ref="I4" authorId="0" shapeId="0" xr:uid="{CE3E28FB-C01B-434F-8B36-600BA8F31996}">
      <text>
        <r>
          <rPr>
            <b/>
            <sz val="9"/>
            <color indexed="81"/>
            <rFont val="Tahoma"/>
            <family val="2"/>
          </rPr>
          <t>Ray Cooke:</t>
        </r>
        <r>
          <rPr>
            <sz val="9"/>
            <color indexed="81"/>
            <rFont val="Tahoma"/>
            <family val="2"/>
          </rPr>
          <t xml:space="preserve">
Diameter</t>
        </r>
      </text>
    </comment>
    <comment ref="J4" authorId="0" shapeId="0" xr:uid="{327A2A9A-56E0-473C-9CF7-6D5465733701}">
      <text>
        <r>
          <rPr>
            <b/>
            <sz val="9"/>
            <color indexed="81"/>
            <rFont val="Tahoma"/>
            <family val="2"/>
          </rPr>
          <t>Ray Cooke:</t>
        </r>
        <r>
          <rPr>
            <sz val="9"/>
            <color indexed="81"/>
            <rFont val="Tahoma"/>
            <family val="2"/>
          </rPr>
          <t xml:space="preserve">
Ultimate Tensile Strength or Tensile Strenth for short.</t>
        </r>
      </text>
    </comment>
    <comment ref="K4" authorId="0" shapeId="0" xr:uid="{508A8C1A-5A6B-4172-9D50-665C2D9699CC}">
      <text>
        <r>
          <rPr>
            <b/>
            <sz val="9"/>
            <color indexed="81"/>
            <rFont val="Tahoma"/>
            <family val="2"/>
          </rPr>
          <t>Ray Cooke:</t>
        </r>
        <r>
          <rPr>
            <sz val="9"/>
            <color indexed="81"/>
            <rFont val="Tahoma"/>
            <family val="2"/>
          </rPr>
          <t xml:space="preserve">
Ultimate Tensile Strength or Tensile Strenth for short.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 Cooke</author>
  </authors>
  <commentList>
    <comment ref="K3" authorId="0" shapeId="0" xr:uid="{BB64ADE7-BF10-4A66-BA7F-72CFBCB10EED}">
      <text>
        <r>
          <rPr>
            <b/>
            <sz val="9"/>
            <color indexed="81"/>
            <rFont val="Tahoma"/>
            <family val="2"/>
          </rPr>
          <t>Ray Cooke:</t>
        </r>
        <r>
          <rPr>
            <sz val="9"/>
            <color indexed="81"/>
            <rFont val="Tahoma"/>
            <family val="2"/>
          </rPr>
          <t xml:space="preserve">
Cross-section area moment of Inertia @ wall thickness = 6mm, A as height</t>
        </r>
      </text>
    </comment>
  </commentList>
</comments>
</file>

<file path=xl/sharedStrings.xml><?xml version="1.0" encoding="utf-8"?>
<sst xmlns="http://schemas.openxmlformats.org/spreadsheetml/2006/main" count="180" uniqueCount="148">
  <si>
    <t>Material</t>
  </si>
  <si>
    <t>HR40</t>
  </si>
  <si>
    <t>TRH50</t>
  </si>
  <si>
    <t>Tensile Strength</t>
  </si>
  <si>
    <t>Conversions</t>
  </si>
  <si>
    <t>psi</t>
  </si>
  <si>
    <t>Pa</t>
  </si>
  <si>
    <t>Material Properties</t>
  </si>
  <si>
    <t>1 of below=</t>
  </si>
  <si>
    <t>Compressive Strength</t>
  </si>
  <si>
    <t>Compressive Modulus</t>
  </si>
  <si>
    <t>Flexural Strength</t>
  </si>
  <si>
    <t>Flexural Modulus</t>
  </si>
  <si>
    <t>Short Beam Sheer Strength</t>
  </si>
  <si>
    <t>Units</t>
  </si>
  <si>
    <t>Unknown</t>
  </si>
  <si>
    <t>Tensile Modulus (E)</t>
  </si>
  <si>
    <t>Requirements Choices</t>
  </si>
  <si>
    <t>MaxLoad / Kg</t>
  </si>
  <si>
    <t>Design Choices</t>
  </si>
  <si>
    <t>Constants</t>
  </si>
  <si>
    <t>Gravity / ms-2</t>
  </si>
  <si>
    <t>LinkLongRodLength / m</t>
  </si>
  <si>
    <t>Young's Modulus of rod material (E)</t>
  </si>
  <si>
    <t>Density</t>
  </si>
  <si>
    <t>Kg/m3</t>
  </si>
  <si>
    <t>RodsPerLink</t>
  </si>
  <si>
    <t>Hollow Rectangle</t>
  </si>
  <si>
    <t>StructuralRodMaterial</t>
  </si>
  <si>
    <t>StructuralRodCrossSection</t>
  </si>
  <si>
    <t>Datasheet</t>
  </si>
  <si>
    <t>C-Tech</t>
  </si>
  <si>
    <t>"E Value"</t>
  </si>
  <si>
    <t>NumberOfLinks</t>
  </si>
  <si>
    <t>ConnectorLength / m</t>
  </si>
  <si>
    <t>MaxReach / m</t>
  </si>
  <si>
    <t>Link Length / m</t>
  </si>
  <si>
    <t>Max speed of end-effector / ms-1</t>
  </si>
  <si>
    <t>C-Tech Rectangular Tubing</t>
  </si>
  <si>
    <t>MaxDesiredLinkDeflection / m</t>
  </si>
  <si>
    <t>Link Static Structural Details</t>
  </si>
  <si>
    <t>Number of Rods in Link</t>
  </si>
  <si>
    <t>Force per Rod / N</t>
  </si>
  <si>
    <t>Maximum desired deflection / m</t>
  </si>
  <si>
    <t>ID</t>
  </si>
  <si>
    <t>20x15</t>
  </si>
  <si>
    <t>21.6x15</t>
  </si>
  <si>
    <t>25x5</t>
  </si>
  <si>
    <t>25x12</t>
  </si>
  <si>
    <t>30x6</t>
  </si>
  <si>
    <t>31.5x15</t>
  </si>
  <si>
    <t>31.5x20</t>
  </si>
  <si>
    <t>35x25</t>
  </si>
  <si>
    <t>36x12</t>
  </si>
  <si>
    <t>40x12</t>
  </si>
  <si>
    <t>40x20</t>
  </si>
  <si>
    <t>40x25</t>
  </si>
  <si>
    <t>46x36</t>
  </si>
  <si>
    <t>50x22</t>
  </si>
  <si>
    <t>50x25</t>
  </si>
  <si>
    <t>50x38</t>
  </si>
  <si>
    <t>60x35</t>
  </si>
  <si>
    <t>75x40</t>
  </si>
  <si>
    <t>75x50</t>
  </si>
  <si>
    <t>135x50</t>
  </si>
  <si>
    <t>150x75</t>
  </si>
  <si>
    <t>Carbon Fiber rod ID to get required deflection</t>
  </si>
  <si>
    <t>A / (mm)</t>
  </si>
  <si>
    <t>B / (mm)</t>
  </si>
  <si>
    <t>Wall Min / (mm)</t>
  </si>
  <si>
    <t>Wall Max / (mm)</t>
  </si>
  <si>
    <t>Price Min / per m (NZ$)</t>
  </si>
  <si>
    <t>Price Max / per m (NZ$)</t>
  </si>
  <si>
    <t>Weight Min / per m (kg)</t>
  </si>
  <si>
    <t>Weight Max / per m (kg)</t>
  </si>
  <si>
    <t>I / m4</t>
  </si>
  <si>
    <t>Rod Height / m</t>
  </si>
  <si>
    <t>Rod Width / m</t>
  </si>
  <si>
    <t>Rod Wall Thickness / m</t>
  </si>
  <si>
    <t>Link Deflection / m</t>
  </si>
  <si>
    <t>Cross-Section Moment of Inertia / m4</t>
  </si>
  <si>
    <t>External Force exerted at end of link / N</t>
  </si>
  <si>
    <t>Link Mass / Kg</t>
  </si>
  <si>
    <t>Motor and Gearbox Calcs</t>
  </si>
  <si>
    <t>Materials Cost / NZ$</t>
  </si>
  <si>
    <t>http://www.carbon-tube.com/square.php#</t>
  </si>
  <si>
    <t>Balancing Calcs</t>
  </si>
  <si>
    <t>Minimum vertical joint angle / degrees</t>
  </si>
  <si>
    <t>Maximum vertical joint angle / degrees</t>
  </si>
  <si>
    <t>Vertical range / m</t>
  </si>
  <si>
    <t>Potential Energy Delta / Joules</t>
  </si>
  <si>
    <t>Spring extension range / m</t>
  </si>
  <si>
    <t>a / m</t>
  </si>
  <si>
    <t>b / m</t>
  </si>
  <si>
    <t>Minimum spring extension / m</t>
  </si>
  <si>
    <t>Maximum spring extension / m</t>
  </si>
  <si>
    <t>Spring stiffness (k) / Nm-1</t>
  </si>
  <si>
    <t>Maximum load / N</t>
  </si>
  <si>
    <t>Spring Calcs</t>
  </si>
  <si>
    <t>Music Wire ASTM A228</t>
  </si>
  <si>
    <t>Oil Tempered MB ASTM A229</t>
  </si>
  <si>
    <t>Carbon Valve ASTM A230</t>
  </si>
  <si>
    <t>Hard Drawn ASTM ASTM A227</t>
  </si>
  <si>
    <t>Stainless 17-7 ASTM A313</t>
  </si>
  <si>
    <t>Stainless 302 ASTM A313</t>
  </si>
  <si>
    <t>Stainless 316 ASTM A316</t>
  </si>
  <si>
    <t>Chrome Silicon ASTM A401</t>
  </si>
  <si>
    <t>Phos-Brnz Grd A ASTM B159</t>
  </si>
  <si>
    <t>Beryllium Copper ASTM B179</t>
  </si>
  <si>
    <t>G</t>
  </si>
  <si>
    <t>E</t>
  </si>
  <si>
    <t>v</t>
  </si>
  <si>
    <t>d</t>
  </si>
  <si>
    <t>g/cc</t>
  </si>
  <si>
    <t>GPa</t>
  </si>
  <si>
    <t>Spring Material</t>
  </si>
  <si>
    <t>Sheer Modulus (G) / GPa</t>
  </si>
  <si>
    <t>Coil mean diameter (D) / mm</t>
  </si>
  <si>
    <t>TS min</t>
  </si>
  <si>
    <t>TS max</t>
  </si>
  <si>
    <t>D</t>
  </si>
  <si>
    <t>MPa</t>
  </si>
  <si>
    <t>mm</t>
  </si>
  <si>
    <t>Spring Basic Material Properties</t>
  </si>
  <si>
    <t>Spring Material Tensile Strengths</t>
  </si>
  <si>
    <t>Torsional Stress (Tau or S) / MPa</t>
  </si>
  <si>
    <t>NOTE: Make this goal seeking</t>
  </si>
  <si>
    <t>Spring material diameter / mm</t>
  </si>
  <si>
    <t>Determined this effectively manually</t>
  </si>
  <si>
    <t>Nearest material diameter available / mm</t>
  </si>
  <si>
    <t>Number of Coils (Na)</t>
  </si>
  <si>
    <t>Link Structural Materials Calcs</t>
  </si>
  <si>
    <t>Body Length / m</t>
  </si>
  <si>
    <t>Permissable Torsional Stress (Tau or S) / MPa</t>
  </si>
  <si>
    <t>Dynamic Balancing Considerations</t>
  </si>
  <si>
    <t>a @ 0Kg load / mm</t>
  </si>
  <si>
    <t>Maximum Speed / ms-1</t>
  </si>
  <si>
    <t>Max Angular velocity / rads s-1</t>
  </si>
  <si>
    <t>Max Angular velocity / rpm</t>
  </si>
  <si>
    <t>Radius of gyration of mass around Joint (k) / m</t>
  </si>
  <si>
    <t>Inertia of link / Kgm^2</t>
  </si>
  <si>
    <t>Torque at joint shaft (Ts) / Nm</t>
  </si>
  <si>
    <t>Maximum Acceleration /  rads sec^-2</t>
  </si>
  <si>
    <t>Belt reduction ratio</t>
  </si>
  <si>
    <t>Torque at gearbox output (Tg) / Nm</t>
  </si>
  <si>
    <t>Angular velocity at gearbox output / rpm</t>
  </si>
  <si>
    <t>Motor and Gearbox max power / W</t>
  </si>
  <si>
    <t>Static Vertical Torque /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</si>
</sst>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1409]* #,##0.00_-;\-[$$-1409]* #,##0.00_-;_-[$$-1409]* &quot;-&quot;??_-;_-@_-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4" fillId="2" borderId="2" applyNumberFormat="0" applyAlignment="0" applyProtection="0"/>
    <xf numFmtId="0" fontId="5" fillId="3" borderId="3" applyNumberFormat="0" applyAlignment="0" applyProtection="0"/>
    <xf numFmtId="0" fontId="6" fillId="3" borderId="2" applyNumberFormat="0" applyAlignment="0" applyProtection="0"/>
    <xf numFmtId="0" fontId="3" fillId="4" borderId="4" applyNumberFormat="0" applyFont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1" fillId="0" borderId="1" xfId="1"/>
    <xf numFmtId="48" fontId="0" fillId="0" borderId="0" xfId="0" applyNumberFormat="1"/>
    <xf numFmtId="48" fontId="4" fillId="2" borderId="2" xfId="2" applyNumberFormat="1"/>
    <xf numFmtId="1" fontId="4" fillId="2" borderId="2" xfId="2" applyNumberFormat="1"/>
    <xf numFmtId="2" fontId="4" fillId="2" borderId="2" xfId="2" applyNumberFormat="1"/>
    <xf numFmtId="1" fontId="5" fillId="3" borderId="3" xfId="3" applyNumberFormat="1"/>
    <xf numFmtId="0" fontId="1" fillId="0" borderId="1" xfId="1" applyAlignment="1">
      <alignment horizontal="left"/>
    </xf>
    <xf numFmtId="0" fontId="4" fillId="2" borderId="2" xfId="2"/>
    <xf numFmtId="2" fontId="0" fillId="0" borderId="0" xfId="0" applyNumberFormat="1"/>
    <xf numFmtId="1" fontId="0" fillId="0" borderId="0" xfId="0" applyNumberFormat="1"/>
    <xf numFmtId="48" fontId="6" fillId="3" borderId="2" xfId="4" applyNumberFormat="1"/>
    <xf numFmtId="48" fontId="0" fillId="4" borderId="4" xfId="5" applyNumberFormat="1" applyFont="1"/>
    <xf numFmtId="1" fontId="0" fillId="4" borderId="4" xfId="5" applyNumberFormat="1" applyFont="1"/>
    <xf numFmtId="0" fontId="6" fillId="3" borderId="2" xfId="4" applyAlignment="1">
      <alignment horizontal="right"/>
    </xf>
    <xf numFmtId="164" fontId="6" fillId="3" borderId="2" xfId="4" applyNumberFormat="1"/>
    <xf numFmtId="0" fontId="2" fillId="0" borderId="5" xfId="0" applyFont="1" applyBorder="1"/>
    <xf numFmtId="0" fontId="0" fillId="0" borderId="5" xfId="0" applyBorder="1"/>
    <xf numFmtId="164" fontId="0" fillId="0" borderId="5" xfId="0" applyNumberFormat="1" applyBorder="1"/>
    <xf numFmtId="48" fontId="0" fillId="0" borderId="5" xfId="0" applyNumberFormat="1" applyBorder="1"/>
    <xf numFmtId="0" fontId="0" fillId="0" borderId="0" xfId="0" applyBorder="1"/>
    <xf numFmtId="0" fontId="0" fillId="0" borderId="6" xfId="0" applyBorder="1"/>
    <xf numFmtId="165" fontId="0" fillId="0" borderId="0" xfId="0" applyNumberFormat="1"/>
    <xf numFmtId="2" fontId="2" fillId="0" borderId="0" xfId="0" applyNumberFormat="1" applyFont="1"/>
    <xf numFmtId="2" fontId="6" fillId="3" borderId="2" xfId="4" applyNumberFormat="1"/>
    <xf numFmtId="0" fontId="6" fillId="3" borderId="2" xfId="4"/>
    <xf numFmtId="0" fontId="9" fillId="0" borderId="0" xfId="6"/>
    <xf numFmtId="1" fontId="6" fillId="3" borderId="2" xfId="4" applyNumberFormat="1"/>
    <xf numFmtId="2" fontId="5" fillId="3" borderId="3" xfId="3" applyNumberFormat="1"/>
    <xf numFmtId="0" fontId="1" fillId="0" borderId="1" xfId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7">
    <cellStyle name="Calculation" xfId="4" builtinId="22"/>
    <cellStyle name="Heading 1" xfId="1" builtinId="16"/>
    <cellStyle name="Hyperlink" xfId="6" builtinId="8"/>
    <cellStyle name="Input" xfId="2" builtinId="20"/>
    <cellStyle name="Normal" xfId="0" builtinId="0"/>
    <cellStyle name="Note" xfId="5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7/06/relationships/model3d" Target="../media/model3d1.glb"/><Relationship Id="rId1" Type="http://schemas.openxmlformats.org/officeDocument/2006/relationships/image" Target="../media/image1.jpe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</xdr:colOff>
      <xdr:row>11</xdr:row>
      <xdr:rowOff>161925</xdr:rowOff>
    </xdr:from>
    <xdr:to>
      <xdr:col>5</xdr:col>
      <xdr:colOff>133350</xdr:colOff>
      <xdr:row>18</xdr:row>
      <xdr:rowOff>123825</xdr:rowOff>
    </xdr:to>
    <xdr:pic>
      <xdr:nvPicPr>
        <xdr:cNvPr id="2" name="Picture 1" descr="Section Properties Engineering">
          <a:extLst>
            <a:ext uri="{FF2B5EF4-FFF2-40B4-BE49-F238E27FC236}">
              <a16:creationId xmlns:a16="http://schemas.microsoft.com/office/drawing/2014/main" id="{E70D49ED-BB4F-45DA-952F-3D681F2C7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2409825"/>
          <a:ext cx="117157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17490</xdr:colOff>
      <xdr:row>3</xdr:row>
      <xdr:rowOff>137078</xdr:rowOff>
    </xdr:from>
    <xdr:to>
      <xdr:col>10</xdr:col>
      <xdr:colOff>540798</xdr:colOff>
      <xdr:row>21</xdr:row>
      <xdr:rowOff>95250</xdr:rowOff>
    </xdr:to>
    <mc:AlternateContent xmlns:mc="http://schemas.openxmlformats.org/markup-compatibility/2006">
      <mc:Choice xmlns:am3d="http://schemas.microsoft.com/office/drawing/2017/model3d" Requires="am3d">
        <xdr:graphicFrame macro="">
          <xdr:nvGraphicFramePr>
            <xdr:cNvPr id="3" name="3D Model 2">
              <a:extLst>
                <a:ext uri="{FF2B5EF4-FFF2-40B4-BE49-F238E27FC236}">
                  <a16:creationId xmlns:a16="http://schemas.microsoft.com/office/drawing/2014/main" id="{5351BEFF-CF98-4B66-A66E-336B38ACBC7F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7/model3d">
              <am3d:model3d xmlns:r="http://schemas.openxmlformats.org/officeDocument/2006/relationships" r:embed="rId2">
                <am3d:spPr>
                  <a:xfrm>
                    <a:off x="0" y="0"/>
                    <a:ext cx="5352483" cy="3463372"/>
                  </a:xfrm>
                  <a:prstGeom prst="rect">
                    <a:avLst/>
                  </a:prstGeom>
                </am3d:spPr>
                <am3d:camera>
                  <am3d:pos x="0" y="0" z="68409805"/>
                  <am3d:up dx="0" dy="36000000" dz="0"/>
                  <am3d:lookAt x="0" y="0" z="0"/>
                  <am3d:perspective fov="2700000"/>
                </am3d:camera>
                <am3d:trans>
                  <am3d:meterPerModelUnit n="1060" d="1000000"/>
                  <am3d:preTrans dx="-12706847" dy="-11892312" dz="-5141010"/>
                  <am3d:scale>
                    <am3d:sx n="1000000" d="1000000"/>
                    <am3d:sy n="1000000" d="1000000"/>
                    <am3d:sz n="1000000" d="1000000"/>
                  </am3d:scale>
                  <am3d:rot ax="6448207" ay="62017" az="-196892"/>
                  <am3d:postTrans dx="0" dy="0" dz="0"/>
                </am3d:trans>
                <am3d:raster rName="Office3DRenderer" rVer="16.0.8326">
                  <am3d:blip r:embed="rId3"/>
                </am3d:raster>
                <am3d:objViewport viewportSz="7720171"/>
                <am3d:ambientLight>
                  <am3d:clr>
                    <a:scrgbClr r="50000" g="50000" b="50000"/>
                  </am3d:clr>
                  <am3d:illuminance n="500000" d="1000000"/>
                </am3d:ambientLight>
                <am3d:ptLight rad="0">
                  <am3d:clr>
                    <a:scrgbClr r="100000" g="75000" b="50000"/>
                  </am3d:clr>
                  <am3d:intensity n="9765625" d="1000000"/>
                  <am3d:pos x="21959998" y="70920001" z="16344003"/>
                </am3d:ptLight>
                <am3d:ptLight rad="0">
                  <am3d:clr>
                    <a:scrgbClr r="40000" g="60000" b="95000"/>
                  </am3d:clr>
                  <am3d:intensity n="12250000" d="1000000"/>
                  <am3d:pos x="-37964106" y="51130435" z="57631972"/>
                </am3d:ptLight>
                <am3d:ptLight rad="0">
                  <am3d:clr>
                    <a:scrgbClr r="86837" g="72700" b="100000"/>
                  </am3d:clr>
                  <am3d:intensity n="3125000" d="1000000"/>
                  <am3d:pos x="-37739122" y="58056624" z="-34769649"/>
                </am3d:ptLight>
              </am3d:model3d>
            </a:graphicData>
          </a:graphic>
        </xdr:graphicFrame>
      </mc:Choice>
      <mc:Fallback>
        <xdr:pic>
          <xdr:nvPicPr>
            <xdr:cNvPr id="3" name="3D Model 2">
              <a:extLst>
                <a:ext uri="{FF2B5EF4-FFF2-40B4-BE49-F238E27FC236}">
                  <a16:creationId xmlns:a16="http://schemas.microsoft.com/office/drawing/2014/main" id="{5351BEFF-CF98-4B66-A66E-336B38ACBC7F}"/>
                </a:ext>
              </a:extLst>
            </xdr:cNvPr>
            <xdr:cNvPicPr>
              <a:picLocks noGrp="1" noRot="1" noChangeAspect="1" noMove="1" noResize="1" noEditPoints="1" noAdjustHandles="1" noChangeArrowheads="1" noChangeShapeType="1" noCrop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513415" y="784778"/>
              <a:ext cx="5352483" cy="34633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3195</xdr:colOff>
      <xdr:row>24</xdr:row>
      <xdr:rowOff>104775</xdr:rowOff>
    </xdr:from>
    <xdr:to>
      <xdr:col>9</xdr:col>
      <xdr:colOff>400050</xdr:colOff>
      <xdr:row>35</xdr:row>
      <xdr:rowOff>110592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649A88-EC9A-4EA2-8A10-301ACC2C72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363" t="26348" r="8371" b="33823"/>
        <a:stretch/>
      </xdr:blipFill>
      <xdr:spPr>
        <a:xfrm>
          <a:off x="5499120" y="4905375"/>
          <a:ext cx="4616430" cy="21013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104775</xdr:colOff>
      <xdr:row>2</xdr:row>
      <xdr:rowOff>104775</xdr:rowOff>
    </xdr:from>
    <xdr:to>
      <xdr:col>14</xdr:col>
      <xdr:colOff>314325</xdr:colOff>
      <xdr:row>8</xdr:row>
      <xdr:rowOff>133350</xdr:rowOff>
    </xdr:to>
    <xdr:pic>
      <xdr:nvPicPr>
        <xdr:cNvPr id="2" name="Picture 1" descr="Rectangular section shape (C-Tech carbon tube mandrel profile)">
          <a:extLst>
            <a:ext uri="{FF2B5EF4-FFF2-40B4-BE49-F238E27FC236}">
              <a16:creationId xmlns:a16="http://schemas.microsoft.com/office/drawing/2014/main" id="{C02ACCB0-E2E1-47A5-99D3-65A9A9BE6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561975"/>
          <a:ext cx="14287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tweb.com/search/datasheet.aspx?matguid=b5e72989337a4ca09cc3c2be5b3283e8&amp;ckck=1" TargetMode="External"/><Relationship Id="rId3" Type="http://schemas.openxmlformats.org/officeDocument/2006/relationships/hyperlink" Target="http://www.matweb.com/search/DataSheet.aspx?MatGUID=4e49ed270a3c400ab7ccdde3ce795fec" TargetMode="External"/><Relationship Id="rId7" Type="http://schemas.openxmlformats.org/officeDocument/2006/relationships/hyperlink" Target="http://www.matweb.com/search/datasheet.aspx?matguid=b5e72989337a4ca09cc3c2be5b3283e8&amp;ckck=1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www.matweb.com/search/DataSheet.aspx?MatGUID=1dcc076fcee04871b6eb229d2a64db8e" TargetMode="External"/><Relationship Id="rId1" Type="http://schemas.openxmlformats.org/officeDocument/2006/relationships/hyperlink" Target="http://www.matweb.com/search/DataSheet.aspx?MatGUID=f290e46425d648f6963d16a9a80e63c4" TargetMode="External"/><Relationship Id="rId6" Type="http://schemas.openxmlformats.org/officeDocument/2006/relationships/hyperlink" Target="https://www.acxesspring.com/properties-of-common-spring-materials-spring-wires.html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malinco.com/wp-content/uploads/ASTM-B-159-Phosphor-Bronze.pdf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www.matweb.com/search/DataSheet.aspx?MatGUID=7651ada41a5a4502a32bb2fa1a2cc8b5" TargetMode="External"/><Relationship Id="rId9" Type="http://schemas.openxmlformats.org/officeDocument/2006/relationships/hyperlink" Target="http://www.matweb.com/search/datasheet.aspx?matguid=b5e72989337a4ca09cc3c2be5b3283e8&amp;ckck=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arbon-tube.com/square.php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5DEC-D345-40D8-9612-6FB85AEB4A84}">
  <sheetPr codeName="Sheet1"/>
  <dimension ref="A1:F17"/>
  <sheetViews>
    <sheetView showGridLines="0" workbookViewId="0">
      <selection activeCell="C13" sqref="C13"/>
    </sheetView>
  </sheetViews>
  <sheetFormatPr defaultRowHeight="15" x14ac:dyDescent="0.25"/>
  <cols>
    <col min="2" max="2" width="31.7109375" bestFit="1" customWidth="1"/>
    <col min="3" max="3" width="16.5703125" style="3" bestFit="1" customWidth="1"/>
    <col min="5" max="5" width="25.140625" bestFit="1" customWidth="1"/>
    <col min="6" max="6" width="9" customWidth="1"/>
  </cols>
  <sheetData>
    <row r="1" spans="1:6" ht="20.25" thickBot="1" x14ac:dyDescent="0.35">
      <c r="A1" s="30" t="s">
        <v>17</v>
      </c>
      <c r="B1" s="30"/>
      <c r="C1" s="30"/>
      <c r="D1" s="30"/>
      <c r="E1" s="30"/>
      <c r="F1" s="30"/>
    </row>
    <row r="2" spans="1:6" ht="15.75" thickTop="1" x14ac:dyDescent="0.25"/>
    <row r="3" spans="1:6" x14ac:dyDescent="0.25">
      <c r="B3" t="s">
        <v>18</v>
      </c>
      <c r="C3" s="5">
        <v>10</v>
      </c>
      <c r="E3" t="s">
        <v>147</v>
      </c>
      <c r="F3" s="7">
        <f>MaxLoad*gravity*C4</f>
        <v>245.16624999999999</v>
      </c>
    </row>
    <row r="4" spans="1:6" x14ac:dyDescent="0.25">
      <c r="B4" t="s">
        <v>35</v>
      </c>
      <c r="C4" s="6">
        <v>2.5</v>
      </c>
    </row>
    <row r="5" spans="1:6" x14ac:dyDescent="0.25">
      <c r="B5" t="s">
        <v>33</v>
      </c>
      <c r="C5" s="5">
        <v>3</v>
      </c>
    </row>
    <row r="6" spans="1:6" x14ac:dyDescent="0.25">
      <c r="B6" t="s">
        <v>37</v>
      </c>
      <c r="C6" s="6">
        <v>0.75</v>
      </c>
    </row>
    <row r="8" spans="1:6" ht="20.25" thickBot="1" x14ac:dyDescent="0.35">
      <c r="A8" s="30" t="s">
        <v>19</v>
      </c>
      <c r="B8" s="30"/>
      <c r="C8" s="30"/>
      <c r="D8" s="30"/>
      <c r="E8" s="30"/>
      <c r="F8" s="30"/>
    </row>
    <row r="9" spans="1:6" ht="15.75" thickTop="1" x14ac:dyDescent="0.25"/>
    <row r="10" spans="1:6" x14ac:dyDescent="0.25">
      <c r="B10" t="s">
        <v>28</v>
      </c>
      <c r="C10" s="4" t="s">
        <v>1</v>
      </c>
    </row>
    <row r="11" spans="1:6" x14ac:dyDescent="0.25">
      <c r="B11" t="s">
        <v>29</v>
      </c>
      <c r="C11" s="4" t="s">
        <v>27</v>
      </c>
    </row>
    <row r="13" spans="1:6" x14ac:dyDescent="0.25">
      <c r="B13" t="s">
        <v>22</v>
      </c>
      <c r="C13" s="4">
        <v>0.75</v>
      </c>
    </row>
    <row r="14" spans="1:6" x14ac:dyDescent="0.25">
      <c r="B14" t="s">
        <v>26</v>
      </c>
      <c r="C14" s="5">
        <v>4</v>
      </c>
    </row>
    <row r="15" spans="1:6" x14ac:dyDescent="0.25">
      <c r="B15" t="s">
        <v>34</v>
      </c>
      <c r="C15" s="4">
        <v>0.15</v>
      </c>
    </row>
    <row r="17" spans="2:3" x14ac:dyDescent="0.25">
      <c r="B17" t="s">
        <v>39</v>
      </c>
      <c r="C17" s="4">
        <v>1E-4</v>
      </c>
    </row>
  </sheetData>
  <mergeCells count="2">
    <mergeCell ref="A1:F1"/>
    <mergeCell ref="A8:F8"/>
  </mergeCells>
  <dataValidations count="1">
    <dataValidation type="list" showInputMessage="1" showErrorMessage="1" sqref="C11" xr:uid="{5B211816-66C2-4E1C-A743-83583DF7EF8A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1F0912A7-7A0C-418A-95AC-64784381A831}">
          <x14:formula1>
            <xm:f>Lookups!$D$3:$E$3</xm:f>
          </x14:formula1>
          <xm:sqref>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05BD-45E0-4CF8-AA19-BB3D4E85C23D}">
  <sheetPr codeName="Sheet2"/>
  <dimension ref="A1:P39"/>
  <sheetViews>
    <sheetView showGridLines="0" tabSelected="1" workbookViewId="0">
      <selection activeCell="C16" sqref="C16"/>
    </sheetView>
  </sheetViews>
  <sheetFormatPr defaultRowHeight="15" x14ac:dyDescent="0.25"/>
  <cols>
    <col min="2" max="2" width="42.42578125" bestFit="1" customWidth="1"/>
    <col min="3" max="3" width="12.5703125" bestFit="1" customWidth="1"/>
    <col min="8" max="8" width="35.85546875" bestFit="1" customWidth="1"/>
    <col min="12" max="12" width="42.140625" bestFit="1" customWidth="1"/>
    <col min="13" max="13" width="27.42578125" bestFit="1" customWidth="1"/>
  </cols>
  <sheetData>
    <row r="1" spans="1:16" ht="20.25" thickBot="1" x14ac:dyDescent="0.35">
      <c r="A1" s="30" t="s">
        <v>40</v>
      </c>
      <c r="B1" s="30"/>
      <c r="C1" s="30"/>
      <c r="D1" s="30"/>
      <c r="E1" s="30"/>
      <c r="F1" s="30"/>
      <c r="G1" s="30"/>
      <c r="H1" s="30"/>
      <c r="I1" s="30"/>
      <c r="K1" s="30" t="s">
        <v>83</v>
      </c>
      <c r="L1" s="30"/>
      <c r="M1" s="30"/>
    </row>
    <row r="2" spans="1:16" ht="15.75" thickTop="1" x14ac:dyDescent="0.25">
      <c r="M2" s="3"/>
    </row>
    <row r="3" spans="1:16" x14ac:dyDescent="0.25">
      <c r="B3" t="s">
        <v>36</v>
      </c>
      <c r="C3" s="13">
        <f>LinkLongRodLength</f>
        <v>0.75</v>
      </c>
      <c r="L3" t="s">
        <v>136</v>
      </c>
      <c r="M3" s="9">
        <v>1</v>
      </c>
      <c r="P3" s="10"/>
    </row>
    <row r="4" spans="1:16" x14ac:dyDescent="0.25">
      <c r="B4" t="s">
        <v>81</v>
      </c>
      <c r="C4" s="13">
        <f>MaxLoad*gravity</f>
        <v>98.066499999999991</v>
      </c>
      <c r="L4" t="s">
        <v>137</v>
      </c>
      <c r="M4" s="10">
        <f>ACOS((2*LinkLongRodLength^2-$M$3^2)/(2*LinkLongRodLength^2))</f>
        <v>1.4594553124539327</v>
      </c>
      <c r="P4" s="10"/>
    </row>
    <row r="5" spans="1:16" x14ac:dyDescent="0.25">
      <c r="B5" t="s">
        <v>41</v>
      </c>
      <c r="C5" s="14">
        <f>RodsPerLink</f>
        <v>4</v>
      </c>
      <c r="L5" t="s">
        <v>138</v>
      </c>
      <c r="M5" s="10">
        <f>$M$4/(2*PI())*60</f>
        <v>13.936771631926199</v>
      </c>
      <c r="P5" s="10"/>
    </row>
    <row r="6" spans="1:16" x14ac:dyDescent="0.25">
      <c r="B6" t="s">
        <v>43</v>
      </c>
      <c r="C6" s="13">
        <f>MaxDesiredLinkDeflectionUnderMaxLoad</f>
        <v>1E-4</v>
      </c>
      <c r="L6" t="s">
        <v>139</v>
      </c>
      <c r="M6" s="9">
        <f>LinkLongRodLength</f>
        <v>0.75</v>
      </c>
      <c r="P6" s="11"/>
    </row>
    <row r="7" spans="1:16" x14ac:dyDescent="0.25">
      <c r="C7" s="3"/>
      <c r="L7" t="s">
        <v>140</v>
      </c>
      <c r="M7" s="10">
        <f>(MaxLoad+$C$20)*$M$6^2</f>
        <v>6.9918750000000003</v>
      </c>
    </row>
    <row r="8" spans="1:16" ht="20.25" thickBot="1" x14ac:dyDescent="0.35">
      <c r="A8" s="30" t="s">
        <v>131</v>
      </c>
      <c r="B8" s="30"/>
      <c r="C8" s="30"/>
      <c r="D8" s="30"/>
      <c r="E8" s="30"/>
      <c r="L8" t="s">
        <v>142</v>
      </c>
      <c r="M8" s="6">
        <f>M4/0.2</f>
        <v>7.2972765622696629</v>
      </c>
    </row>
    <row r="9" spans="1:16" ht="15.75" thickTop="1" x14ac:dyDescent="0.25">
      <c r="C9" s="3"/>
      <c r="L9" t="s">
        <v>141</v>
      </c>
      <c r="M9" s="10">
        <f>M7*M8</f>
        <v>51.021645563819199</v>
      </c>
      <c r="P9" s="11"/>
    </row>
    <row r="10" spans="1:16" x14ac:dyDescent="0.25">
      <c r="B10" t="s">
        <v>42</v>
      </c>
      <c r="C10" s="12">
        <f>C4/C5</f>
        <v>24.516624999999998</v>
      </c>
      <c r="L10" t="s">
        <v>143</v>
      </c>
      <c r="M10" s="9">
        <v>5</v>
      </c>
      <c r="P10" s="11"/>
    </row>
    <row r="11" spans="1:16" x14ac:dyDescent="0.25">
      <c r="B11" t="s">
        <v>23</v>
      </c>
      <c r="C11" s="13">
        <f>INDEX(Lookups!$D$12:$E$12,1,MATCH(StructuralRodMaterial,Lookups!$D$3:$E$3,0))</f>
        <v>390000000000</v>
      </c>
      <c r="L11" t="s">
        <v>144</v>
      </c>
      <c r="M11" s="10">
        <f>M9/5</f>
        <v>10.20432911276384</v>
      </c>
      <c r="P11" s="3"/>
    </row>
    <row r="12" spans="1:16" x14ac:dyDescent="0.25">
      <c r="L12" t="s">
        <v>145</v>
      </c>
      <c r="M12" s="10">
        <f>M5*M10</f>
        <v>69.683858159631001</v>
      </c>
    </row>
    <row r="13" spans="1:16" x14ac:dyDescent="0.25">
      <c r="B13" t="s">
        <v>66</v>
      </c>
      <c r="C13" s="15" t="str">
        <f t="array" ref="C13">INDEX('Carbon Fibre'!B4:B24,MATCH(C6,$C$10*$C$3^3/(3*$C$11*'Carbon Fibre'!$K$4:$K$24),1))</f>
        <v>30x6</v>
      </c>
      <c r="D13" s="3"/>
      <c r="L13" t="s">
        <v>146</v>
      </c>
      <c r="M13" s="29">
        <f>M11*M12/60*2*PI()</f>
        <v>74.463811668257563</v>
      </c>
    </row>
    <row r="14" spans="1:16" x14ac:dyDescent="0.25">
      <c r="B14" t="s">
        <v>76</v>
      </c>
      <c r="C14" s="3">
        <f>INDEX('Carbon Fibre'!$C$4:$C$24,MATCH('Link n'!$C$13,'Carbon Fibre'!$B$4:$B$24,0))/1000</f>
        <v>0.03</v>
      </c>
    </row>
    <row r="15" spans="1:16" x14ac:dyDescent="0.25">
      <c r="B15" t="s">
        <v>77</v>
      </c>
      <c r="C15" s="3">
        <f>INDEX('Carbon Fibre'!$D$4:$D$24,MATCH('Link n'!$C$13,'Carbon Fibre'!$B$4:$B$24,0))/1000</f>
        <v>6.0000000000000001E-3</v>
      </c>
    </row>
    <row r="16" spans="1:16" x14ac:dyDescent="0.25">
      <c r="B16" t="s">
        <v>78</v>
      </c>
      <c r="C16" s="4">
        <f>0.006</f>
        <v>6.0000000000000001E-3</v>
      </c>
    </row>
    <row r="17" spans="1:14" x14ac:dyDescent="0.25">
      <c r="B17" t="s">
        <v>80</v>
      </c>
      <c r="C17" s="3">
        <f>((C15+C16*2)*(C14+C16*2)^3-C15*C14^3)/12</f>
        <v>9.7631999999999997E-8</v>
      </c>
      <c r="D17" s="3"/>
    </row>
    <row r="18" spans="1:14" x14ac:dyDescent="0.25">
      <c r="B18" t="s">
        <v>79</v>
      </c>
      <c r="C18" s="12">
        <f>$C$10*$C$3^3/(3*$C$11*$C$17)</f>
        <v>9.0545407312466898E-5</v>
      </c>
    </row>
    <row r="19" spans="1:14" x14ac:dyDescent="0.25">
      <c r="C19" s="3"/>
    </row>
    <row r="20" spans="1:14" x14ac:dyDescent="0.25">
      <c r="B20" t="s">
        <v>82</v>
      </c>
      <c r="C20" s="25">
        <f>INDEX('Carbon Fibre'!$J$4:$J$24,MATCH('Link n'!$C$13,'Carbon Fibre'!$B$4:$B$24,0))*$C$3*$C$5</f>
        <v>2.4300000000000002</v>
      </c>
    </row>
    <row r="21" spans="1:14" x14ac:dyDescent="0.25">
      <c r="B21" t="s">
        <v>84</v>
      </c>
      <c r="C21" s="16">
        <f>INDEX('Carbon Fibre'!H$4:H$24,MATCH('Link n'!$C$13,'Carbon Fibre'!$B$4:$B$24,0))*$C$3*$C$5</f>
        <v>629.97</v>
      </c>
    </row>
    <row r="22" spans="1:14" x14ac:dyDescent="0.25">
      <c r="C22" s="3"/>
    </row>
    <row r="23" spans="1:14" ht="20.25" thickBot="1" x14ac:dyDescent="0.35">
      <c r="A23" s="30" t="s">
        <v>86</v>
      </c>
      <c r="B23" s="30"/>
      <c r="C23" s="30"/>
      <c r="D23" s="30"/>
      <c r="E23" s="30"/>
      <c r="K23" s="30" t="s">
        <v>98</v>
      </c>
      <c r="L23" s="30"/>
      <c r="M23" s="30"/>
    </row>
    <row r="24" spans="1:14" ht="15.75" thickTop="1" x14ac:dyDescent="0.25">
      <c r="K24" s="27"/>
    </row>
    <row r="25" spans="1:14" x14ac:dyDescent="0.25">
      <c r="B25" t="s">
        <v>87</v>
      </c>
      <c r="C25" s="9">
        <v>80</v>
      </c>
      <c r="L25" t="s">
        <v>115</v>
      </c>
      <c r="M25" s="9" t="s">
        <v>100</v>
      </c>
    </row>
    <row r="26" spans="1:14" x14ac:dyDescent="0.25">
      <c r="B26" t="s">
        <v>88</v>
      </c>
      <c r="C26" s="9">
        <v>175</v>
      </c>
    </row>
    <row r="27" spans="1:14" x14ac:dyDescent="0.25">
      <c r="B27" t="s">
        <v>89</v>
      </c>
      <c r="C27" s="23">
        <f>LinkLongRodLength*(COS(RADIANS(C25))+COS(RADIANS(180-C26)))</f>
        <v>0.87738215681900689</v>
      </c>
      <c r="L27" t="s">
        <v>116</v>
      </c>
      <c r="M27">
        <f>INDEX(Materials!D6:D15,MATCH('Link n'!M25,Materials!B6:B15,0))</f>
        <v>80</v>
      </c>
    </row>
    <row r="28" spans="1:14" x14ac:dyDescent="0.25">
      <c r="B28" t="s">
        <v>90</v>
      </c>
      <c r="C28" s="10">
        <f>(C20+MaxLoad)*gravity*C27</f>
        <v>106.94995402114208</v>
      </c>
      <c r="L28" t="s">
        <v>117</v>
      </c>
      <c r="M28" s="9">
        <v>75</v>
      </c>
    </row>
    <row r="29" spans="1:14" x14ac:dyDescent="0.25">
      <c r="B29" t="s">
        <v>92</v>
      </c>
      <c r="C29" s="9">
        <v>0.2</v>
      </c>
      <c r="L29" t="s">
        <v>125</v>
      </c>
      <c r="M29" s="1">
        <f>0.4*Materials!J9</f>
        <v>576</v>
      </c>
      <c r="N29" t="s">
        <v>126</v>
      </c>
    </row>
    <row r="30" spans="1:14" x14ac:dyDescent="0.25">
      <c r="B30" t="s">
        <v>93</v>
      </c>
      <c r="C30" s="9">
        <v>0.18</v>
      </c>
      <c r="L30" t="s">
        <v>127</v>
      </c>
      <c r="M30" s="24">
        <f>((8*C35*M28/1000)/(PI()*M29*10^6))^(1/3)*1000</f>
        <v>6.8375453290412347</v>
      </c>
      <c r="N30" t="s">
        <v>128</v>
      </c>
    </row>
    <row r="31" spans="1:14" x14ac:dyDescent="0.25">
      <c r="B31" t="s">
        <v>96</v>
      </c>
      <c r="C31" s="28">
        <f>(C20+MaxLoad)*gravity*LinkLongRodLength/(C29*C30)</f>
        <v>2539.5137395833331</v>
      </c>
      <c r="L31" t="s">
        <v>129</v>
      </c>
      <c r="M31" s="26">
        <f>INDEX(Materials!I6:I20,MATCH('Link n'!M30,Materials!I6:I20,-1))</f>
        <v>7.92</v>
      </c>
    </row>
    <row r="32" spans="1:14" x14ac:dyDescent="0.25">
      <c r="B32" t="s">
        <v>94</v>
      </c>
      <c r="C32" s="23">
        <f>SQRT($C$29^2+$C$30^2-2*$C$29*$C$30*COS(RADIANS(C25)))</f>
        <v>0.24473931275539085</v>
      </c>
      <c r="L32" t="s">
        <v>133</v>
      </c>
      <c r="M32">
        <f>0.4*INDEX(Materials!J6:J20,MATCH('Link n'!M31,Materials!I6:I20,0))</f>
        <v>576</v>
      </c>
    </row>
    <row r="33" spans="1:13" x14ac:dyDescent="0.25">
      <c r="B33" t="s">
        <v>95</v>
      </c>
      <c r="C33" s="23">
        <f>SQRT($C$29^2+$C$30^2-2*$C$29*$C$30*COS(RADIANS(C26)))</f>
        <v>0.37963932654903609</v>
      </c>
      <c r="L33" t="s">
        <v>130</v>
      </c>
      <c r="M33" s="28">
        <f>(M27*10^9*(M31/1000)^4)/(8*C31*(M28/1000)^3)</f>
        <v>36.725386019176355</v>
      </c>
    </row>
    <row r="34" spans="1:13" x14ac:dyDescent="0.25">
      <c r="B34" t="s">
        <v>91</v>
      </c>
      <c r="C34" s="23">
        <f>C33-C32</f>
        <v>0.13490001379364525</v>
      </c>
      <c r="L34" t="s">
        <v>132</v>
      </c>
      <c r="M34" s="25">
        <f>M31/1000*(M33+1)</f>
        <v>0.29878505727187671</v>
      </c>
    </row>
    <row r="35" spans="1:13" x14ac:dyDescent="0.25">
      <c r="B35" t="s">
        <v>97</v>
      </c>
      <c r="C35" s="28">
        <f>C31*C33</f>
        <v>964.0992858574408</v>
      </c>
    </row>
    <row r="37" spans="1:13" ht="20.25" thickBot="1" x14ac:dyDescent="0.35">
      <c r="A37" s="30" t="s">
        <v>134</v>
      </c>
      <c r="B37" s="30"/>
      <c r="C37" s="30"/>
      <c r="D37" s="30"/>
      <c r="E37" s="30"/>
    </row>
    <row r="38" spans="1:13" ht="15.75" thickTop="1" x14ac:dyDescent="0.25"/>
    <row r="39" spans="1:13" x14ac:dyDescent="0.25">
      <c r="B39" t="s">
        <v>135</v>
      </c>
      <c r="C39" s="25">
        <f>(C20)*gravity*LinkLongRodLength/(C31*C30)*1000</f>
        <v>39.098954143201937</v>
      </c>
    </row>
  </sheetData>
  <mergeCells count="6">
    <mergeCell ref="A37:E37"/>
    <mergeCell ref="K1:M1"/>
    <mergeCell ref="A1:I1"/>
    <mergeCell ref="A8:E8"/>
    <mergeCell ref="A23:E23"/>
    <mergeCell ref="K23:M2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02E4F9-35F9-4C51-BEDF-53F1F8BF1888}">
          <x14:formula1>
            <xm:f>Materials!$B$6:$B$15</xm:f>
          </x14:formula1>
          <xm:sqref>M25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8129-521B-416D-8C6B-9A29EE46D7F7}">
  <sheetPr codeName="Sheet3"/>
  <dimension ref="A1:M15"/>
  <sheetViews>
    <sheetView showGridLines="0" workbookViewId="0">
      <selection activeCell="M4" sqref="M4"/>
    </sheetView>
  </sheetViews>
  <sheetFormatPr defaultRowHeight="15" x14ac:dyDescent="0.25"/>
  <cols>
    <col min="2" max="2" width="25.140625" bestFit="1" customWidth="1"/>
    <col min="3" max="3" width="6.7109375" bestFit="1" customWidth="1"/>
    <col min="4" max="5" width="10.5703125" customWidth="1"/>
    <col min="11" max="11" width="16" bestFit="1" customWidth="1"/>
    <col min="12" max="13" width="8" bestFit="1" customWidth="1"/>
  </cols>
  <sheetData>
    <row r="1" spans="1:13" ht="20.25" thickBot="1" x14ac:dyDescent="0.35">
      <c r="A1" s="2" t="s">
        <v>7</v>
      </c>
      <c r="K1" s="2" t="s">
        <v>4</v>
      </c>
    </row>
    <row r="2" spans="1:13" ht="15.75" thickTop="1" x14ac:dyDescent="0.25">
      <c r="B2" s="21"/>
      <c r="C2" s="31" t="s">
        <v>14</v>
      </c>
      <c r="D2" s="31" t="s">
        <v>0</v>
      </c>
      <c r="E2" s="31"/>
    </row>
    <row r="3" spans="1:13" x14ac:dyDescent="0.25">
      <c r="B3" s="21"/>
      <c r="C3" s="31"/>
      <c r="D3" s="17" t="s">
        <v>1</v>
      </c>
      <c r="E3" s="17" t="s">
        <v>2</v>
      </c>
      <c r="K3" s="18" t="s">
        <v>8</v>
      </c>
      <c r="L3" s="17" t="s">
        <v>5</v>
      </c>
      <c r="M3" s="17" t="s">
        <v>6</v>
      </c>
    </row>
    <row r="4" spans="1:13" x14ac:dyDescent="0.25">
      <c r="A4" s="32" t="s">
        <v>30</v>
      </c>
      <c r="B4" s="22" t="s">
        <v>3</v>
      </c>
      <c r="C4" s="18" t="s">
        <v>6</v>
      </c>
      <c r="D4" s="20">
        <f>340*1000*$M$4</f>
        <v>2344218400</v>
      </c>
      <c r="E4" s="20">
        <f>344*1000*$M$4</f>
        <v>2371797440</v>
      </c>
      <c r="K4" s="17" t="s">
        <v>5</v>
      </c>
      <c r="L4" s="18">
        <v>1</v>
      </c>
      <c r="M4" s="18">
        <v>6894.76</v>
      </c>
    </row>
    <row r="5" spans="1:13" x14ac:dyDescent="0.25">
      <c r="A5" s="32"/>
      <c r="B5" s="22" t="s">
        <v>16</v>
      </c>
      <c r="C5" s="18" t="s">
        <v>6</v>
      </c>
      <c r="D5" s="20">
        <f>31.4*1000000*$M$4</f>
        <v>216495464000</v>
      </c>
      <c r="E5" s="20">
        <f>21.8*1000000*$M$4</f>
        <v>150305768000</v>
      </c>
      <c r="K5" s="17" t="s">
        <v>6</v>
      </c>
      <c r="L5" s="18">
        <f>1/M4</f>
        <v>1.4503768078946911E-4</v>
      </c>
      <c r="M5" s="18">
        <v>1</v>
      </c>
    </row>
    <row r="6" spans="1:13" x14ac:dyDescent="0.25">
      <c r="A6" s="32"/>
      <c r="B6" s="22" t="s">
        <v>9</v>
      </c>
      <c r="C6" s="18" t="s">
        <v>6</v>
      </c>
      <c r="D6" s="20">
        <f>175*1000*$M$4</f>
        <v>1206583000</v>
      </c>
      <c r="E6" s="20">
        <f>210*1000*$M$4</f>
        <v>1447899600</v>
      </c>
    </row>
    <row r="7" spans="1:13" x14ac:dyDescent="0.25">
      <c r="A7" s="32"/>
      <c r="B7" s="22" t="s">
        <v>10</v>
      </c>
      <c r="C7" s="18" t="s">
        <v>6</v>
      </c>
      <c r="D7" s="20">
        <f>28.9*1000000*$M$4</f>
        <v>199258564000</v>
      </c>
      <c r="E7" s="20" t="s">
        <v>15</v>
      </c>
    </row>
    <row r="8" spans="1:13" x14ac:dyDescent="0.25">
      <c r="A8" s="32"/>
      <c r="B8" s="22" t="s">
        <v>11</v>
      </c>
      <c r="C8" s="18" t="s">
        <v>6</v>
      </c>
      <c r="D8" s="20">
        <f>224*1000*$M$4</f>
        <v>1544426240</v>
      </c>
      <c r="E8" s="20">
        <f>235*1000*$M$4</f>
        <v>1620268600</v>
      </c>
    </row>
    <row r="9" spans="1:13" x14ac:dyDescent="0.25">
      <c r="A9" s="32"/>
      <c r="B9" s="22" t="s">
        <v>12</v>
      </c>
      <c r="C9" s="18" t="s">
        <v>6</v>
      </c>
      <c r="D9" s="20">
        <f>28.4*1000000*$M$4</f>
        <v>195811184000</v>
      </c>
      <c r="E9" s="20">
        <f>20*1000000*$M$4</f>
        <v>137895200000</v>
      </c>
    </row>
    <row r="10" spans="1:13" x14ac:dyDescent="0.25">
      <c r="A10" s="32"/>
      <c r="B10" s="22" t="s">
        <v>13</v>
      </c>
      <c r="C10" s="18" t="s">
        <v>6</v>
      </c>
      <c r="D10" s="20">
        <f>13.8*1000*$M$4</f>
        <v>95147688</v>
      </c>
      <c r="E10" s="20">
        <f>11*1000*$M$4</f>
        <v>75842360</v>
      </c>
    </row>
    <row r="11" spans="1:13" x14ac:dyDescent="0.25">
      <c r="B11" s="21"/>
      <c r="C11" s="21"/>
      <c r="D11" s="21"/>
      <c r="E11" s="21"/>
    </row>
    <row r="12" spans="1:13" x14ac:dyDescent="0.25">
      <c r="A12" s="32" t="s">
        <v>31</v>
      </c>
      <c r="B12" s="18" t="s">
        <v>32</v>
      </c>
      <c r="C12" s="18" t="s">
        <v>6</v>
      </c>
      <c r="D12" s="20">
        <f>390*10^9</f>
        <v>390000000000</v>
      </c>
      <c r="E12" s="20">
        <f>255*10^9</f>
        <v>255000000000</v>
      </c>
    </row>
    <row r="13" spans="1:13" ht="20.25" thickBot="1" x14ac:dyDescent="0.35">
      <c r="A13" s="32"/>
      <c r="B13" s="18" t="s">
        <v>24</v>
      </c>
      <c r="C13" s="18" t="s">
        <v>25</v>
      </c>
      <c r="D13" s="18" t="s">
        <v>15</v>
      </c>
      <c r="E13" s="18" t="s">
        <v>15</v>
      </c>
      <c r="F13" s="1"/>
      <c r="K13" s="2" t="s">
        <v>20</v>
      </c>
    </row>
    <row r="14" spans="1:13" ht="15.75" thickTop="1" x14ac:dyDescent="0.25"/>
    <row r="15" spans="1:13" x14ac:dyDescent="0.25">
      <c r="K15" t="s">
        <v>21</v>
      </c>
      <c r="L15">
        <v>9.8066499999999994</v>
      </c>
    </row>
  </sheetData>
  <mergeCells count="4">
    <mergeCell ref="D2:E2"/>
    <mergeCell ref="C2:C3"/>
    <mergeCell ref="A4:A10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7E61-41E9-49FC-897B-5AAA1F74CCC6}">
  <sheetPr codeName="Sheet4"/>
  <dimension ref="B2:K20"/>
  <sheetViews>
    <sheetView workbookViewId="0">
      <selection activeCell="I12" sqref="I12"/>
    </sheetView>
  </sheetViews>
  <sheetFormatPr defaultRowHeight="15" x14ac:dyDescent="0.25"/>
  <cols>
    <col min="2" max="2" width="27.140625" bestFit="1" customWidth="1"/>
    <col min="3" max="3" width="9.5703125" bestFit="1" customWidth="1"/>
    <col min="8" max="8" width="27.140625" bestFit="1" customWidth="1"/>
    <col min="10" max="10" width="19.28515625" bestFit="1" customWidth="1"/>
    <col min="11" max="11" width="19.5703125" bestFit="1" customWidth="1"/>
  </cols>
  <sheetData>
    <row r="2" spans="2:11" ht="20.25" thickBot="1" x14ac:dyDescent="0.35">
      <c r="B2" s="30" t="s">
        <v>123</v>
      </c>
      <c r="C2" s="30"/>
      <c r="D2" s="30"/>
      <c r="E2" s="30"/>
      <c r="F2" s="30"/>
      <c r="H2" s="30" t="s">
        <v>124</v>
      </c>
      <c r="I2" s="30"/>
      <c r="J2" s="30"/>
      <c r="K2" s="30"/>
    </row>
    <row r="3" spans="2:11" ht="15.75" thickTop="1" x14ac:dyDescent="0.25"/>
    <row r="4" spans="2:11" x14ac:dyDescent="0.25">
      <c r="C4" t="s">
        <v>110</v>
      </c>
      <c r="D4" t="s">
        <v>109</v>
      </c>
      <c r="E4" t="s">
        <v>111</v>
      </c>
      <c r="F4" t="s">
        <v>120</v>
      </c>
      <c r="H4" t="s">
        <v>0</v>
      </c>
      <c r="I4" t="s">
        <v>112</v>
      </c>
      <c r="J4" t="s">
        <v>118</v>
      </c>
      <c r="K4" t="s">
        <v>119</v>
      </c>
    </row>
    <row r="5" spans="2:11" x14ac:dyDescent="0.25">
      <c r="C5" t="s">
        <v>114</v>
      </c>
      <c r="D5" t="s">
        <v>114</v>
      </c>
      <c r="F5" t="s">
        <v>113</v>
      </c>
      <c r="I5" t="s">
        <v>122</v>
      </c>
      <c r="J5" t="s">
        <v>121</v>
      </c>
      <c r="K5" t="s">
        <v>121</v>
      </c>
    </row>
    <row r="6" spans="2:11" x14ac:dyDescent="0.25">
      <c r="B6" t="s">
        <v>99</v>
      </c>
      <c r="C6">
        <v>210</v>
      </c>
      <c r="D6">
        <v>80</v>
      </c>
      <c r="E6">
        <v>0.313</v>
      </c>
      <c r="F6">
        <v>7.8</v>
      </c>
      <c r="H6" s="27" t="s">
        <v>100</v>
      </c>
      <c r="I6" s="10">
        <v>15.9</v>
      </c>
      <c r="J6">
        <v>1320</v>
      </c>
      <c r="K6">
        <v>1490</v>
      </c>
    </row>
    <row r="7" spans="2:11" x14ac:dyDescent="0.25">
      <c r="B7" s="27" t="s">
        <v>100</v>
      </c>
      <c r="C7">
        <v>200</v>
      </c>
      <c r="D7">
        <v>80</v>
      </c>
      <c r="E7">
        <v>0.28999999999999998</v>
      </c>
      <c r="F7">
        <v>7.8</v>
      </c>
      <c r="H7" s="27" t="s">
        <v>100</v>
      </c>
      <c r="I7" s="10">
        <v>12.7</v>
      </c>
      <c r="J7">
        <v>1350</v>
      </c>
      <c r="K7">
        <v>1520</v>
      </c>
    </row>
    <row r="8" spans="2:11" x14ac:dyDescent="0.25">
      <c r="B8" t="s">
        <v>101</v>
      </c>
      <c r="C8">
        <v>200</v>
      </c>
      <c r="D8">
        <v>80</v>
      </c>
      <c r="E8">
        <v>0.28999999999999998</v>
      </c>
      <c r="F8">
        <v>7.8</v>
      </c>
      <c r="H8" s="27" t="s">
        <v>100</v>
      </c>
      <c r="I8" s="10">
        <v>9.5299999999999994</v>
      </c>
      <c r="J8">
        <v>1420</v>
      </c>
      <c r="K8">
        <v>1590</v>
      </c>
    </row>
    <row r="9" spans="2:11" x14ac:dyDescent="0.25">
      <c r="B9" t="s">
        <v>102</v>
      </c>
      <c r="C9">
        <v>200</v>
      </c>
      <c r="D9">
        <v>80</v>
      </c>
      <c r="E9">
        <v>0.28999999999999998</v>
      </c>
      <c r="F9">
        <v>7.8</v>
      </c>
      <c r="H9" s="27" t="s">
        <v>100</v>
      </c>
      <c r="I9" s="10">
        <v>7.92</v>
      </c>
      <c r="J9">
        <v>1440</v>
      </c>
      <c r="K9">
        <v>1610</v>
      </c>
    </row>
    <row r="10" spans="2:11" x14ac:dyDescent="0.25">
      <c r="B10" s="27" t="s">
        <v>103</v>
      </c>
      <c r="C10">
        <v>204</v>
      </c>
      <c r="F10">
        <v>7.8</v>
      </c>
      <c r="H10" s="27" t="s">
        <v>100</v>
      </c>
      <c r="I10" s="10">
        <v>6.35</v>
      </c>
      <c r="J10">
        <v>1450</v>
      </c>
      <c r="K10">
        <v>1630</v>
      </c>
    </row>
    <row r="11" spans="2:11" x14ac:dyDescent="0.25">
      <c r="B11" s="27" t="s">
        <v>104</v>
      </c>
      <c r="C11">
        <v>193</v>
      </c>
      <c r="D11">
        <v>77.2</v>
      </c>
      <c r="E11">
        <v>0.25</v>
      </c>
      <c r="F11">
        <v>7.86</v>
      </c>
      <c r="H11" s="27" t="s">
        <v>100</v>
      </c>
      <c r="I11" s="10">
        <v>5.26</v>
      </c>
      <c r="J11">
        <v>1490</v>
      </c>
      <c r="K11">
        <v>1660</v>
      </c>
    </row>
    <row r="12" spans="2:11" x14ac:dyDescent="0.25">
      <c r="B12" s="27" t="s">
        <v>105</v>
      </c>
      <c r="C12">
        <v>193</v>
      </c>
      <c r="F12">
        <v>8</v>
      </c>
      <c r="H12" s="27" t="s">
        <v>100</v>
      </c>
      <c r="I12" s="10">
        <v>4.1100000000000003</v>
      </c>
      <c r="J12">
        <v>1590</v>
      </c>
      <c r="K12">
        <v>1770</v>
      </c>
    </row>
    <row r="13" spans="2:11" x14ac:dyDescent="0.25">
      <c r="B13" s="27" t="s">
        <v>106</v>
      </c>
      <c r="C13">
        <v>200</v>
      </c>
      <c r="D13">
        <v>80</v>
      </c>
      <c r="E13">
        <v>0.28999999999999998</v>
      </c>
      <c r="F13">
        <v>7.8</v>
      </c>
      <c r="H13" s="27" t="s">
        <v>100</v>
      </c>
      <c r="I13" s="10">
        <v>3.05</v>
      </c>
      <c r="J13">
        <v>1730</v>
      </c>
      <c r="K13">
        <v>1940</v>
      </c>
    </row>
    <row r="14" spans="2:11" x14ac:dyDescent="0.25">
      <c r="B14" s="27" t="s">
        <v>107</v>
      </c>
      <c r="C14" s="11">
        <f>15*Lookups!$M$4/1000</f>
        <v>103.42140000000001</v>
      </c>
      <c r="D14" s="11">
        <f>6.25*Lookups!$M$4/1000</f>
        <v>43.09225</v>
      </c>
      <c r="H14" s="27" t="s">
        <v>100</v>
      </c>
      <c r="I14" s="10">
        <v>2</v>
      </c>
      <c r="J14">
        <v>1830</v>
      </c>
      <c r="K14">
        <v>2040</v>
      </c>
    </row>
    <row r="15" spans="2:11" x14ac:dyDescent="0.25">
      <c r="B15" s="27" t="s">
        <v>108</v>
      </c>
      <c r="C15" s="11">
        <f>18*Lookups!$M$4/1000</f>
        <v>124.10568000000001</v>
      </c>
      <c r="D15" s="11">
        <f>7*Lookups!$M$4/1000</f>
        <v>48.26332</v>
      </c>
      <c r="H15" s="27" t="s">
        <v>100</v>
      </c>
      <c r="I15" s="10">
        <v>1.6</v>
      </c>
      <c r="J15">
        <v>1920</v>
      </c>
      <c r="K15">
        <v>2120</v>
      </c>
    </row>
    <row r="16" spans="2:11" x14ac:dyDescent="0.25">
      <c r="H16" s="27" t="s">
        <v>100</v>
      </c>
      <c r="I16" s="10">
        <v>1.4</v>
      </c>
      <c r="J16">
        <v>1960</v>
      </c>
      <c r="K16">
        <v>2160</v>
      </c>
    </row>
    <row r="17" spans="8:11" x14ac:dyDescent="0.25">
      <c r="H17" s="27" t="s">
        <v>100</v>
      </c>
      <c r="I17" s="10">
        <v>1</v>
      </c>
      <c r="J17">
        <v>2050</v>
      </c>
      <c r="K17">
        <v>2250</v>
      </c>
    </row>
    <row r="18" spans="8:11" x14ac:dyDescent="0.25">
      <c r="H18" s="27" t="s">
        <v>100</v>
      </c>
      <c r="I18" s="10">
        <v>0.81</v>
      </c>
      <c r="J18">
        <v>2140</v>
      </c>
      <c r="K18">
        <v>2350</v>
      </c>
    </row>
    <row r="19" spans="8:11" x14ac:dyDescent="0.25">
      <c r="H19" s="27" t="s">
        <v>100</v>
      </c>
      <c r="I19" s="10">
        <v>0.66</v>
      </c>
      <c r="J19">
        <v>2190</v>
      </c>
      <c r="K19">
        <v>2390</v>
      </c>
    </row>
    <row r="20" spans="8:11" x14ac:dyDescent="0.25">
      <c r="H20" s="27" t="s">
        <v>100</v>
      </c>
      <c r="I20" s="10">
        <v>0.51</v>
      </c>
      <c r="J20">
        <v>2230</v>
      </c>
      <c r="K20">
        <v>2440</v>
      </c>
    </row>
  </sheetData>
  <mergeCells count="2">
    <mergeCell ref="H2:K2"/>
    <mergeCell ref="B2:F2"/>
  </mergeCells>
  <hyperlinks>
    <hyperlink ref="B11" r:id="rId1" xr:uid="{A63FC191-2C79-4281-8177-56348EB1B7F0}"/>
    <hyperlink ref="B10" r:id="rId2" xr:uid="{944A979D-BEBF-4A53-A538-CEBC4D04161B}"/>
    <hyperlink ref="B12" r:id="rId3" xr:uid="{BECE26F5-515A-4413-89A9-2A1940BEE45F}"/>
    <hyperlink ref="B13" r:id="rId4" xr:uid="{E9D5D1D2-0754-40C9-851D-ABB5323B5A54}"/>
    <hyperlink ref="B14" r:id="rId5" xr:uid="{9FF3A677-F675-4A2B-AA02-59CA9EDF373B}"/>
    <hyperlink ref="B15" r:id="rId6" xr:uid="{1F85451E-AE03-484B-A3DC-3534E5B28B08}"/>
    <hyperlink ref="B7" r:id="rId7" xr:uid="{0762EF41-1EDD-45F4-B034-59C33E9595EE}"/>
    <hyperlink ref="H6" r:id="rId8" xr:uid="{2CB636AC-FE50-4BC7-AE59-7E0F985E50D9}"/>
    <hyperlink ref="H7:H20" r:id="rId9" display="Oil Tempered MB ASTM A229" xr:uid="{BFA0E569-AC8B-4387-A18F-BCA2397EC02C}"/>
  </hyperlinks>
  <pageMargins left="0.7" right="0.7" top="0.75" bottom="0.75" header="0.3" footer="0.3"/>
  <pageSetup orientation="portrait" r:id="rId10"/>
  <legacy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9CBF-3AF1-49EB-A893-6F757DA07F3B}">
  <sheetPr codeName="Sheet5"/>
  <dimension ref="A1:L26"/>
  <sheetViews>
    <sheetView showGridLines="0" workbookViewId="0">
      <selection activeCell="B26" sqref="B26"/>
    </sheetView>
  </sheetViews>
  <sheetFormatPr defaultRowHeight="15" x14ac:dyDescent="0.25"/>
  <cols>
    <col min="2" max="2" width="7.5703125" bestFit="1" customWidth="1"/>
    <col min="3" max="3" width="8.85546875" bestFit="1" customWidth="1"/>
    <col min="4" max="4" width="8.7109375" bestFit="1" customWidth="1"/>
    <col min="5" max="5" width="15.85546875" bestFit="1" customWidth="1"/>
    <col min="6" max="6" width="16.140625" bestFit="1" customWidth="1"/>
    <col min="7" max="7" width="22" bestFit="1" customWidth="1"/>
    <col min="8" max="8" width="22.28515625" bestFit="1" customWidth="1"/>
    <col min="9" max="9" width="22.7109375" bestFit="1" customWidth="1"/>
    <col min="10" max="10" width="23" bestFit="1" customWidth="1"/>
    <col min="11" max="11" width="9.7109375" customWidth="1"/>
  </cols>
  <sheetData>
    <row r="1" spans="1:12" ht="20.25" thickBot="1" x14ac:dyDescent="0.35">
      <c r="A1" s="30" t="s">
        <v>38</v>
      </c>
      <c r="B1" s="30"/>
      <c r="C1" s="30"/>
      <c r="D1" s="30"/>
      <c r="E1" s="30"/>
      <c r="F1" s="30"/>
      <c r="G1" s="30"/>
      <c r="H1" s="30"/>
      <c r="I1" s="30"/>
      <c r="J1" s="8"/>
    </row>
    <row r="2" spans="1:12" ht="15.75" thickTop="1" x14ac:dyDescent="0.25"/>
    <row r="3" spans="1:12" x14ac:dyDescent="0.25">
      <c r="B3" s="17" t="s">
        <v>44</v>
      </c>
      <c r="C3" s="17" t="s">
        <v>67</v>
      </c>
      <c r="D3" s="17" t="s">
        <v>68</v>
      </c>
      <c r="E3" s="17" t="s">
        <v>69</v>
      </c>
      <c r="F3" s="17" t="s">
        <v>70</v>
      </c>
      <c r="G3" s="17" t="s">
        <v>71</v>
      </c>
      <c r="H3" s="17" t="s">
        <v>72</v>
      </c>
      <c r="I3" s="17" t="s">
        <v>73</v>
      </c>
      <c r="J3" s="17" t="s">
        <v>74</v>
      </c>
      <c r="K3" s="17" t="s">
        <v>75</v>
      </c>
    </row>
    <row r="4" spans="1:12" x14ac:dyDescent="0.25">
      <c r="B4" s="17" t="s">
        <v>65</v>
      </c>
      <c r="C4" s="18">
        <v>150</v>
      </c>
      <c r="D4" s="18">
        <v>75</v>
      </c>
      <c r="E4" s="18">
        <v>1.4</v>
      </c>
      <c r="F4" s="18">
        <v>6</v>
      </c>
      <c r="G4" s="19">
        <v>286.89999999999998</v>
      </c>
      <c r="H4" s="19">
        <v>692.2</v>
      </c>
      <c r="I4" s="18">
        <v>0.98</v>
      </c>
      <c r="J4" s="18">
        <v>4.41</v>
      </c>
      <c r="K4" s="20">
        <f t="shared" ref="K4:K24" si="0">((D4/1000+F4/1000*2)*(C4/1000+F4/1000*2)^3-D4/1000*(C4/1000)^3)/12</f>
        <v>9.7298279999999995E-6</v>
      </c>
      <c r="L4" s="3"/>
    </row>
    <row r="5" spans="1:12" x14ac:dyDescent="0.25">
      <c r="B5" s="17" t="s">
        <v>64</v>
      </c>
      <c r="C5" s="18">
        <v>135</v>
      </c>
      <c r="D5" s="18">
        <v>50</v>
      </c>
      <c r="E5" s="18">
        <v>1.4</v>
      </c>
      <c r="F5" s="18">
        <v>6</v>
      </c>
      <c r="G5" s="19">
        <v>271.39999999999998</v>
      </c>
      <c r="H5" s="19">
        <v>624.71</v>
      </c>
      <c r="I5" s="18">
        <v>0.81</v>
      </c>
      <c r="J5" s="18">
        <v>3.64</v>
      </c>
      <c r="K5" s="20">
        <f t="shared" si="0"/>
        <v>6.1604730000000051E-6</v>
      </c>
    </row>
    <row r="6" spans="1:12" x14ac:dyDescent="0.25">
      <c r="B6" s="17" t="s">
        <v>63</v>
      </c>
      <c r="C6" s="18">
        <v>75</v>
      </c>
      <c r="D6" s="18">
        <v>50</v>
      </c>
      <c r="E6" s="18">
        <v>1.4</v>
      </c>
      <c r="F6" s="18">
        <v>6</v>
      </c>
      <c r="G6" s="19">
        <v>190.18</v>
      </c>
      <c r="H6" s="19">
        <v>431.46</v>
      </c>
      <c r="I6" s="18">
        <v>0.54</v>
      </c>
      <c r="J6" s="18">
        <v>2.5</v>
      </c>
      <c r="K6" s="20">
        <f t="shared" si="0"/>
        <v>1.644452999999999E-6</v>
      </c>
    </row>
    <row r="7" spans="1:12" x14ac:dyDescent="0.25">
      <c r="B7" s="17" t="s">
        <v>62</v>
      </c>
      <c r="C7" s="18">
        <v>75</v>
      </c>
      <c r="D7" s="18">
        <v>40</v>
      </c>
      <c r="E7" s="18">
        <v>1.4</v>
      </c>
      <c r="F7" s="18">
        <v>6</v>
      </c>
      <c r="G7" s="19">
        <v>186.3</v>
      </c>
      <c r="H7" s="19">
        <v>414.59</v>
      </c>
      <c r="I7" s="18">
        <v>0.51</v>
      </c>
      <c r="J7" s="18">
        <v>2.31</v>
      </c>
      <c r="K7" s="20">
        <f t="shared" si="0"/>
        <v>1.4472629999999995E-6</v>
      </c>
    </row>
    <row r="8" spans="1:12" x14ac:dyDescent="0.25">
      <c r="B8" s="17" t="s">
        <v>61</v>
      </c>
      <c r="C8" s="18">
        <v>60</v>
      </c>
      <c r="D8" s="18">
        <v>35</v>
      </c>
      <c r="E8" s="18">
        <v>1.4</v>
      </c>
      <c r="F8" s="18">
        <v>6</v>
      </c>
      <c r="G8" s="19">
        <v>178.55</v>
      </c>
      <c r="H8" s="19">
        <v>380.85</v>
      </c>
      <c r="I8" s="18">
        <v>0.42</v>
      </c>
      <c r="J8" s="18">
        <v>1.93</v>
      </c>
      <c r="K8" s="20">
        <f t="shared" si="0"/>
        <v>8.318879999999997E-7</v>
      </c>
    </row>
    <row r="9" spans="1:12" x14ac:dyDescent="0.25">
      <c r="B9" s="17" t="s">
        <v>60</v>
      </c>
      <c r="C9" s="18">
        <v>50</v>
      </c>
      <c r="D9" s="18">
        <v>38</v>
      </c>
      <c r="E9" s="18">
        <v>1.4</v>
      </c>
      <c r="F9" s="18">
        <v>6</v>
      </c>
      <c r="G9" s="19">
        <v>175.84</v>
      </c>
      <c r="H9" s="19">
        <v>369.03</v>
      </c>
      <c r="I9" s="18">
        <v>0.39</v>
      </c>
      <c r="J9" s="18">
        <v>1.8</v>
      </c>
      <c r="K9" s="20">
        <f t="shared" si="0"/>
        <v>5.9719999999999987E-7</v>
      </c>
    </row>
    <row r="10" spans="1:12" x14ac:dyDescent="0.25">
      <c r="B10" s="17" t="s">
        <v>57</v>
      </c>
      <c r="C10" s="18">
        <v>46</v>
      </c>
      <c r="D10" s="18">
        <v>36</v>
      </c>
      <c r="E10" s="18">
        <v>1.4</v>
      </c>
      <c r="F10" s="18">
        <v>6</v>
      </c>
      <c r="G10" s="19">
        <v>173.51</v>
      </c>
      <c r="H10" s="19">
        <v>358.91</v>
      </c>
      <c r="I10" s="18">
        <v>0.36</v>
      </c>
      <c r="J10" s="18">
        <v>1.68</v>
      </c>
      <c r="K10" s="20">
        <f t="shared" si="0"/>
        <v>4.8843999999999979E-7</v>
      </c>
    </row>
    <row r="11" spans="1:12" x14ac:dyDescent="0.25">
      <c r="B11" s="17" t="s">
        <v>59</v>
      </c>
      <c r="C11" s="18">
        <v>50</v>
      </c>
      <c r="D11" s="18">
        <v>25</v>
      </c>
      <c r="E11" s="18">
        <v>1.4</v>
      </c>
      <c r="F11" s="18">
        <v>6</v>
      </c>
      <c r="G11" s="19">
        <v>142.05000000000001</v>
      </c>
      <c r="H11" s="19">
        <v>301.23</v>
      </c>
      <c r="I11" s="18">
        <v>0.33</v>
      </c>
      <c r="J11" s="18">
        <v>1.55</v>
      </c>
      <c r="K11" s="20">
        <f t="shared" si="0"/>
        <v>4.7442799999999983E-7</v>
      </c>
    </row>
    <row r="12" spans="1:12" x14ac:dyDescent="0.25">
      <c r="B12" s="17" t="s">
        <v>58</v>
      </c>
      <c r="C12" s="18">
        <v>50</v>
      </c>
      <c r="D12" s="18">
        <v>22</v>
      </c>
      <c r="E12" s="18">
        <v>1.4</v>
      </c>
      <c r="F12" s="18">
        <v>6</v>
      </c>
      <c r="G12" s="19">
        <v>140.88999999999999</v>
      </c>
      <c r="H12" s="19">
        <v>296.17</v>
      </c>
      <c r="I12" s="18">
        <v>0.32</v>
      </c>
      <c r="J12" s="18">
        <v>1.49</v>
      </c>
      <c r="K12" s="20">
        <f t="shared" si="0"/>
        <v>4.4609599999999989E-7</v>
      </c>
    </row>
    <row r="13" spans="1:12" x14ac:dyDescent="0.25">
      <c r="B13" s="17" t="s">
        <v>56</v>
      </c>
      <c r="C13" s="18">
        <v>40</v>
      </c>
      <c r="D13" s="18">
        <v>25</v>
      </c>
      <c r="E13" s="18">
        <v>1.4</v>
      </c>
      <c r="F13" s="18">
        <v>6</v>
      </c>
      <c r="G13" s="19">
        <v>138.18</v>
      </c>
      <c r="H13" s="19">
        <v>284.36</v>
      </c>
      <c r="I13" s="18">
        <v>0.28999999999999998</v>
      </c>
      <c r="J13" s="18">
        <v>1.36</v>
      </c>
      <c r="K13" s="20">
        <f t="shared" si="0"/>
        <v>3.0020800000000017E-7</v>
      </c>
    </row>
    <row r="14" spans="1:12" x14ac:dyDescent="0.25">
      <c r="B14" s="17" t="s">
        <v>55</v>
      </c>
      <c r="C14" s="18">
        <v>40</v>
      </c>
      <c r="D14" s="18">
        <v>20</v>
      </c>
      <c r="E14" s="18">
        <v>1.4</v>
      </c>
      <c r="F14" s="18">
        <v>6</v>
      </c>
      <c r="G14" s="19">
        <v>136.24</v>
      </c>
      <c r="H14" s="19">
        <v>275.92</v>
      </c>
      <c r="I14" s="18">
        <v>0.27</v>
      </c>
      <c r="J14" s="18">
        <v>1.26</v>
      </c>
      <c r="K14" s="20">
        <f t="shared" si="0"/>
        <v>2.6828800000000008E-7</v>
      </c>
    </row>
    <row r="15" spans="1:12" x14ac:dyDescent="0.25">
      <c r="B15" s="17" t="s">
        <v>52</v>
      </c>
      <c r="C15" s="18">
        <v>35</v>
      </c>
      <c r="D15" s="18">
        <v>25</v>
      </c>
      <c r="E15" s="18">
        <v>1.4</v>
      </c>
      <c r="F15" s="18">
        <v>6</v>
      </c>
      <c r="G15" s="19">
        <v>136.24</v>
      </c>
      <c r="H15" s="19">
        <v>275.92</v>
      </c>
      <c r="I15" s="18">
        <v>0.27</v>
      </c>
      <c r="J15" s="18">
        <v>1.26</v>
      </c>
      <c r="K15" s="20">
        <f t="shared" si="0"/>
        <v>2.30798E-7</v>
      </c>
    </row>
    <row r="16" spans="1:12" x14ac:dyDescent="0.25">
      <c r="B16" s="17" t="s">
        <v>54</v>
      </c>
      <c r="C16" s="18">
        <v>40</v>
      </c>
      <c r="D16" s="18">
        <v>12</v>
      </c>
      <c r="E16" s="18">
        <v>1.4</v>
      </c>
      <c r="F16" s="18">
        <v>6</v>
      </c>
      <c r="G16" s="19">
        <v>117.74</v>
      </c>
      <c r="H16" s="19">
        <v>236.99</v>
      </c>
      <c r="I16" s="18">
        <v>0.23</v>
      </c>
      <c r="J16" s="18">
        <v>1.1100000000000001</v>
      </c>
      <c r="K16" s="20">
        <f t="shared" si="0"/>
        <v>2.1721600000000011E-7</v>
      </c>
    </row>
    <row r="17" spans="2:11" x14ac:dyDescent="0.25">
      <c r="B17" s="17" t="s">
        <v>53</v>
      </c>
      <c r="C17" s="18">
        <v>36</v>
      </c>
      <c r="D17" s="18">
        <v>12</v>
      </c>
      <c r="E17" s="18">
        <v>1.4</v>
      </c>
      <c r="F17" s="18">
        <v>6</v>
      </c>
      <c r="G17" s="19">
        <v>116.19</v>
      </c>
      <c r="H17" s="19">
        <v>230.24</v>
      </c>
      <c r="I17" s="18">
        <v>0.22</v>
      </c>
      <c r="J17" s="18">
        <v>1.03</v>
      </c>
      <c r="K17" s="20">
        <f t="shared" si="0"/>
        <v>1.7452800000000001E-7</v>
      </c>
    </row>
    <row r="18" spans="2:11" x14ac:dyDescent="0.25">
      <c r="B18" s="17" t="s">
        <v>51</v>
      </c>
      <c r="C18" s="18">
        <v>31.5</v>
      </c>
      <c r="D18" s="18">
        <v>20</v>
      </c>
      <c r="E18" s="18">
        <v>1.4</v>
      </c>
      <c r="F18" s="18">
        <v>6</v>
      </c>
      <c r="G18" s="19">
        <v>117.55</v>
      </c>
      <c r="H18" s="19">
        <v>236.14</v>
      </c>
      <c r="I18" s="18">
        <v>0.23</v>
      </c>
      <c r="J18" s="18">
        <v>1.1000000000000001</v>
      </c>
      <c r="K18" s="20">
        <f t="shared" si="0"/>
        <v>1.6740787499999996E-7</v>
      </c>
    </row>
    <row r="19" spans="2:11" x14ac:dyDescent="0.25">
      <c r="B19" s="17" t="s">
        <v>50</v>
      </c>
      <c r="C19" s="18">
        <v>31.5</v>
      </c>
      <c r="D19" s="18">
        <v>15</v>
      </c>
      <c r="E19" s="18">
        <v>1.4</v>
      </c>
      <c r="F19" s="18">
        <v>6</v>
      </c>
      <c r="G19" s="19">
        <v>115.61</v>
      </c>
      <c r="H19" s="19">
        <v>227.71</v>
      </c>
      <c r="I19" s="18">
        <v>0.21</v>
      </c>
      <c r="J19" s="18">
        <v>1.01</v>
      </c>
      <c r="K19" s="20">
        <f t="shared" si="0"/>
        <v>1.4613412499999995E-7</v>
      </c>
    </row>
    <row r="20" spans="2:11" x14ac:dyDescent="0.25">
      <c r="B20" s="17" t="s">
        <v>49</v>
      </c>
      <c r="C20" s="18">
        <v>30</v>
      </c>
      <c r="D20" s="18">
        <v>6</v>
      </c>
      <c r="E20" s="18">
        <v>1.4</v>
      </c>
      <c r="F20" s="18">
        <v>6</v>
      </c>
      <c r="G20" s="19">
        <v>111.54</v>
      </c>
      <c r="H20" s="19">
        <v>209.99</v>
      </c>
      <c r="I20" s="18">
        <v>0.16</v>
      </c>
      <c r="J20" s="18">
        <v>0.81</v>
      </c>
      <c r="K20" s="20">
        <f t="shared" si="0"/>
        <v>9.7631999999999997E-8</v>
      </c>
    </row>
    <row r="21" spans="2:11" x14ac:dyDescent="0.25">
      <c r="B21" s="17" t="s">
        <v>48</v>
      </c>
      <c r="C21" s="18">
        <v>25</v>
      </c>
      <c r="D21" s="18">
        <v>12</v>
      </c>
      <c r="E21" s="18">
        <v>1.4</v>
      </c>
      <c r="F21" s="18">
        <v>6</v>
      </c>
      <c r="G21" s="19">
        <v>111.93</v>
      </c>
      <c r="H21" s="19">
        <v>211.68</v>
      </c>
      <c r="I21" s="18">
        <v>0.17</v>
      </c>
      <c r="J21" s="18">
        <v>0.82</v>
      </c>
      <c r="K21" s="20">
        <f t="shared" si="0"/>
        <v>8.5681000000000038E-8</v>
      </c>
    </row>
    <row r="22" spans="2:11" x14ac:dyDescent="0.25">
      <c r="B22" s="17" t="s">
        <v>46</v>
      </c>
      <c r="C22" s="18">
        <v>21.6</v>
      </c>
      <c r="D22" s="18">
        <v>15</v>
      </c>
      <c r="E22" s="18">
        <v>1.4</v>
      </c>
      <c r="F22" s="18">
        <v>6</v>
      </c>
      <c r="G22" s="19">
        <v>111.77</v>
      </c>
      <c r="H22" s="19">
        <v>211</v>
      </c>
      <c r="I22" s="18">
        <v>0.17</v>
      </c>
      <c r="J22" s="18">
        <v>0.82</v>
      </c>
      <c r="K22" s="20">
        <f t="shared" si="0"/>
        <v>7.2752256000000017E-8</v>
      </c>
    </row>
    <row r="23" spans="2:11" x14ac:dyDescent="0.25">
      <c r="B23" s="17" t="s">
        <v>47</v>
      </c>
      <c r="C23" s="18">
        <v>25</v>
      </c>
      <c r="D23" s="18">
        <v>5</v>
      </c>
      <c r="E23" s="18">
        <v>1.4</v>
      </c>
      <c r="F23" s="18">
        <v>6</v>
      </c>
      <c r="G23" s="19">
        <v>94.92</v>
      </c>
      <c r="H23" s="19">
        <v>176.09</v>
      </c>
      <c r="I23" s="18">
        <v>0.14000000000000001</v>
      </c>
      <c r="J23" s="18">
        <v>0.69</v>
      </c>
      <c r="K23" s="20">
        <f t="shared" si="0"/>
        <v>6.5248000000000043E-8</v>
      </c>
    </row>
    <row r="24" spans="2:11" x14ac:dyDescent="0.25">
      <c r="B24" s="17" t="s">
        <v>45</v>
      </c>
      <c r="C24" s="18">
        <v>20</v>
      </c>
      <c r="D24" s="18">
        <v>15</v>
      </c>
      <c r="E24" s="18">
        <v>1.4</v>
      </c>
      <c r="F24" s="18">
        <v>6</v>
      </c>
      <c r="G24" s="19">
        <v>111.15</v>
      </c>
      <c r="H24" s="19">
        <v>208.3</v>
      </c>
      <c r="I24" s="18">
        <v>0.16</v>
      </c>
      <c r="J24" s="18">
        <v>0.79</v>
      </c>
      <c r="K24" s="20">
        <f t="shared" si="0"/>
        <v>6.3728E-8</v>
      </c>
    </row>
    <row r="26" spans="2:11" x14ac:dyDescent="0.25">
      <c r="B26" s="27" t="s">
        <v>85</v>
      </c>
    </row>
  </sheetData>
  <sortState xmlns:xlrd2="http://schemas.microsoft.com/office/spreadsheetml/2017/richdata2" ref="B4:K24">
    <sortCondition descending="1" ref="K4:K24"/>
  </sortState>
  <mergeCells count="1">
    <mergeCell ref="A1:I1"/>
  </mergeCells>
  <hyperlinks>
    <hyperlink ref="B26" r:id="rId1" xr:uid="{1A4E48FA-B6E8-4FF1-B20D-75D7B0339642}"/>
  </hyperlinks>
  <pageMargins left="0.7" right="0.7" top="0.75" bottom="0.75" header="0.3" footer="0.3"/>
  <pageSetup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Key figures</vt:lpstr>
      <vt:lpstr>Link n</vt:lpstr>
      <vt:lpstr>Lookups</vt:lpstr>
      <vt:lpstr>Materials</vt:lpstr>
      <vt:lpstr>Carbon Fibre</vt:lpstr>
      <vt:lpstr>gravity</vt:lpstr>
      <vt:lpstr>LinkLongRodLength</vt:lpstr>
      <vt:lpstr>MaxDesiredLinkDeflectionUnderMaxLoad</vt:lpstr>
      <vt:lpstr>MaxEndEffectorSpeed</vt:lpstr>
      <vt:lpstr>MaxLoad</vt:lpstr>
      <vt:lpstr>NumberOfLinks</vt:lpstr>
      <vt:lpstr>RodsPerLink</vt:lpstr>
      <vt:lpstr>StructuralRodCrossSection</vt:lpstr>
      <vt:lpstr>StructuralRodMaterial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Cooke</dc:creator>
  <cp:lastModifiedBy>Ray Cooke</cp:lastModifiedBy>
  <dcterms:created xsi:type="dcterms:W3CDTF">2018-06-22T22:50:25Z</dcterms:created>
  <dcterms:modified xsi:type="dcterms:W3CDTF">2018-11-18T23:59:55Z</dcterms:modified>
</cp:coreProperties>
</file>