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120" yWindow="440" windowWidth="25600" windowHeight="14440" tabRatio="500"/>
  </bookViews>
  <sheets>
    <sheet name="Cost Estimates" sheetId="1" r:id="rId1"/>
    <sheet name="CPI, 1985-2015" sheetId="3" r:id="rId2"/>
    <sheet name="US Population, 1990-2015" sheetId="4" r:id="rId3"/>
  </sheets>
  <definedNames>
    <definedName name="_xlnm._FilterDatabase" localSheetId="2" hidden="1">'US Population, 1990-2015'!#REF!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" i="1"/>
  <c r="E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9" i="1"/>
  <c r="F6" i="1"/>
  <c r="F7" i="1"/>
  <c r="F8" i="1"/>
  <c r="E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F38" i="1"/>
  <c r="E39" i="1"/>
  <c r="F39" i="1"/>
  <c r="E40" i="1"/>
  <c r="F40" i="1"/>
  <c r="E41" i="1"/>
  <c r="F41" i="1"/>
  <c r="E42" i="1"/>
  <c r="F42" i="1"/>
  <c r="E43" i="1"/>
  <c r="F43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F5" i="1"/>
  <c r="E6" i="1"/>
  <c r="E8" i="1"/>
  <c r="E19" i="1"/>
  <c r="E31" i="1"/>
  <c r="E38" i="1"/>
  <c r="E44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2" i="1"/>
  <c r="D24" i="1"/>
  <c r="D23" i="1"/>
  <c r="D21" i="1"/>
  <c r="D20" i="1"/>
  <c r="D19" i="1"/>
  <c r="D8" i="1"/>
</calcChain>
</file>

<file path=xl/sharedStrings.xml><?xml version="1.0" encoding="utf-8"?>
<sst xmlns="http://schemas.openxmlformats.org/spreadsheetml/2006/main" count="119" uniqueCount="95">
  <si>
    <t>Cost Estimates</t>
  </si>
  <si>
    <t>Description</t>
  </si>
  <si>
    <t>Source</t>
  </si>
  <si>
    <t>Year</t>
  </si>
  <si>
    <t>Annual economic, indirect cost of mental illnesses in the US, that reflects the loss of productivity as a result of illnesses</t>
  </si>
  <si>
    <t>Estimated economic value of informal caregiving in New York (~1.8 million caregivers)</t>
  </si>
  <si>
    <t>Condition</t>
  </si>
  <si>
    <t>Variable</t>
  </si>
  <si>
    <t>NYC's Jail Population: Who's There and Why?</t>
  </si>
  <si>
    <t>criminal justice system costs</t>
  </si>
  <si>
    <t>social service costs</t>
  </si>
  <si>
    <t>lost productivity</t>
  </si>
  <si>
    <t>major depression</t>
  </si>
  <si>
    <t>Lost Productivity Due to Alcohol-Related Crime</t>
  </si>
  <si>
    <t>alcohol</t>
  </si>
  <si>
    <t>Lost Productivity of Incarcerated Persons</t>
  </si>
  <si>
    <t>Lost productivity due to alcohol misuse (overall)</t>
  </si>
  <si>
    <t>Average annual cost per inmate includes all operating expenses, including salaries and benefits for staff as well as debt service for jail construction and major repairs</t>
  </si>
  <si>
    <t>Breakdown:</t>
  </si>
  <si>
    <t>Lost Future Earnings Due to Premature Deaths</t>
  </si>
  <si>
    <t>Motor Vehicle Crashes</t>
  </si>
  <si>
    <t>Other Alcohol-Related</t>
  </si>
  <si>
    <t>Lost Productivity Due to Morbidity</t>
  </si>
  <si>
    <t>Lost Productivity Due to Alcohol-Related Illness</t>
  </si>
  <si>
    <t>Lost Productivity Due to Fetal Alcohol Syndrome</t>
  </si>
  <si>
    <t>Lost Earnings Due to Crime/Victims</t>
  </si>
  <si>
    <t>Harwood, H. J. (2000). Updating estimates of the economic costs of alcohol abuse in the United States: Estimates, update methods, and data. US Department of Health and Human Services, Public Health Service, National Institutes of Health, National Institute on Alcohol Abuse and Alcoholism.</t>
  </si>
  <si>
    <t>Hogan, M. F. (2003). New Freedom Commission report: the President's New Freedom Commission: recommendations to transform mental health care in America. Psychiatric Services, 54(11), 1467-1474.</t>
  </si>
  <si>
    <t>Arno, P. S., Levine, C., &amp; Memmott, M. M. (1999). The economic value of informal caregiving. Health Affairs, 18(2), 182-188.</t>
  </si>
  <si>
    <t>Bouchery, E. E., Harwood, H. J., Sacks, J. J., Simon, C. J., &amp; Brewer, R. D. (2011). Economic costs of excessive alcohol consumption in the US, 2006. American journal of preventive medicine, 41(5), 516-524.</t>
  </si>
  <si>
    <t>Notes</t>
  </si>
  <si>
    <r>
      <t xml:space="preserve">Updated cost estimates of </t>
    </r>
    <r>
      <rPr>
        <i/>
        <sz val="12"/>
        <color theme="1"/>
        <rFont val="Calibri"/>
        <scheme val="minor"/>
      </rPr>
      <t>The Economic Costs of Alcohol and Drug Abuse in the United States 1992</t>
    </r>
  </si>
  <si>
    <t>Updated cost estimates of Harwood, H. J. (2000).</t>
  </si>
  <si>
    <t>Cost Estimate (USD)</t>
  </si>
  <si>
    <t>Healthcare costs</t>
  </si>
  <si>
    <t>Binge drinking</t>
  </si>
  <si>
    <t>Specialty care for abuse/dependence</t>
  </si>
  <si>
    <t>Lost productivity</t>
  </si>
  <si>
    <t>Impaired productivity—work</t>
  </si>
  <si>
    <t>medical  system costs</t>
  </si>
  <si>
    <t>Hospitalization</t>
  </si>
  <si>
    <t>Mortality</t>
  </si>
  <si>
    <t>Criminal justice</t>
  </si>
  <si>
    <t>Criminal justice system costs include costs for police protection, the court system, correctional institutions, private legal costs, and alcohol crimes (e.g., driving under the influence [DUI]; liquor law violations; and public drunkenness)</t>
  </si>
  <si>
    <t>Total economic cost of excessive drinking</t>
  </si>
  <si>
    <t>The estimated total economic cost of excessive drinking was $223.5 billion in 2006. On a per capita basis, this cost was approximately $746 for each man, woman, and child in the U.S. in 2006.</t>
  </si>
  <si>
    <t>depression</t>
  </si>
  <si>
    <t>Direct treatment costs</t>
  </si>
  <si>
    <t>Inpatient</t>
  </si>
  <si>
    <t>Outpatient</t>
  </si>
  <si>
    <t>Pharmaceutical</t>
  </si>
  <si>
    <t>Greenberg, P. E., Kessler, R. C., Birnbaum, H. G., Leong, S. A., Lowe, S. W., Berglund, P. A., &amp; Corey-Lisle, P. K. (2003). The economic burden of depression in the United States: how did it change between 1990 and 2000?. Journal of clinical psychiatry, 64(12), 1465-1475.</t>
  </si>
  <si>
    <t>Workplace costs</t>
  </si>
  <si>
    <t>Absenteeism</t>
  </si>
  <si>
    <t>Presenteeism</t>
  </si>
  <si>
    <t>Treatment</t>
  </si>
  <si>
    <t>Medical complications</t>
  </si>
  <si>
    <t>Health insurance administration</t>
  </si>
  <si>
    <t>Total medical care costs</t>
  </si>
  <si>
    <t>heroin use</t>
  </si>
  <si>
    <t>Mark, T. L., Woody, G. E., Juday, T., &amp; Kleber, H. D. (2001). The economic costs of heroin addiction in the United States. Drug and alcohol dependence, 61(2), 195-206.</t>
  </si>
  <si>
    <t>Productivity costs</t>
  </si>
  <si>
    <t>Crime costs</t>
  </si>
  <si>
    <t>Mortality, unemployment, incarceration, lower earnings</t>
  </si>
  <si>
    <t>Policing, legal, incarceration, cost to crime victims</t>
  </si>
  <si>
    <t>Specialty substance abuse facilities, inpatient and outpatient, ER, physician office, AIDS, TB, Hep B, Hep C, Pregnancy problems</t>
  </si>
  <si>
    <t>non-medical use of prescription opioids</t>
  </si>
  <si>
    <t>Physicians</t>
  </si>
  <si>
    <t>Substance abuse facilities</t>
  </si>
  <si>
    <t>Unemployment / subemployment</t>
  </si>
  <si>
    <t>Incarceration</t>
  </si>
  <si>
    <t>Hansen, R. N., Oster, G., Edelsberg, J., Woody, G. E., &amp; Sullivan, S. D. (2011). Economic costs of nonmedical use of prescription opioids. The Clinical journal of pain, 27(3), 194-202.</t>
  </si>
  <si>
    <t>Consumer Price Index - All Urban Consumers</t>
  </si>
  <si>
    <t>Original Data Value</t>
  </si>
  <si>
    <t>Series Id:</t>
  </si>
  <si>
    <t>CUUR0000SA0</t>
  </si>
  <si>
    <t>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</si>
  <si>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</si>
  <si>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</si>
  <si>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</si>
  <si>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</si>
  <si>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</si>
  <si>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</si>
  <si>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</si>
  <si>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Jan</t>
  </si>
  <si>
    <t>1985 to 2015</t>
  </si>
  <si>
    <t>Reference Population</t>
  </si>
  <si>
    <t>year</t>
  </si>
  <si>
    <t>population</t>
  </si>
  <si>
    <t>Source: Census.gov Population Estimates</t>
  </si>
  <si>
    <t>http://www.census.gov/popest/index.html</t>
  </si>
  <si>
    <t>Costs Per Capita (Constant 2013 USD)</t>
  </si>
  <si>
    <t>Costs Per Capita (Constant 2014 USD)</t>
  </si>
  <si>
    <t>Costs Per Capita (Nominal USD)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</si>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</sst>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0.0"/>
    <numFmt numFmtId="167" formatCode="#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i/>
      <sz val="12"/>
      <color theme="1"/>
      <name val="Calibri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6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right"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165" fontId="0" fillId="2" borderId="1" xfId="1" applyNumberFormat="1" applyFont="1" applyFill="1" applyBorder="1" applyAlignment="1">
      <alignment horizontal="right" vertical="top"/>
    </xf>
    <xf numFmtId="0" fontId="0" fillId="2" borderId="1" xfId="1" applyNumberFormat="1" applyFont="1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0" fontId="0" fillId="2" borderId="8" xfId="0" applyFill="1" applyBorder="1" applyAlignment="1">
      <alignment vertical="top" wrapText="1"/>
    </xf>
    <xf numFmtId="165" fontId="0" fillId="2" borderId="3" xfId="1" applyNumberFormat="1" applyFont="1" applyFill="1" applyBorder="1" applyAlignment="1">
      <alignment horizontal="right" vertical="top"/>
    </xf>
    <xf numFmtId="0" fontId="2" fillId="2" borderId="9" xfId="0" applyFont="1" applyFill="1" applyBorder="1" applyAlignment="1">
      <alignment vertical="top" wrapText="1"/>
    </xf>
    <xf numFmtId="165" fontId="0" fillId="2" borderId="5" xfId="1" applyNumberFormat="1" applyFont="1" applyFill="1" applyBorder="1" applyAlignment="1">
      <alignment horizontal="right" vertical="top"/>
    </xf>
    <xf numFmtId="0" fontId="0" fillId="2" borderId="8" xfId="0" applyFont="1" applyFill="1" applyBorder="1" applyAlignment="1">
      <alignment vertical="top" wrapText="1"/>
    </xf>
    <xf numFmtId="165" fontId="1" fillId="2" borderId="3" xfId="1" applyNumberFormat="1" applyFont="1" applyFill="1" applyBorder="1" applyAlignment="1">
      <alignment horizontal="right" vertical="top"/>
    </xf>
    <xf numFmtId="0" fontId="0" fillId="2" borderId="9" xfId="0" applyFont="1" applyFill="1" applyBorder="1" applyAlignment="1">
      <alignment horizontal="left" vertical="top" wrapText="1" indent="1"/>
    </xf>
    <xf numFmtId="165" fontId="1" fillId="2" borderId="5" xfId="1" applyNumberFormat="1" applyFont="1" applyFill="1" applyBorder="1" applyAlignment="1">
      <alignment horizontal="right" vertical="top"/>
    </xf>
    <xf numFmtId="0" fontId="0" fillId="2" borderId="10" xfId="0" applyFont="1" applyFill="1" applyBorder="1" applyAlignment="1">
      <alignment horizontal="left" vertical="top" wrapText="1" indent="1"/>
    </xf>
    <xf numFmtId="165" fontId="1" fillId="2" borderId="7" xfId="1" applyNumberFormat="1" applyFont="1" applyFill="1" applyBorder="1" applyAlignment="1">
      <alignment horizontal="right" vertical="top"/>
    </xf>
    <xf numFmtId="0" fontId="0" fillId="2" borderId="9" xfId="0" applyFill="1" applyBorder="1" applyAlignment="1">
      <alignment horizontal="left" vertical="top" wrapText="1" indent="1"/>
    </xf>
    <xf numFmtId="165" fontId="0" fillId="2" borderId="7" xfId="1" applyNumberFormat="1" applyFont="1" applyFill="1" applyBorder="1" applyAlignment="1">
      <alignment horizontal="right" vertical="top"/>
    </xf>
    <xf numFmtId="0" fontId="0" fillId="2" borderId="0" xfId="0" applyFill="1" applyBorder="1" applyAlignment="1">
      <alignment vertical="top" wrapText="1"/>
    </xf>
    <xf numFmtId="165" fontId="0" fillId="2" borderId="0" xfId="1" applyNumberFormat="1" applyFont="1" applyFill="1" applyBorder="1" applyAlignment="1">
      <alignment horizontal="right" vertical="top"/>
    </xf>
    <xf numFmtId="0" fontId="0" fillId="2" borderId="8" xfId="0" applyFill="1" applyBorder="1" applyAlignment="1">
      <alignment horizontal="right" vertical="top"/>
    </xf>
    <xf numFmtId="0" fontId="0" fillId="2" borderId="2" xfId="0" applyFill="1" applyBorder="1" applyAlignment="1">
      <alignment vertical="top"/>
    </xf>
    <xf numFmtId="165" fontId="0" fillId="2" borderId="11" xfId="1" applyNumberFormat="1" applyFont="1" applyFill="1" applyBorder="1" applyAlignment="1">
      <alignment horizontal="right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165" fontId="0" fillId="2" borderId="12" xfId="1" applyNumberFormat="1" applyFont="1" applyFill="1" applyBorder="1" applyAlignment="1">
      <alignment horizontal="right" vertical="top"/>
    </xf>
    <xf numFmtId="0" fontId="0" fillId="2" borderId="9" xfId="0" applyFill="1" applyBorder="1" applyAlignment="1">
      <alignment horizontal="left" vertical="top" wrapText="1" indent="2"/>
    </xf>
    <xf numFmtId="0" fontId="0" fillId="2" borderId="10" xfId="0" applyFill="1" applyBorder="1" applyAlignment="1">
      <alignment horizontal="left" vertical="top" indent="2"/>
    </xf>
    <xf numFmtId="0" fontId="0" fillId="2" borderId="9" xfId="0" applyFill="1" applyBorder="1" applyAlignment="1">
      <alignment vertical="top"/>
    </xf>
    <xf numFmtId="0" fontId="0" fillId="2" borderId="10" xfId="0" applyFill="1" applyBorder="1" applyAlignment="1">
      <alignment horizontal="left" vertical="top" indent="1"/>
    </xf>
    <xf numFmtId="0" fontId="0" fillId="2" borderId="10" xfId="0" applyFill="1" applyBorder="1" applyAlignment="1">
      <alignment horizontal="left" vertical="top" wrapText="1" indent="2"/>
    </xf>
    <xf numFmtId="0" fontId="0" fillId="2" borderId="8" xfId="0" applyFill="1" applyBorder="1" applyAlignment="1">
      <alignment vertical="top"/>
    </xf>
    <xf numFmtId="0" fontId="0" fillId="2" borderId="8" xfId="0" applyFill="1" applyBorder="1" applyAlignment="1">
      <alignment horizontal="right" vertical="top"/>
    </xf>
    <xf numFmtId="165" fontId="0" fillId="2" borderId="0" xfId="1" applyNumberFormat="1" applyFont="1" applyFill="1" applyAlignment="1">
      <alignment horizontal="right" vertical="top"/>
    </xf>
    <xf numFmtId="0" fontId="0" fillId="2" borderId="11" xfId="0" applyFill="1" applyBorder="1" applyAlignment="1">
      <alignment vertical="top"/>
    </xf>
    <xf numFmtId="0" fontId="0" fillId="2" borderId="11" xfId="0" applyFill="1" applyBorder="1" applyAlignment="1">
      <alignment horizontal="right" vertical="top"/>
    </xf>
    <xf numFmtId="0" fontId="0" fillId="2" borderId="3" xfId="0" applyFill="1" applyBorder="1" applyAlignment="1">
      <alignment vertical="top"/>
    </xf>
    <xf numFmtId="0" fontId="0" fillId="2" borderId="0" xfId="0" applyFill="1" applyBorder="1" applyAlignment="1">
      <alignment horizontal="left" vertical="top" indent="1"/>
    </xf>
    <xf numFmtId="0" fontId="0" fillId="2" borderId="0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2" xfId="0" applyFill="1" applyBorder="1" applyAlignment="1">
      <alignment horizontal="left" vertical="top" indent="1"/>
    </xf>
    <xf numFmtId="0" fontId="0" fillId="2" borderId="7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9" xfId="0" applyFill="1" applyBorder="1" applyAlignment="1">
      <alignment horizontal="left" vertical="top" indent="1"/>
    </xf>
    <xf numFmtId="0" fontId="0" fillId="2" borderId="12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165" fontId="0" fillId="2" borderId="8" xfId="1" applyNumberFormat="1" applyFont="1" applyFill="1" applyBorder="1" applyAlignment="1">
      <alignment horizontal="right" vertical="top"/>
    </xf>
    <xf numFmtId="165" fontId="0" fillId="2" borderId="9" xfId="1" applyNumberFormat="1" applyFont="1" applyFill="1" applyBorder="1" applyAlignment="1">
      <alignment horizontal="right" vertical="top"/>
    </xf>
    <xf numFmtId="165" fontId="0" fillId="2" borderId="10" xfId="1" applyNumberFormat="1" applyFont="1" applyFill="1" applyBorder="1" applyAlignment="1">
      <alignment horizontal="right" vertical="top"/>
    </xf>
    <xf numFmtId="0" fontId="0" fillId="2" borderId="13" xfId="0" applyFill="1" applyBorder="1" applyAlignment="1">
      <alignment vertical="top"/>
    </xf>
    <xf numFmtId="0" fontId="0" fillId="2" borderId="11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0" fillId="0" borderId="0" xfId="0"/>
    <xf numFmtId="0" fontId="7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/>
    </xf>
    <xf numFmtId="0" fontId="7" fillId="0" borderId="14" xfId="0" applyFont="1" applyFill="1" applyBorder="1" applyAlignment="1">
      <alignment horizontal="center" wrapText="1"/>
    </xf>
    <xf numFmtId="0" fontId="7" fillId="0" borderId="0" xfId="0" applyFont="1" applyFill="1" applyAlignment="1">
      <alignment horizontal="left"/>
    </xf>
    <xf numFmtId="166" fontId="8" fillId="0" borderId="0" xfId="0" applyNumberFormat="1" applyFont="1" applyFill="1" applyAlignment="1">
      <alignment horizontal="right"/>
    </xf>
    <xf numFmtId="167" fontId="8" fillId="0" borderId="0" xfId="0" applyNumberFormat="1" applyFont="1" applyFill="1" applyAlignment="1">
      <alignment horizontal="right"/>
    </xf>
    <xf numFmtId="0" fontId="3" fillId="0" borderId="0" xfId="62"/>
    <xf numFmtId="0" fontId="2" fillId="3" borderId="1" xfId="0" applyFont="1" applyFill="1" applyBorder="1" applyAlignment="1">
      <alignment horizontal="center" vertical="center" wrapText="1"/>
    </xf>
    <xf numFmtId="43" fontId="0" fillId="2" borderId="1" xfId="0" applyNumberFormat="1" applyFill="1" applyBorder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0" fillId="2" borderId="13" xfId="0" applyFill="1" applyBorder="1" applyAlignment="1">
      <alignment horizontal="right" vertical="top"/>
    </xf>
  </cellXfs>
  <cellStyles count="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ensus.gov/popes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J2" sqref="J2"/>
    </sheetView>
  </sheetViews>
  <sheetFormatPr baseColWidth="10" defaultRowHeight="15" x14ac:dyDescent="0"/>
  <cols>
    <col min="1" max="1" width="15.33203125" style="2" bestFit="1" customWidth="1"/>
    <col min="2" max="2" width="16.83203125" style="2" customWidth="1"/>
    <col min="3" max="3" width="50.33203125" style="2" customWidth="1"/>
    <col min="4" max="4" width="19.33203125" style="3" customWidth="1"/>
    <col min="5" max="6" width="19.5" style="3" hidden="1" customWidth="1"/>
    <col min="7" max="7" width="19.1640625" style="2" customWidth="1"/>
    <col min="8" max="8" width="20.5" style="2" customWidth="1"/>
    <col min="9" max="9" width="7.33203125" style="3" hidden="1" customWidth="1"/>
    <col min="10" max="10" width="45.33203125" style="2" customWidth="1"/>
    <col min="11" max="11" width="32.6640625" style="2" customWidth="1"/>
    <col min="12" max="16384" width="10.83203125" style="2"/>
  </cols>
  <sheetData>
    <row r="1" spans="1:11">
      <c r="A1" s="1" t="s">
        <v>0</v>
      </c>
    </row>
    <row r="4" spans="1:11" s="84" customFormat="1" ht="30">
      <c r="A4" s="82" t="s">
        <v>6</v>
      </c>
      <c r="B4" s="82" t="s">
        <v>7</v>
      </c>
      <c r="C4" s="82" t="s">
        <v>1</v>
      </c>
      <c r="D4" s="82" t="s">
        <v>33</v>
      </c>
      <c r="E4" s="82" t="s">
        <v>86</v>
      </c>
      <c r="F4" s="82" t="s">
        <v>93</v>
      </c>
      <c r="G4" s="82" t="s">
        <v>91</v>
      </c>
      <c r="H4" s="82" t="s">
        <v>92</v>
      </c>
      <c r="I4" s="82" t="s">
        <v>3</v>
      </c>
      <c r="J4" s="82" t="s">
        <v>2</v>
      </c>
      <c r="K4" s="82" t="s">
        <v>30</v>
      </c>
    </row>
    <row r="5" spans="1:11" ht="60">
      <c r="A5" s="4" t="s">
        <v>12</v>
      </c>
      <c r="B5" s="4" t="s">
        <v>11</v>
      </c>
      <c r="C5" s="5" t="s">
        <v>4</v>
      </c>
      <c r="D5" s="6">
        <v>63000000000</v>
      </c>
      <c r="E5" s="6">
        <f>IFERROR(INDEX('US Population, 1990-2015'!$B$2:$B$27, MATCH('Cost Estimates'!I5, 'US Population, 1990-2015'!$A$2:$A$27, 0)), "")</f>
        <v>269424284</v>
      </c>
      <c r="F5" s="6">
        <f>IFERROR(D5/E5, "")</f>
        <v>233.83192882494586</v>
      </c>
      <c r="G5" s="83">
        <f>('Cost Estimates'!D5*'CPI, 1985-2015'!$B$40/INDEX('CPI, 1985-2015'!$B$12:$B$42, MATCH('Cost Estimates'!I5, 'CPI, 1985-2015'!$A$12:$A$42, 0)))/$E5</f>
        <v>348.74881198062519</v>
      </c>
      <c r="H5" s="83">
        <f>('Cost Estimates'!D5*'CPI, 1985-2015'!$B$41/INDEX('CPI, 1985-2015'!$B$12:$B$42, MATCH('Cost Estimates'!I5, 'CPI, 1985-2015'!$A$12:$A$42, 0)))/$E5</f>
        <v>354.25537216979296</v>
      </c>
      <c r="I5" s="7">
        <v>1996</v>
      </c>
      <c r="J5" s="5" t="s">
        <v>27</v>
      </c>
      <c r="K5" s="4"/>
    </row>
    <row r="6" spans="1:11" ht="45">
      <c r="A6" s="4"/>
      <c r="B6" s="4" t="s">
        <v>10</v>
      </c>
      <c r="C6" s="5" t="s">
        <v>5</v>
      </c>
      <c r="D6" s="6">
        <v>13600000000</v>
      </c>
      <c r="E6" s="6">
        <f>IFERROR(INDEX('US Population, 1990-2015'!$B$2:$B$27, MATCH('Cost Estimates'!I6, 'US Population, 1990-2015'!$A$2:$A$27, 0)), "")</f>
        <v>272678541</v>
      </c>
      <c r="F6" s="6">
        <f t="shared" ref="F6:F54" si="0">IFERROR(D6/E6, "")</f>
        <v>49.875578584674912</v>
      </c>
      <c r="G6" s="83">
        <f>('Cost Estimates'!D6*'CPI, 1985-2015'!$B$40/INDEX('CPI, 1985-2015'!$B$12:$B$42, MATCH('Cost Estimates'!I6, 'CPI, 1985-2015'!$A$12:$A$42, 0)))/E6</f>
        <v>72.189492372589186</v>
      </c>
      <c r="H6" s="83">
        <f>('Cost Estimates'!D6*'CPI, 1985-2015'!$B$41/INDEX('CPI, 1985-2015'!$B$12:$B$42, MATCH('Cost Estimates'!I6, 'CPI, 1985-2015'!$A$12:$A$42, 0)))/$E6</f>
        <v>73.329326462682701</v>
      </c>
      <c r="I6" s="8">
        <v>1997</v>
      </c>
      <c r="J6" s="5" t="s">
        <v>28</v>
      </c>
      <c r="K6" s="4"/>
    </row>
    <row r="7" spans="1:11" ht="45">
      <c r="A7" s="4"/>
      <c r="B7" s="5" t="s">
        <v>9</v>
      </c>
      <c r="C7" s="5" t="s">
        <v>17</v>
      </c>
      <c r="D7" s="6">
        <v>167731</v>
      </c>
      <c r="E7" s="6">
        <v>1</v>
      </c>
      <c r="F7" s="6">
        <f t="shared" si="0"/>
        <v>167731</v>
      </c>
      <c r="G7" s="83">
        <f>('Cost Estimates'!D7*'CPI, 1985-2015'!$B$40/INDEX('CPI, 1985-2015'!$B$12:$B$42, MATCH('Cost Estimates'!I7, 'CPI, 1985-2015'!$A$12:$A$42, 0)))/E7</f>
        <v>170406.08245648866</v>
      </c>
      <c r="H7" s="83">
        <f>('Cost Estimates'!D7*'CPI, 1985-2015'!$B$41/INDEX('CPI, 1985-2015'!$B$12:$B$42, MATCH('Cost Estimates'!I7, 'CPI, 1985-2015'!$A$12:$A$42, 0)))/$E7</f>
        <v>173096.70481106479</v>
      </c>
      <c r="I7" s="8">
        <v>2012</v>
      </c>
      <c r="J7" s="5" t="s">
        <v>8</v>
      </c>
      <c r="K7" s="4"/>
    </row>
    <row r="8" spans="1:11">
      <c r="A8" s="63" t="s">
        <v>14</v>
      </c>
      <c r="B8" s="63" t="s">
        <v>11</v>
      </c>
      <c r="C8" s="9" t="s">
        <v>16</v>
      </c>
      <c r="D8" s="10">
        <f>(36499+87621+10085)*1000000</f>
        <v>134205000000</v>
      </c>
      <c r="E8" s="6">
        <f>IFERROR(INDEX('US Population, 1990-2015'!$B$2:$B$27, MATCH('Cost Estimates'!I8, 'US Population, 1990-2015'!$A$2:$A$27, 0)), "")</f>
        <v>275883550</v>
      </c>
      <c r="F8" s="6">
        <f t="shared" si="0"/>
        <v>486.45524533811459</v>
      </c>
      <c r="G8" s="83">
        <f>('Cost Estimates'!D8*'CPI, 1985-2015'!$B$40/INDEX('CPI, 1985-2015'!$B$12:$B$42, MATCH('Cost Estimates'!I8, 'CPI, 1985-2015'!$A$12:$A$42, 0)))/E8</f>
        <v>693.19872460681324</v>
      </c>
      <c r="H8" s="83">
        <f>('Cost Estimates'!D8*'CPI, 1985-2015'!$B$41/INDEX('CPI, 1985-2015'!$B$12:$B$42, MATCH('Cost Estimates'!I8, 'CPI, 1985-2015'!$A$12:$A$42, 0)))/$E8</f>
        <v>704.14396762692081</v>
      </c>
      <c r="I8" s="36">
        <v>1998</v>
      </c>
      <c r="J8" s="65" t="s">
        <v>26</v>
      </c>
      <c r="K8" s="65" t="s">
        <v>31</v>
      </c>
    </row>
    <row r="9" spans="1:11">
      <c r="A9" s="63"/>
      <c r="B9" s="63"/>
      <c r="C9" s="11" t="s">
        <v>18</v>
      </c>
      <c r="D9" s="12"/>
      <c r="E9" s="6">
        <f>IFERROR(INDEX('US Population, 1990-2015'!$B$2:$B$27, MATCH('Cost Estimates'!I9, 'US Population, 1990-2015'!$A$2:$A$27, 0)), "")</f>
        <v>275883550</v>
      </c>
      <c r="F9" s="6">
        <f>IFERROR(D9/E9, "")</f>
        <v>0</v>
      </c>
      <c r="G9" s="83">
        <f>('Cost Estimates'!D9*'CPI, 1985-2015'!$B$40/INDEX('CPI, 1985-2015'!$B$12:$B$42, MATCH('Cost Estimates'!I9, 'CPI, 1985-2015'!$A$12:$A$42, 0)))/E9</f>
        <v>0</v>
      </c>
      <c r="H9" s="83">
        <f>('Cost Estimates'!D9*'CPI, 1985-2015'!$B$41/INDEX('CPI, 1985-2015'!$B$12:$B$42, MATCH('Cost Estimates'!I9, 'CPI, 1985-2015'!$A$12:$A$42, 0)))/$E9</f>
        <v>0</v>
      </c>
      <c r="I9" s="36">
        <v>1998</v>
      </c>
      <c r="J9" s="65"/>
      <c r="K9" s="65"/>
    </row>
    <row r="10" spans="1:11">
      <c r="A10" s="63"/>
      <c r="B10" s="63"/>
      <c r="C10" s="13" t="s">
        <v>19</v>
      </c>
      <c r="D10" s="14">
        <v>36499000000</v>
      </c>
      <c r="E10" s="6">
        <f>IFERROR(INDEX('US Population, 1990-2015'!$B$2:$B$27, MATCH('Cost Estimates'!I10, 'US Population, 1990-2015'!$A$2:$A$27, 0)), "")</f>
        <v>275883550</v>
      </c>
      <c r="F10" s="6">
        <f t="shared" si="0"/>
        <v>132.29857307548784</v>
      </c>
      <c r="G10" s="83">
        <f>('Cost Estimates'!D10*'CPI, 1985-2015'!$B$40/INDEX('CPI, 1985-2015'!$B$12:$B$42, MATCH('Cost Estimates'!I10, 'CPI, 1985-2015'!$A$12:$A$42, 0)))/E10</f>
        <v>188.52546663257016</v>
      </c>
      <c r="H10" s="83">
        <f>('Cost Estimates'!D10*'CPI, 1985-2015'!$B$41/INDEX('CPI, 1985-2015'!$B$12:$B$42, MATCH('Cost Estimates'!I10, 'CPI, 1985-2015'!$A$12:$A$42, 0)))/$E10</f>
        <v>191.50218452676864</v>
      </c>
      <c r="I10" s="36">
        <v>1998</v>
      </c>
      <c r="J10" s="65"/>
      <c r="K10" s="65"/>
    </row>
    <row r="11" spans="1:11">
      <c r="A11" s="63"/>
      <c r="B11" s="63"/>
      <c r="C11" s="15" t="s">
        <v>20</v>
      </c>
      <c r="D11" s="16">
        <v>8592000000</v>
      </c>
      <c r="E11" s="6">
        <f>IFERROR(INDEX('US Population, 1990-2015'!$B$2:$B$27, MATCH('Cost Estimates'!I11, 'US Population, 1990-2015'!$A$2:$A$27, 0)), "")</f>
        <v>275883550</v>
      </c>
      <c r="F11" s="6">
        <f t="shared" si="0"/>
        <v>31.14357488875288</v>
      </c>
      <c r="G11" s="83">
        <f>('Cost Estimates'!D11*'CPI, 1985-2015'!$B$40/INDEX('CPI, 1985-2015'!$B$12:$B$42, MATCH('Cost Estimates'!I11, 'CPI, 1985-2015'!$A$12:$A$42, 0)))/E11</f>
        <v>44.379594216472853</v>
      </c>
      <c r="H11" s="83">
        <f>('Cost Estimates'!D11*'CPI, 1985-2015'!$B$41/INDEX('CPI, 1985-2015'!$B$12:$B$42, MATCH('Cost Estimates'!I11, 'CPI, 1985-2015'!$A$12:$A$42, 0)))/$E11</f>
        <v>45.080324651469795</v>
      </c>
      <c r="I11" s="36">
        <v>1998</v>
      </c>
      <c r="J11" s="65"/>
      <c r="K11" s="65"/>
    </row>
    <row r="12" spans="1:11">
      <c r="A12" s="63"/>
      <c r="B12" s="63"/>
      <c r="C12" s="17" t="s">
        <v>21</v>
      </c>
      <c r="D12" s="18">
        <v>27906000000</v>
      </c>
      <c r="E12" s="6">
        <f>IFERROR(INDEX('US Population, 1990-2015'!$B$2:$B$27, MATCH('Cost Estimates'!I12, 'US Population, 1990-2015'!$A$2:$A$27, 0)), "")</f>
        <v>275883550</v>
      </c>
      <c r="F12" s="6">
        <f t="shared" si="0"/>
        <v>101.15137346898719</v>
      </c>
      <c r="G12" s="83">
        <f>('Cost Estimates'!D12*'CPI, 1985-2015'!$B$40/INDEX('CPI, 1985-2015'!$B$12:$B$42, MATCH('Cost Estimates'!I12, 'CPI, 1985-2015'!$A$12:$A$42, 0)))/E12</f>
        <v>144.14070719330675</v>
      </c>
      <c r="H12" s="83">
        <f>('Cost Estimates'!D12*'CPI, 1985-2015'!$B$41/INDEX('CPI, 1985-2015'!$B$12:$B$42, MATCH('Cost Estimates'!I12, 'CPI, 1985-2015'!$A$12:$A$42, 0)))/$E12</f>
        <v>146.41661309635896</v>
      </c>
      <c r="I12" s="36">
        <v>1998</v>
      </c>
      <c r="J12" s="65"/>
      <c r="K12" s="65"/>
    </row>
    <row r="13" spans="1:11">
      <c r="A13" s="63"/>
      <c r="B13" s="63"/>
      <c r="C13" s="13" t="s">
        <v>22</v>
      </c>
      <c r="D13" s="14">
        <v>87621000000</v>
      </c>
      <c r="E13" s="6">
        <f>IFERROR(INDEX('US Population, 1990-2015'!$B$2:$B$27, MATCH('Cost Estimates'!I13, 'US Population, 1990-2015'!$A$2:$A$27, 0)), "")</f>
        <v>275883550</v>
      </c>
      <c r="F13" s="6">
        <f t="shared" si="0"/>
        <v>317.60139377646834</v>
      </c>
      <c r="G13" s="83">
        <f>('Cost Estimates'!D13*'CPI, 1985-2015'!$B$40/INDEX('CPI, 1985-2015'!$B$12:$B$42, MATCH('Cost Estimates'!I13, 'CPI, 1985-2015'!$A$12:$A$42, 0)))/E13</f>
        <v>452.58198613146743</v>
      </c>
      <c r="H13" s="83">
        <f>('Cost Estimates'!D13*'CPI, 1985-2015'!$B$41/INDEX('CPI, 1985-2015'!$B$12:$B$42, MATCH('Cost Estimates'!I13, 'CPI, 1985-2015'!$A$12:$A$42, 0)))/$E13</f>
        <v>459.72801749143798</v>
      </c>
      <c r="I13" s="36">
        <v>1998</v>
      </c>
      <c r="J13" s="65"/>
      <c r="K13" s="65"/>
    </row>
    <row r="14" spans="1:11">
      <c r="A14" s="63"/>
      <c r="B14" s="63"/>
      <c r="C14" s="15" t="s">
        <v>23</v>
      </c>
      <c r="D14" s="16">
        <v>86368000000</v>
      </c>
      <c r="E14" s="6">
        <f>IFERROR(INDEX('US Population, 1990-2015'!$B$2:$B$27, MATCH('Cost Estimates'!I14, 'US Population, 1990-2015'!$A$2:$A$27, 0)), "")</f>
        <v>275883550</v>
      </c>
      <c r="F14" s="6">
        <f t="shared" si="0"/>
        <v>313.05962243852525</v>
      </c>
      <c r="G14" s="83">
        <f>('Cost Estimates'!D14*'CPI, 1985-2015'!$B$40/INDEX('CPI, 1985-2015'!$B$12:$B$42, MATCH('Cost Estimates'!I14, 'CPI, 1985-2015'!$A$12:$A$42, 0)))/E14</f>
        <v>446.10996197489845</v>
      </c>
      <c r="H14" s="83">
        <f>('Cost Estimates'!D14*'CPI, 1985-2015'!$B$41/INDEX('CPI, 1985-2015'!$B$12:$B$42, MATCH('Cost Estimates'!I14, 'CPI, 1985-2015'!$A$12:$A$42, 0)))/$E14</f>
        <v>453.15380347976526</v>
      </c>
      <c r="I14" s="36">
        <v>1998</v>
      </c>
      <c r="J14" s="65"/>
      <c r="K14" s="65"/>
    </row>
    <row r="15" spans="1:11">
      <c r="A15" s="63"/>
      <c r="B15" s="63"/>
      <c r="C15" s="17" t="s">
        <v>24</v>
      </c>
      <c r="D15" s="18">
        <v>1253000000</v>
      </c>
      <c r="E15" s="6">
        <f>IFERROR(INDEX('US Population, 1990-2015'!$B$2:$B$27, MATCH('Cost Estimates'!I15, 'US Population, 1990-2015'!$A$2:$A$27, 0)), "")</f>
        <v>275883550</v>
      </c>
      <c r="F15" s="6">
        <f t="shared" si="0"/>
        <v>4.5417713379431284</v>
      </c>
      <c r="G15" s="83">
        <f>('Cost Estimates'!D15*'CPI, 1985-2015'!$B$40/INDEX('CPI, 1985-2015'!$B$12:$B$42, MATCH('Cost Estimates'!I15, 'CPI, 1985-2015'!$A$12:$A$42, 0)))/E15</f>
        <v>6.472024156568958</v>
      </c>
      <c r="H15" s="83">
        <f>('Cost Estimates'!D15*'CPI, 1985-2015'!$B$41/INDEX('CPI, 1985-2015'!$B$12:$B$42, MATCH('Cost Estimates'!I15, 'CPI, 1985-2015'!$A$12:$A$42, 0)))/$E15</f>
        <v>6.5742140116726784</v>
      </c>
      <c r="I15" s="36">
        <v>1998</v>
      </c>
      <c r="J15" s="65"/>
      <c r="K15" s="65"/>
    </row>
    <row r="16" spans="1:11">
      <c r="A16" s="63"/>
      <c r="B16" s="63"/>
      <c r="C16" s="9" t="s">
        <v>25</v>
      </c>
      <c r="D16" s="14">
        <v>10085000000</v>
      </c>
      <c r="E16" s="6">
        <f>IFERROR(INDEX('US Population, 1990-2015'!$B$2:$B$27, MATCH('Cost Estimates'!I16, 'US Population, 1990-2015'!$A$2:$A$27, 0)), "")</f>
        <v>275883550</v>
      </c>
      <c r="F16" s="6">
        <f t="shared" si="0"/>
        <v>36.555278486158379</v>
      </c>
      <c r="G16" s="83">
        <f>('Cost Estimates'!D16*'CPI, 1985-2015'!$B$40/INDEX('CPI, 1985-2015'!$B$12:$B$42, MATCH('Cost Estimates'!I16, 'CPI, 1985-2015'!$A$12:$A$42, 0)))/E16</f>
        <v>52.09127184277569</v>
      </c>
      <c r="H16" s="83">
        <f>('Cost Estimates'!D16*'CPI, 1985-2015'!$B$41/INDEX('CPI, 1985-2015'!$B$12:$B$42, MATCH('Cost Estimates'!I16, 'CPI, 1985-2015'!$A$12:$A$42, 0)))/$E16</f>
        <v>52.913765608714257</v>
      </c>
      <c r="I16" s="36">
        <v>1998</v>
      </c>
      <c r="J16" s="65"/>
      <c r="K16" s="65"/>
    </row>
    <row r="17" spans="1:11">
      <c r="A17" s="63"/>
      <c r="B17" s="63"/>
      <c r="C17" s="19" t="s">
        <v>13</v>
      </c>
      <c r="D17" s="12">
        <v>988000000</v>
      </c>
      <c r="E17" s="6">
        <f>IFERROR(INDEX('US Population, 1990-2015'!$B$2:$B$27, MATCH('Cost Estimates'!I17, 'US Population, 1990-2015'!$A$2:$A$27, 0)), "")</f>
        <v>275883550</v>
      </c>
      <c r="F17" s="6">
        <f t="shared" si="0"/>
        <v>3.5812211347867606</v>
      </c>
      <c r="G17" s="83">
        <f>('Cost Estimates'!D17*'CPI, 1985-2015'!$B$40/INDEX('CPI, 1985-2015'!$B$12:$B$42, MATCH('Cost Estimates'!I17, 'CPI, 1985-2015'!$A$12:$A$42, 0)))/E17</f>
        <v>5.1032401170711337</v>
      </c>
      <c r="H17" s="83">
        <f>('Cost Estimates'!D17*'CPI, 1985-2015'!$B$41/INDEX('CPI, 1985-2015'!$B$12:$B$42, MATCH('Cost Estimates'!I17, 'CPI, 1985-2015'!$A$12:$A$42, 0)))/$E17</f>
        <v>5.1838175926038357</v>
      </c>
      <c r="I17" s="36">
        <v>1998</v>
      </c>
      <c r="J17" s="65"/>
      <c r="K17" s="65"/>
    </row>
    <row r="18" spans="1:11">
      <c r="A18" s="64"/>
      <c r="B18" s="64"/>
      <c r="C18" s="19" t="s">
        <v>15</v>
      </c>
      <c r="D18" s="12">
        <v>9097000000</v>
      </c>
      <c r="E18" s="6">
        <f>IFERROR(INDEX('US Population, 1990-2015'!$B$2:$B$27, MATCH('Cost Estimates'!I18, 'US Population, 1990-2015'!$A$2:$A$27, 0)), "")</f>
        <v>275883550</v>
      </c>
      <c r="F18" s="6">
        <f t="shared" si="0"/>
        <v>32.97405735137162</v>
      </c>
      <c r="G18" s="83">
        <f>('Cost Estimates'!D18*'CPI, 1985-2015'!$B$40/INDEX('CPI, 1985-2015'!$B$12:$B$42, MATCH('Cost Estimates'!I18, 'CPI, 1985-2015'!$A$12:$A$42, 0)))/E18</f>
        <v>46.988031725704559</v>
      </c>
      <c r="H18" s="83">
        <f>('Cost Estimates'!D18*'CPI, 1985-2015'!$B$41/INDEX('CPI, 1985-2015'!$B$12:$B$42, MATCH('Cost Estimates'!I18, 'CPI, 1985-2015'!$A$12:$A$42, 0)))/$E18</f>
        <v>47.72994801611042</v>
      </c>
      <c r="I18" s="36">
        <v>1998</v>
      </c>
      <c r="J18" s="58"/>
      <c r="K18" s="58"/>
    </row>
    <row r="19" spans="1:11" ht="15" customHeight="1">
      <c r="A19" s="64" t="s">
        <v>14</v>
      </c>
      <c r="B19" s="69" t="s">
        <v>39</v>
      </c>
      <c r="C19" s="9" t="s">
        <v>34</v>
      </c>
      <c r="D19" s="25">
        <f>24555.6*1000000</f>
        <v>24555600000</v>
      </c>
      <c r="E19" s="6">
        <f>IFERROR(INDEX('US Population, 1990-2015'!$B$2:$B$27, MATCH('Cost Estimates'!I19, 'US Population, 1990-2015'!$A$2:$A$27, 0)), "")</f>
        <v>296987570</v>
      </c>
      <c r="F19" s="6">
        <f t="shared" si="0"/>
        <v>82.682248283993843</v>
      </c>
      <c r="G19" s="83">
        <f>('Cost Estimates'!D19*'CPI, 1985-2015'!$B$40/INDEX('CPI, 1985-2015'!$B$12:$B$42, MATCH('Cost Estimates'!I19, 'CPI, 1985-2015'!$A$12:$A$42, 0)))/E19</f>
        <v>96.016480760656066</v>
      </c>
      <c r="H19" s="83">
        <f>('Cost Estimates'!D19*'CPI, 1985-2015'!$B$41/INDEX('CPI, 1985-2015'!$B$12:$B$42, MATCH('Cost Estimates'!I19, 'CPI, 1985-2015'!$A$12:$A$42, 0)))/$E19</f>
        <v>97.532530456876955</v>
      </c>
      <c r="I19" s="36">
        <v>2006</v>
      </c>
      <c r="J19" s="65" t="s">
        <v>29</v>
      </c>
      <c r="K19" s="61" t="s">
        <v>32</v>
      </c>
    </row>
    <row r="20" spans="1:11">
      <c r="A20" s="67"/>
      <c r="B20" s="70"/>
      <c r="C20" s="19" t="s">
        <v>35</v>
      </c>
      <c r="D20" s="22">
        <f>14028.6*1000000</f>
        <v>14028600000</v>
      </c>
      <c r="E20" s="6">
        <f>IFERROR(INDEX('US Population, 1990-2015'!$B$2:$B$27, MATCH('Cost Estimates'!I20, 'US Population, 1990-2015'!$A$2:$A$27, 0)), "")</f>
        <v>296987570</v>
      </c>
      <c r="F20" s="6">
        <f t="shared" si="0"/>
        <v>47.236320361825243</v>
      </c>
      <c r="G20" s="83">
        <f>('Cost Estimates'!D20*'CPI, 1985-2015'!$B$40/INDEX('CPI, 1985-2015'!$B$12:$B$42, MATCH('Cost Estimates'!I20, 'CPI, 1985-2015'!$A$12:$A$42, 0)))/E20</f>
        <v>54.854159621387382</v>
      </c>
      <c r="H20" s="83">
        <f>('Cost Estimates'!D20*'CPI, 1985-2015'!$B$41/INDEX('CPI, 1985-2015'!$B$12:$B$42, MATCH('Cost Estimates'!I20, 'CPI, 1985-2015'!$A$12:$A$42, 0)))/$E20</f>
        <v>55.720277931198751</v>
      </c>
      <c r="I20" s="36">
        <v>2006</v>
      </c>
      <c r="J20" s="65"/>
      <c r="K20" s="62"/>
    </row>
    <row r="21" spans="1:11">
      <c r="A21" s="67"/>
      <c r="B21" s="26"/>
      <c r="C21" s="31" t="s">
        <v>36</v>
      </c>
      <c r="D21" s="22">
        <f>7303.2*1000000</f>
        <v>7303200000</v>
      </c>
      <c r="E21" s="6">
        <f>IFERROR(INDEX('US Population, 1990-2015'!$B$2:$B$27, MATCH('Cost Estimates'!I21, 'US Population, 1990-2015'!$A$2:$A$27, 0)), "")</f>
        <v>296987570</v>
      </c>
      <c r="F21" s="6">
        <f t="shared" si="0"/>
        <v>24.590928165781484</v>
      </c>
      <c r="G21" s="83">
        <f>('Cost Estimates'!D21*'CPI, 1985-2015'!$B$40/INDEX('CPI, 1985-2015'!$B$12:$B$42, MATCH('Cost Estimates'!I21, 'CPI, 1985-2015'!$A$12:$A$42, 0)))/E21</f>
        <v>28.556726868462732</v>
      </c>
      <c r="H21" s="83">
        <f>('Cost Estimates'!D21*'CPI, 1985-2015'!$B$41/INDEX('CPI, 1985-2015'!$B$12:$B$42, MATCH('Cost Estimates'!I21, 'CPI, 1985-2015'!$A$12:$A$42, 0)))/$E21</f>
        <v>29.007622555859513</v>
      </c>
      <c r="I21" s="36">
        <v>2006</v>
      </c>
      <c r="J21" s="65"/>
      <c r="K21" s="27"/>
    </row>
    <row r="22" spans="1:11">
      <c r="A22" s="67"/>
      <c r="B22" s="29"/>
      <c r="C22" s="32" t="s">
        <v>40</v>
      </c>
      <c r="D22" s="30">
        <f>1726.4*1000000</f>
        <v>1726400000</v>
      </c>
      <c r="E22" s="6">
        <f>IFERROR(INDEX('US Population, 1990-2015'!$B$2:$B$27, MATCH('Cost Estimates'!I22, 'US Population, 1990-2015'!$A$2:$A$27, 0)), "")</f>
        <v>296987570</v>
      </c>
      <c r="F22" s="6">
        <f t="shared" si="0"/>
        <v>5.8130378991955789</v>
      </c>
      <c r="G22" s="83">
        <f>('Cost Estimates'!D22*'CPI, 1985-2015'!$B$40/INDEX('CPI, 1985-2015'!$B$12:$B$42, MATCH('Cost Estimates'!I22, 'CPI, 1985-2015'!$A$12:$A$42, 0)))/E22</f>
        <v>6.7505111821823389</v>
      </c>
      <c r="H22" s="83">
        <f>('Cost Estimates'!D22*'CPI, 1985-2015'!$B$41/INDEX('CPI, 1985-2015'!$B$12:$B$42, MATCH('Cost Estimates'!I22, 'CPI, 1985-2015'!$A$12:$A$42, 0)))/$E22</f>
        <v>6.8570982008483758</v>
      </c>
      <c r="I22" s="36">
        <v>2006</v>
      </c>
      <c r="J22" s="65"/>
      <c r="K22" s="27"/>
    </row>
    <row r="23" spans="1:11">
      <c r="A23" s="67"/>
      <c r="B23" s="24" t="s">
        <v>11</v>
      </c>
      <c r="C23" s="9" t="s">
        <v>37</v>
      </c>
      <c r="D23" s="10">
        <f>161286.1*1000000</f>
        <v>161286100000</v>
      </c>
      <c r="E23" s="6">
        <f>IFERROR(INDEX('US Population, 1990-2015'!$B$2:$B$27, MATCH('Cost Estimates'!I23, 'US Population, 1990-2015'!$A$2:$A$27, 0)), "")</f>
        <v>296987570</v>
      </c>
      <c r="F23" s="6">
        <f t="shared" si="0"/>
        <v>543.07357038545422</v>
      </c>
      <c r="G23" s="83">
        <f>('Cost Estimates'!D23*'CPI, 1985-2015'!$B$40/INDEX('CPI, 1985-2015'!$B$12:$B$42, MATCH('Cost Estimates'!I23, 'CPI, 1985-2015'!$A$12:$A$42, 0)))/E23</f>
        <v>630.65548052628537</v>
      </c>
      <c r="H23" s="83">
        <f>('Cost Estimates'!D23*'CPI, 1985-2015'!$B$41/INDEX('CPI, 1985-2015'!$B$12:$B$42, MATCH('Cost Estimates'!I23, 'CPI, 1985-2015'!$A$12:$A$42, 0)))/$E23</f>
        <v>640.6131986398583</v>
      </c>
      <c r="I23" s="36">
        <v>2006</v>
      </c>
      <c r="J23" s="65"/>
      <c r="K23" s="28"/>
    </row>
    <row r="24" spans="1:11">
      <c r="A24" s="67"/>
      <c r="B24" s="26"/>
      <c r="C24" s="19" t="s">
        <v>38</v>
      </c>
      <c r="D24" s="12">
        <f>74101.8*1000000</f>
        <v>74101800000</v>
      </c>
      <c r="E24" s="6">
        <f>IFERROR(INDEX('US Population, 1990-2015'!$B$2:$B$27, MATCH('Cost Estimates'!I24, 'US Population, 1990-2015'!$A$2:$A$27, 0)), "")</f>
        <v>296987570</v>
      </c>
      <c r="F24" s="6">
        <f t="shared" si="0"/>
        <v>249.51145261736039</v>
      </c>
      <c r="G24" s="83">
        <f>('Cost Estimates'!D24*'CPI, 1985-2015'!$B$40/INDEX('CPI, 1985-2015'!$B$12:$B$42, MATCH('Cost Estimates'!I24, 'CPI, 1985-2015'!$A$12:$A$42, 0)))/E24</f>
        <v>289.750364643095</v>
      </c>
      <c r="H24" s="83">
        <f>('Cost Estimates'!D24*'CPI, 1985-2015'!$B$41/INDEX('CPI, 1985-2015'!$B$12:$B$42, MATCH('Cost Estimates'!I24, 'CPI, 1985-2015'!$A$12:$A$42, 0)))/$E24</f>
        <v>294.3253704006176</v>
      </c>
      <c r="I24" s="36">
        <v>2006</v>
      </c>
      <c r="J24" s="65"/>
      <c r="K24" s="27"/>
    </row>
    <row r="25" spans="1:11">
      <c r="A25" s="67"/>
      <c r="B25" s="26"/>
      <c r="C25" s="31" t="s">
        <v>35</v>
      </c>
      <c r="D25" s="12">
        <f>50727*1000000</f>
        <v>50727000000</v>
      </c>
      <c r="E25" s="6">
        <f>IFERROR(INDEX('US Population, 1990-2015'!$B$2:$B$27, MATCH('Cost Estimates'!I25, 'US Population, 1990-2015'!$A$2:$A$27, 0)), "")</f>
        <v>296987570</v>
      </c>
      <c r="F25" s="6">
        <f t="shared" si="0"/>
        <v>170.80512830890532</v>
      </c>
      <c r="G25" s="83">
        <f>('Cost Estimates'!D25*'CPI, 1985-2015'!$B$40/INDEX('CPI, 1985-2015'!$B$12:$B$42, MATCH('Cost Estimates'!I25, 'CPI, 1985-2015'!$A$12:$A$42, 0)))/E25</f>
        <v>198.35100830547009</v>
      </c>
      <c r="H25" s="83">
        <f>('Cost Estimates'!D25*'CPI, 1985-2015'!$B$41/INDEX('CPI, 1985-2015'!$B$12:$B$42, MATCH('Cost Estimates'!I25, 'CPI, 1985-2015'!$A$12:$A$42, 0)))/$E25</f>
        <v>201.48286633134592</v>
      </c>
      <c r="I25" s="36">
        <v>2006</v>
      </c>
      <c r="J25" s="65"/>
      <c r="K25" s="27"/>
    </row>
    <row r="26" spans="1:11">
      <c r="A26" s="67"/>
      <c r="B26" s="26"/>
      <c r="C26" s="19" t="s">
        <v>41</v>
      </c>
      <c r="D26" s="12">
        <f>65062.2*1000000</f>
        <v>65062200000</v>
      </c>
      <c r="E26" s="6">
        <f>IFERROR(INDEX('US Population, 1990-2015'!$B$2:$B$27, MATCH('Cost Estimates'!I26, 'US Population, 1990-2015'!$A$2:$A$27, 0)), "")</f>
        <v>296987570</v>
      </c>
      <c r="F26" s="6">
        <f t="shared" si="0"/>
        <v>219.07381510950106</v>
      </c>
      <c r="G26" s="83">
        <f>('Cost Estimates'!D26*'CPI, 1985-2015'!$B$40/INDEX('CPI, 1985-2015'!$B$12:$B$42, MATCH('Cost Estimates'!I26, 'CPI, 1985-2015'!$A$12:$A$42, 0)))/E26</f>
        <v>254.40402492897582</v>
      </c>
      <c r="H26" s="83">
        <f>('Cost Estimates'!D26*'CPI, 1985-2015'!$B$41/INDEX('CPI, 1985-2015'!$B$12:$B$42, MATCH('Cost Estimates'!I26, 'CPI, 1985-2015'!$A$12:$A$42, 0)))/$E26</f>
        <v>258.42093058574909</v>
      </c>
      <c r="I26" s="36">
        <v>2006</v>
      </c>
      <c r="J26" s="65"/>
      <c r="K26" s="27"/>
    </row>
    <row r="27" spans="1:11">
      <c r="A27" s="67"/>
      <c r="B27" s="29"/>
      <c r="C27" s="35" t="s">
        <v>35</v>
      </c>
      <c r="D27" s="20">
        <f>50501*1000000</f>
        <v>50501000000</v>
      </c>
      <c r="E27" s="6">
        <f>IFERROR(INDEX('US Population, 1990-2015'!$B$2:$B$27, MATCH('Cost Estimates'!I27, 'US Population, 1990-2015'!$A$2:$A$27, 0)), "")</f>
        <v>296987570</v>
      </c>
      <c r="F27" s="6">
        <f t="shared" si="0"/>
        <v>170.04415369976596</v>
      </c>
      <c r="G27" s="83">
        <f>('Cost Estimates'!D27*'CPI, 1985-2015'!$B$40/INDEX('CPI, 1985-2015'!$B$12:$B$42, MATCH('Cost Estimates'!I27, 'CPI, 1985-2015'!$A$12:$A$42, 0)))/E27</f>
        <v>197.46731071095363</v>
      </c>
      <c r="H27" s="83">
        <f>('Cost Estimates'!D27*'CPI, 1985-2015'!$B$41/INDEX('CPI, 1985-2015'!$B$12:$B$42, MATCH('Cost Estimates'!I27, 'CPI, 1985-2015'!$A$12:$A$42, 0)))/$E27</f>
        <v>200.58521561691603</v>
      </c>
      <c r="I27" s="36">
        <v>2006</v>
      </c>
      <c r="J27" s="65"/>
      <c r="K27" s="27"/>
    </row>
    <row r="28" spans="1:11" ht="35" customHeight="1">
      <c r="A28" s="67"/>
      <c r="B28" s="21" t="s">
        <v>9</v>
      </c>
      <c r="C28" s="33" t="s">
        <v>42</v>
      </c>
      <c r="D28" s="22">
        <f>20972.7*1000000</f>
        <v>20972700000</v>
      </c>
      <c r="E28" s="6">
        <f>IFERROR(INDEX('US Population, 1990-2015'!$B$2:$B$27, MATCH('Cost Estimates'!I28, 'US Population, 1990-2015'!$A$2:$A$27, 0)), "")</f>
        <v>296987570</v>
      </c>
      <c r="F28" s="6">
        <f t="shared" si="0"/>
        <v>70.618107013704318</v>
      </c>
      <c r="G28" s="83">
        <f>('Cost Estimates'!D28*'CPI, 1985-2015'!$B$40/INDEX('CPI, 1985-2015'!$B$12:$B$42, MATCH('Cost Estimates'!I28, 'CPI, 1985-2015'!$A$12:$A$42, 0)))/E28</f>
        <v>82.006745754492329</v>
      </c>
      <c r="H28" s="83">
        <f>('Cost Estimates'!D28*'CPI, 1985-2015'!$B$41/INDEX('CPI, 1985-2015'!$B$12:$B$42, MATCH('Cost Estimates'!I28, 'CPI, 1985-2015'!$A$12:$A$42, 0)))/$E28</f>
        <v>83.301589108510626</v>
      </c>
      <c r="I28" s="36">
        <v>2006</v>
      </c>
      <c r="J28" s="65"/>
      <c r="K28" s="5" t="s">
        <v>43</v>
      </c>
    </row>
    <row r="29" spans="1:11">
      <c r="A29" s="67"/>
      <c r="B29" s="24"/>
      <c r="C29" s="36" t="s">
        <v>44</v>
      </c>
      <c r="D29" s="10">
        <f>223478.6*1000000</f>
        <v>223478600000</v>
      </c>
      <c r="E29" s="6">
        <f>IFERROR(INDEX('US Population, 1990-2015'!$B$2:$B$27, MATCH('Cost Estimates'!I29, 'US Population, 1990-2015'!$A$2:$A$27, 0)), "")</f>
        <v>296987570</v>
      </c>
      <c r="F29" s="6">
        <f t="shared" si="0"/>
        <v>752.4846915310294</v>
      </c>
      <c r="G29" s="83">
        <f>('Cost Estimates'!D29*'CPI, 1985-2015'!$B$40/INDEX('CPI, 1985-2015'!$B$12:$B$42, MATCH('Cost Estimates'!I29, 'CPI, 1985-2015'!$A$12:$A$42, 0)))/E29</f>
        <v>873.83850108807587</v>
      </c>
      <c r="H29" s="83">
        <f>('Cost Estimates'!D29*'CPI, 1985-2015'!$B$41/INDEX('CPI, 1985-2015'!$B$12:$B$42, MATCH('Cost Estimates'!I29, 'CPI, 1985-2015'!$A$12:$A$42, 0)))/$E29</f>
        <v>887.63595110525603</v>
      </c>
      <c r="I29" s="36">
        <v>2006</v>
      </c>
      <c r="J29" s="65"/>
      <c r="K29" s="62" t="s">
        <v>45</v>
      </c>
    </row>
    <row r="30" spans="1:11" ht="35" customHeight="1">
      <c r="A30" s="68"/>
      <c r="B30" s="29"/>
      <c r="C30" s="34" t="s">
        <v>35</v>
      </c>
      <c r="D30" s="20">
        <f>170699.9*1000000</f>
        <v>170699900000</v>
      </c>
      <c r="E30" s="6">
        <f>IFERROR(INDEX('US Population, 1990-2015'!$B$2:$B$27, MATCH('Cost Estimates'!I30, 'US Population, 1990-2015'!$A$2:$A$27, 0)), "")</f>
        <v>296987570</v>
      </c>
      <c r="F30" s="6">
        <f t="shared" si="0"/>
        <v>574.77119328596814</v>
      </c>
      <c r="G30" s="83">
        <f>('Cost Estimates'!D30*'CPI, 1985-2015'!$B$40/INDEX('CPI, 1985-2015'!$B$12:$B$42, MATCH('Cost Estimates'!I30, 'CPI, 1985-2015'!$A$12:$A$42, 0)))/E30</f>
        <v>667.46500448760833</v>
      </c>
      <c r="H30" s="83">
        <f>('Cost Estimates'!D30*'CPI, 1985-2015'!$B$41/INDEX('CPI, 1985-2015'!$B$12:$B$42, MATCH('Cost Estimates'!I30, 'CPI, 1985-2015'!$A$12:$A$42, 0)))/$E30</f>
        <v>678.00392561109697</v>
      </c>
      <c r="I30" s="36">
        <v>2006</v>
      </c>
      <c r="J30" s="65"/>
      <c r="K30" s="66"/>
    </row>
    <row r="31" spans="1:11">
      <c r="A31" s="24" t="s">
        <v>46</v>
      </c>
      <c r="B31" s="58" t="s">
        <v>39</v>
      </c>
      <c r="C31" s="36" t="s">
        <v>47</v>
      </c>
      <c r="D31" s="25">
        <f>26087*1000000</f>
        <v>26087000000</v>
      </c>
      <c r="E31" s="6">
        <f>IFERROR(INDEX('US Population, 1990-2015'!$B$2:$B$27, MATCH('Cost Estimates'!I31, 'US Population, 1990-2015'!$A$2:$A$27, 0)), "")</f>
        <v>282187553</v>
      </c>
      <c r="F31" s="6">
        <f t="shared" si="0"/>
        <v>92.445608329152634</v>
      </c>
      <c r="G31" s="83">
        <f>('Cost Estimates'!D31*'CPI, 1985-2015'!$B$40/INDEX('CPI, 1985-2015'!$B$12:$B$42, MATCH('Cost Estimates'!I31, 'CPI, 1985-2015'!$A$12:$A$42, 0)))/E31</f>
        <v>126.11596377984164</v>
      </c>
      <c r="H31" s="83">
        <f>('Cost Estimates'!D31*'CPI, 1985-2015'!$B$41/INDEX('CPI, 1985-2015'!$B$12:$B$42, MATCH('Cost Estimates'!I31, 'CPI, 1985-2015'!$A$12:$A$42, 0)))/$E31</f>
        <v>128.10726847110229</v>
      </c>
      <c r="I31" s="23">
        <v>2000</v>
      </c>
      <c r="J31" s="58" t="s">
        <v>51</v>
      </c>
      <c r="K31" s="41"/>
    </row>
    <row r="32" spans="1:11">
      <c r="A32" s="26"/>
      <c r="B32" s="59"/>
      <c r="C32" s="48" t="s">
        <v>48</v>
      </c>
      <c r="D32" s="22">
        <f>8883*1000000</f>
        <v>8883000000</v>
      </c>
      <c r="E32" s="6">
        <f>IFERROR(INDEX('US Population, 1990-2015'!$B$2:$B$27, MATCH('Cost Estimates'!I32, 'US Population, 1990-2015'!$A$2:$A$27, 0)), "")</f>
        <v>282187553</v>
      </c>
      <c r="F32" s="6">
        <f t="shared" si="0"/>
        <v>31.479063855094985</v>
      </c>
      <c r="G32" s="83">
        <f>('Cost Estimates'!D32*'CPI, 1985-2015'!$B$40/INDEX('CPI, 1985-2015'!$B$12:$B$42, MATCH('Cost Estimates'!I32, 'CPI, 1985-2015'!$A$12:$A$42, 0)))/E32</f>
        <v>42.944305832649718</v>
      </c>
      <c r="H32" s="83">
        <f>('Cost Estimates'!D32*'CPI, 1985-2015'!$B$41/INDEX('CPI, 1985-2015'!$B$12:$B$42, MATCH('Cost Estimates'!I32, 'CPI, 1985-2015'!$A$12:$A$42, 0)))/$E32</f>
        <v>43.622373819481034</v>
      </c>
      <c r="I32" s="37">
        <v>2000</v>
      </c>
      <c r="J32" s="59"/>
      <c r="K32" s="27"/>
    </row>
    <row r="33" spans="1:11">
      <c r="A33" s="26"/>
      <c r="B33" s="33"/>
      <c r="C33" s="48" t="s">
        <v>49</v>
      </c>
      <c r="D33" s="22">
        <f>6803*1000000</f>
        <v>6803000000</v>
      </c>
      <c r="E33" s="6">
        <f>IFERROR(INDEX('US Population, 1990-2015'!$B$2:$B$27, MATCH('Cost Estimates'!I33, 'US Population, 1990-2015'!$A$2:$A$27, 0)), "")</f>
        <v>282187553</v>
      </c>
      <c r="F33" s="6">
        <f t="shared" si="0"/>
        <v>24.10807963595758</v>
      </c>
      <c r="G33" s="83">
        <f>('Cost Estimates'!D33*'CPI, 1985-2015'!$B$40/INDEX('CPI, 1985-2015'!$B$12:$B$42, MATCH('Cost Estimates'!I33, 'CPI, 1985-2015'!$A$12:$A$42, 0)))/E33</f>
        <v>32.888676413319381</v>
      </c>
      <c r="H33" s="83">
        <f>('Cost Estimates'!D33*'CPI, 1985-2015'!$B$41/INDEX('CPI, 1985-2015'!$B$12:$B$42, MATCH('Cost Estimates'!I33, 'CPI, 1985-2015'!$A$12:$A$42, 0)))/$E33</f>
        <v>33.407971304055998</v>
      </c>
      <c r="I33" s="37">
        <v>2000</v>
      </c>
      <c r="J33" s="59"/>
      <c r="K33" s="27"/>
    </row>
    <row r="34" spans="1:11">
      <c r="A34" s="26"/>
      <c r="B34" s="33"/>
      <c r="C34" s="48" t="s">
        <v>50</v>
      </c>
      <c r="D34" s="22">
        <f>10400*1000000</f>
        <v>10400000000</v>
      </c>
      <c r="E34" s="6">
        <f>IFERROR(INDEX('US Population, 1990-2015'!$B$2:$B$27, MATCH('Cost Estimates'!I34, 'US Population, 1990-2015'!$A$2:$A$27, 0)), "")</f>
        <v>282187553</v>
      </c>
      <c r="F34" s="6">
        <f t="shared" si="0"/>
        <v>36.854921095687025</v>
      </c>
      <c r="G34" s="83">
        <f>('Cost Estimates'!D34*'CPI, 1985-2015'!$B$40/INDEX('CPI, 1985-2015'!$B$12:$B$42, MATCH('Cost Estimates'!I34, 'CPI, 1985-2015'!$A$12:$A$42, 0)))/E34</f>
        <v>50.278147096651701</v>
      </c>
      <c r="H34" s="83">
        <f>('Cost Estimates'!D34*'CPI, 1985-2015'!$B$41/INDEX('CPI, 1985-2015'!$B$12:$B$42, MATCH('Cost Estimates'!I34, 'CPI, 1985-2015'!$A$12:$A$42, 0)))/$E34</f>
        <v>51.07201257712515</v>
      </c>
      <c r="I34" s="37">
        <v>2000</v>
      </c>
      <c r="J34" s="59"/>
      <c r="K34" s="27"/>
    </row>
    <row r="35" spans="1:11">
      <c r="A35" s="26"/>
      <c r="B35" s="36" t="s">
        <v>11</v>
      </c>
      <c r="C35" s="36" t="s">
        <v>52</v>
      </c>
      <c r="D35" s="10">
        <f>51543*1000000</f>
        <v>51543000000</v>
      </c>
      <c r="E35" s="6">
        <f>IFERROR(INDEX('US Population, 1990-2015'!$B$2:$B$27, MATCH('Cost Estimates'!I35, 'US Population, 1990-2015'!$A$2:$A$27, 0)), "")</f>
        <v>282187553</v>
      </c>
      <c r="F35" s="6">
        <f t="shared" si="0"/>
        <v>182.65511519567272</v>
      </c>
      <c r="G35" s="83">
        <f>('Cost Estimates'!D35*'CPI, 1985-2015'!$B$40/INDEX('CPI, 1985-2015'!$B$12:$B$42, MATCH('Cost Estimates'!I35, 'CPI, 1985-2015'!$A$12:$A$42, 0)))/E35</f>
        <v>249.18139767333832</v>
      </c>
      <c r="H35" s="83">
        <f>('Cost Estimates'!D35*'CPI, 1985-2015'!$B$41/INDEX('CPI, 1985-2015'!$B$12:$B$42, MATCH('Cost Estimates'!I35, 'CPI, 1985-2015'!$A$12:$A$42, 0)))/$E35</f>
        <v>253.11584079449631</v>
      </c>
      <c r="I35" s="37">
        <v>2000</v>
      </c>
      <c r="J35" s="59"/>
      <c r="K35" s="27"/>
    </row>
    <row r="36" spans="1:11">
      <c r="A36" s="26"/>
      <c r="B36" s="33"/>
      <c r="C36" s="48" t="s">
        <v>53</v>
      </c>
      <c r="D36" s="12">
        <f>36248*1000000</f>
        <v>36248000000</v>
      </c>
      <c r="E36" s="6">
        <f>IFERROR(INDEX('US Population, 1990-2015'!$B$2:$B$27, MATCH('Cost Estimates'!I36, 'US Population, 1990-2015'!$A$2:$A$27, 0)), "")</f>
        <v>282187553</v>
      </c>
      <c r="F36" s="6">
        <f t="shared" si="0"/>
        <v>128.45357498812146</v>
      </c>
      <c r="G36" s="83">
        <f>('Cost Estimates'!D36*'CPI, 1985-2015'!$B$40/INDEX('CPI, 1985-2015'!$B$12:$B$42, MATCH('Cost Estimates'!I36, 'CPI, 1985-2015'!$A$12:$A$42, 0)))/E36</f>
        <v>175.2386803807145</v>
      </c>
      <c r="H36" s="83">
        <f>('Cost Estimates'!D36*'CPI, 1985-2015'!$B$41/INDEX('CPI, 1985-2015'!$B$12:$B$42, MATCH('Cost Estimates'!I36, 'CPI, 1985-2015'!$A$12:$A$42, 0)))/$E36</f>
        <v>178.00560691304156</v>
      </c>
      <c r="I36" s="37">
        <v>2000</v>
      </c>
      <c r="J36" s="59"/>
      <c r="K36" s="27"/>
    </row>
    <row r="37" spans="1:11">
      <c r="A37" s="29"/>
      <c r="B37" s="47"/>
      <c r="C37" s="34" t="s">
        <v>54</v>
      </c>
      <c r="D37" s="20">
        <f>15295*1000000</f>
        <v>15295000000</v>
      </c>
      <c r="E37" s="6">
        <f>IFERROR(INDEX('US Population, 1990-2015'!$B$2:$B$27, MATCH('Cost Estimates'!I37, 'US Population, 1990-2015'!$A$2:$A$27, 0)), "")</f>
        <v>282187553</v>
      </c>
      <c r="F37" s="6">
        <f t="shared" si="0"/>
        <v>54.201540207551254</v>
      </c>
      <c r="G37" s="83">
        <f>('Cost Estimates'!D37*'CPI, 1985-2015'!$B$40/INDEX('CPI, 1985-2015'!$B$12:$B$42, MATCH('Cost Estimates'!I37, 'CPI, 1985-2015'!$A$12:$A$42, 0)))/E37</f>
        <v>73.942717292623826</v>
      </c>
      <c r="H37" s="83">
        <f>('Cost Estimates'!D37*'CPI, 1985-2015'!$B$41/INDEX('CPI, 1985-2015'!$B$12:$B$42, MATCH('Cost Estimates'!I37, 'CPI, 1985-2015'!$A$12:$A$42, 0)))/$E37</f>
        <v>75.110233881454718</v>
      </c>
      <c r="I37" s="37">
        <v>2000</v>
      </c>
      <c r="J37" s="47"/>
      <c r="K37" s="46"/>
    </row>
    <row r="38" spans="1:11">
      <c r="A38" s="24" t="s">
        <v>59</v>
      </c>
      <c r="B38" s="58" t="s">
        <v>39</v>
      </c>
      <c r="C38" s="39" t="s">
        <v>58</v>
      </c>
      <c r="D38" s="52">
        <f>5040*1000000</f>
        <v>5040000000</v>
      </c>
      <c r="E38" s="6">
        <f>IFERROR(INDEX('US Population, 1990-2015'!$B$2:$B$27, MATCH('Cost Estimates'!I38, 'US Population, 1990-2015'!$A$2:$A$27, 0)), "")</f>
        <v>269424284</v>
      </c>
      <c r="F38" s="6">
        <f t="shared" si="0"/>
        <v>18.70655430599567</v>
      </c>
      <c r="G38" s="83">
        <f>('Cost Estimates'!D38*'CPI, 1985-2015'!$B$40/INDEX('CPI, 1985-2015'!$B$12:$B$42, MATCH('Cost Estimates'!I38, 'CPI, 1985-2015'!$A$12:$A$42, 0)))/E38</f>
        <v>27.899904958450016</v>
      </c>
      <c r="H38" s="83">
        <f>('Cost Estimates'!D38*'CPI, 1985-2015'!$B$41/INDEX('CPI, 1985-2015'!$B$12:$B$42, MATCH('Cost Estimates'!I38, 'CPI, 1985-2015'!$A$12:$A$42, 0)))/$E38</f>
        <v>28.340429773583438</v>
      </c>
      <c r="I38" s="40">
        <v>1996</v>
      </c>
      <c r="J38" s="58" t="s">
        <v>60</v>
      </c>
      <c r="K38" s="61" t="s">
        <v>65</v>
      </c>
    </row>
    <row r="39" spans="1:11">
      <c r="A39" s="26"/>
      <c r="B39" s="59"/>
      <c r="C39" s="42" t="s">
        <v>55</v>
      </c>
      <c r="D39" s="53">
        <f>1241*1000000</f>
        <v>1241000000</v>
      </c>
      <c r="E39" s="6">
        <f>IFERROR(INDEX('US Population, 1990-2015'!$B$2:$B$27, MATCH('Cost Estimates'!I39, 'US Population, 1990-2015'!$A$2:$A$27, 0)), "")</f>
        <v>269424284</v>
      </c>
      <c r="F39" s="6">
        <f t="shared" si="0"/>
        <v>4.6061178360596475</v>
      </c>
      <c r="G39" s="83">
        <f>('Cost Estimates'!D39*'CPI, 1985-2015'!$B$40/INDEX('CPI, 1985-2015'!$B$12:$B$42, MATCH('Cost Estimates'!I39, 'CPI, 1985-2015'!$A$12:$A$42, 0)))/E39</f>
        <v>6.8697980264754905</v>
      </c>
      <c r="H39" s="83">
        <f>('Cost Estimates'!D39*'CPI, 1985-2015'!$B$41/INDEX('CPI, 1985-2015'!$B$12:$B$42, MATCH('Cost Estimates'!I39, 'CPI, 1985-2015'!$A$12:$A$42, 0)))/$E39</f>
        <v>6.9782685216303664</v>
      </c>
      <c r="I39" s="40">
        <v>1996</v>
      </c>
      <c r="J39" s="59"/>
      <c r="K39" s="62"/>
    </row>
    <row r="40" spans="1:11">
      <c r="A40" s="26"/>
      <c r="B40" s="33"/>
      <c r="C40" s="42" t="s">
        <v>56</v>
      </c>
      <c r="D40" s="53">
        <f>3570*1000000</f>
        <v>3570000000</v>
      </c>
      <c r="E40" s="6">
        <f>IFERROR(INDEX('US Population, 1990-2015'!$B$2:$B$27, MATCH('Cost Estimates'!I40, 'US Population, 1990-2015'!$A$2:$A$27, 0)), "")</f>
        <v>269424284</v>
      </c>
      <c r="F40" s="6">
        <f t="shared" si="0"/>
        <v>13.250475966746933</v>
      </c>
      <c r="G40" s="83">
        <f>('Cost Estimates'!D40*'CPI, 1985-2015'!$B$40/INDEX('CPI, 1985-2015'!$B$12:$B$42, MATCH('Cost Estimates'!I40, 'CPI, 1985-2015'!$A$12:$A$42, 0)))/E40</f>
        <v>19.762432678902094</v>
      </c>
      <c r="H40" s="83">
        <f>('Cost Estimates'!D40*'CPI, 1985-2015'!$B$41/INDEX('CPI, 1985-2015'!$B$12:$B$42, MATCH('Cost Estimates'!I40, 'CPI, 1985-2015'!$A$12:$A$42, 0)))/$E40</f>
        <v>20.074471089621603</v>
      </c>
      <c r="I40" s="40">
        <v>1996</v>
      </c>
      <c r="J40" s="59"/>
      <c r="K40" s="62"/>
    </row>
    <row r="41" spans="1:11">
      <c r="A41" s="26"/>
      <c r="B41" s="47"/>
      <c r="C41" s="45" t="s">
        <v>57</v>
      </c>
      <c r="D41" s="54">
        <f>229*1000000</f>
        <v>229000000</v>
      </c>
      <c r="E41" s="6">
        <f>IFERROR(INDEX('US Population, 1990-2015'!$B$2:$B$27, MATCH('Cost Estimates'!I41, 'US Population, 1990-2015'!$A$2:$A$27, 0)), "")</f>
        <v>269424284</v>
      </c>
      <c r="F41" s="6">
        <f t="shared" si="0"/>
        <v>0.84996050318908889</v>
      </c>
      <c r="G41" s="83">
        <f>('Cost Estimates'!D41*'CPI, 1985-2015'!$B$40/INDEX('CPI, 1985-2015'!$B$12:$B$42, MATCH('Cost Estimates'!I41, 'CPI, 1985-2015'!$A$12:$A$42, 0)))/E41</f>
        <v>1.2676742530724312</v>
      </c>
      <c r="H41" s="83">
        <f>('Cost Estimates'!D41*'CPI, 1985-2015'!$B$41/INDEX('CPI, 1985-2015'!$B$12:$B$42, MATCH('Cost Estimates'!I41, 'CPI, 1985-2015'!$A$12:$A$42, 0)))/$E41</f>
        <v>1.2876901623314698</v>
      </c>
      <c r="I41" s="40">
        <v>1996</v>
      </c>
      <c r="J41" s="59"/>
      <c r="K41" s="62"/>
    </row>
    <row r="42" spans="1:11" ht="30">
      <c r="A42" s="26"/>
      <c r="B42" s="4" t="s">
        <v>11</v>
      </c>
      <c r="C42" s="55" t="s">
        <v>61</v>
      </c>
      <c r="D42" s="6">
        <f>11513*1000000</f>
        <v>11513000000</v>
      </c>
      <c r="E42" s="6">
        <f>IFERROR(INDEX('US Population, 1990-2015'!$B$2:$B$27, MATCH('Cost Estimates'!I42, 'US Population, 1990-2015'!$A$2:$A$27, 0)), "")</f>
        <v>269424284</v>
      </c>
      <c r="F42" s="6">
        <f t="shared" si="0"/>
        <v>42.731857088279391</v>
      </c>
      <c r="G42" s="83">
        <f>('Cost Estimates'!D42*'CPI, 1985-2015'!$B$40/INDEX('CPI, 1985-2015'!$B$12:$B$42, MATCH('Cost Estimates'!I42, 'CPI, 1985-2015'!$A$12:$A$42, 0)))/E42</f>
        <v>63.732461465602185</v>
      </c>
      <c r="H42" s="83">
        <f>('Cost Estimates'!D42*'CPI, 1985-2015'!$B$41/INDEX('CPI, 1985-2015'!$B$12:$B$42, MATCH('Cost Estimates'!I42, 'CPI, 1985-2015'!$A$12:$A$42, 0)))/$E42</f>
        <v>64.738763488743274</v>
      </c>
      <c r="I42" s="40">
        <v>1996</v>
      </c>
      <c r="J42" s="59"/>
      <c r="K42" s="5" t="s">
        <v>63</v>
      </c>
    </row>
    <row r="43" spans="1:11" ht="30">
      <c r="A43" s="29"/>
      <c r="B43" s="51" t="s">
        <v>9</v>
      </c>
      <c r="C43" s="44" t="s">
        <v>62</v>
      </c>
      <c r="D43" s="54">
        <f>5220*1000000</f>
        <v>5220000000</v>
      </c>
      <c r="E43" s="6">
        <f>IFERROR(INDEX('US Population, 1990-2015'!$B$2:$B$27, MATCH('Cost Estimates'!I43, 'US Population, 1990-2015'!$A$2:$A$27, 0)), "")</f>
        <v>269424284</v>
      </c>
      <c r="F43" s="6">
        <f t="shared" si="0"/>
        <v>19.374645531209801</v>
      </c>
      <c r="G43" s="83">
        <f>('Cost Estimates'!D43*'CPI, 1985-2015'!$B$40/INDEX('CPI, 1985-2015'!$B$12:$B$42, MATCH('Cost Estimates'!I43, 'CPI, 1985-2015'!$A$12:$A$42, 0)))/E43</f>
        <v>28.896330135537518</v>
      </c>
      <c r="H43" s="83">
        <f>('Cost Estimates'!D43*'CPI, 1985-2015'!$B$41/INDEX('CPI, 1985-2015'!$B$12:$B$42, MATCH('Cost Estimates'!I43, 'CPI, 1985-2015'!$A$12:$A$42, 0)))/$E43</f>
        <v>29.352587979782847</v>
      </c>
      <c r="I43" s="40">
        <v>1996</v>
      </c>
      <c r="J43" s="60"/>
      <c r="K43" s="50" t="s">
        <v>64</v>
      </c>
    </row>
    <row r="44" spans="1:11" ht="15" customHeight="1">
      <c r="A44" s="58" t="s">
        <v>66</v>
      </c>
      <c r="B44" s="56" t="s">
        <v>39</v>
      </c>
      <c r="C44" s="36" t="s">
        <v>58</v>
      </c>
      <c r="D44" s="52">
        <f>(2219.82+752.04)*1000000</f>
        <v>2971860000</v>
      </c>
      <c r="E44" s="6">
        <f>IFERROR(INDEX('US Population, 1990-2015'!$B$2:$B$27, MATCH('Cost Estimates'!I44, 'US Population, 1990-2015'!$A$2:$A$27, 0)), "")</f>
        <v>296987570</v>
      </c>
      <c r="F44" s="6">
        <f t="shared" si="0"/>
        <v>10.006681424411129</v>
      </c>
      <c r="G44" s="83">
        <f>('Cost Estimates'!D44*'CPI, 1985-2015'!$B$40/INDEX('CPI, 1985-2015'!$B$12:$B$42, MATCH('Cost Estimates'!I44, 'CPI, 1985-2015'!$A$12:$A$42, 0)))/E44</f>
        <v>11.620466961237492</v>
      </c>
      <c r="H44" s="83">
        <f>('Cost Estimates'!D44*'CPI, 1985-2015'!$B$41/INDEX('CPI, 1985-2015'!$B$12:$B$42, MATCH('Cost Estimates'!I44, 'CPI, 1985-2015'!$A$12:$A$42, 0)))/$E44</f>
        <v>11.80394801852019</v>
      </c>
      <c r="I44" s="40">
        <v>2006</v>
      </c>
      <c r="J44" s="58" t="s">
        <v>71</v>
      </c>
      <c r="K44" s="41"/>
    </row>
    <row r="45" spans="1:11">
      <c r="A45" s="59"/>
      <c r="B45" s="57"/>
      <c r="C45" s="48" t="s">
        <v>48</v>
      </c>
      <c r="D45" s="53">
        <f>411.11*1000000</f>
        <v>411110000</v>
      </c>
      <c r="E45" s="6">
        <f>IFERROR(INDEX('US Population, 1990-2015'!$B$2:$B$27, MATCH('Cost Estimates'!I45, 'US Population, 1990-2015'!$A$2:$A$27, 0)), "")</f>
        <v>296987570</v>
      </c>
      <c r="F45" s="6">
        <f t="shared" si="0"/>
        <v>1.3842666883331178</v>
      </c>
      <c r="G45" s="83">
        <f>('Cost Estimates'!D45*'CPI, 1985-2015'!$B$40/INDEX('CPI, 1985-2015'!$B$12:$B$42, MATCH('Cost Estimates'!I45, 'CPI, 1985-2015'!$A$12:$A$42, 0)))/E45</f>
        <v>1.6075084870869911</v>
      </c>
      <c r="H45" s="83">
        <f>('Cost Estimates'!D45*'CPI, 1985-2015'!$B$41/INDEX('CPI, 1985-2015'!$B$12:$B$42, MATCH('Cost Estimates'!I45, 'CPI, 1985-2015'!$A$12:$A$42, 0)))/$E45</f>
        <v>1.6328902000409964</v>
      </c>
      <c r="I45" s="40">
        <v>2006</v>
      </c>
      <c r="J45" s="59"/>
      <c r="K45" s="27"/>
    </row>
    <row r="46" spans="1:11">
      <c r="A46" s="59"/>
      <c r="B46" s="43"/>
      <c r="C46" s="48" t="s">
        <v>49</v>
      </c>
      <c r="D46" s="53">
        <f>325.26*1000000</f>
        <v>325260000</v>
      </c>
      <c r="E46" s="6">
        <f>IFERROR(INDEX('US Population, 1990-2015'!$B$2:$B$27, MATCH('Cost Estimates'!I46, 'US Population, 1990-2015'!$A$2:$A$27, 0)), "")</f>
        <v>296987570</v>
      </c>
      <c r="F46" s="6">
        <f t="shared" si="0"/>
        <v>1.0951973511888056</v>
      </c>
      <c r="G46" s="83">
        <f>('Cost Estimates'!D46*'CPI, 1985-2015'!$B$40/INDEX('CPI, 1985-2015'!$B$12:$B$42, MATCH('Cost Estimates'!I46, 'CPI, 1985-2015'!$A$12:$A$42, 0)))/E46</f>
        <v>1.2718207061611606</v>
      </c>
      <c r="H46" s="83">
        <f>('Cost Estimates'!D46*'CPI, 1985-2015'!$B$41/INDEX('CPI, 1985-2015'!$B$12:$B$42, MATCH('Cost Estimates'!I46, 'CPI, 1985-2015'!$A$12:$A$42, 0)))/$E46</f>
        <v>1.2919020857321262</v>
      </c>
      <c r="I46" s="40">
        <v>2006</v>
      </c>
      <c r="J46" s="59"/>
      <c r="K46" s="27"/>
    </row>
    <row r="47" spans="1:11">
      <c r="A47" s="33"/>
      <c r="B47" s="43"/>
      <c r="C47" s="48" t="s">
        <v>67</v>
      </c>
      <c r="D47" s="53">
        <f>362.62*1000000</f>
        <v>362620000</v>
      </c>
      <c r="E47" s="6">
        <f>IFERROR(INDEX('US Population, 1990-2015'!$B$2:$B$27, MATCH('Cost Estimates'!I47, 'US Population, 1990-2015'!$A$2:$A$27, 0)), "")</f>
        <v>296987570</v>
      </c>
      <c r="F47" s="6">
        <f t="shared" si="0"/>
        <v>1.2209938617969769</v>
      </c>
      <c r="G47" s="83">
        <f>('Cost Estimates'!D47*'CPI, 1985-2015'!$B$40/INDEX('CPI, 1985-2015'!$B$12:$B$42, MATCH('Cost Estimates'!I47, 'CPI, 1985-2015'!$A$12:$A$42, 0)))/E47</f>
        <v>1.4179045209006949</v>
      </c>
      <c r="H47" s="83">
        <f>('Cost Estimates'!D47*'CPI, 1985-2015'!$B$41/INDEX('CPI, 1985-2015'!$B$12:$B$42, MATCH('Cost Estimates'!I47, 'CPI, 1985-2015'!$A$12:$A$42, 0)))/$E47</f>
        <v>1.4402924870201796</v>
      </c>
      <c r="I47" s="40">
        <v>2006</v>
      </c>
      <c r="J47" s="59"/>
      <c r="K47" s="27"/>
    </row>
    <row r="48" spans="1:11">
      <c r="A48" s="33"/>
      <c r="B48" s="43"/>
      <c r="C48" s="48" t="s">
        <v>68</v>
      </c>
      <c r="D48" s="53">
        <f>1120.83*1000000</f>
        <v>1120830000</v>
      </c>
      <c r="E48" s="6">
        <f>IFERROR(INDEX('US Population, 1990-2015'!$B$2:$B$27, MATCH('Cost Estimates'!I48, 'US Population, 1990-2015'!$A$2:$A$27, 0)), "")</f>
        <v>296987570</v>
      </c>
      <c r="F48" s="6">
        <f t="shared" si="0"/>
        <v>3.773996332573784</v>
      </c>
      <c r="G48" s="83">
        <f>('Cost Estimates'!D48*'CPI, 1985-2015'!$B$40/INDEX('CPI, 1985-2015'!$B$12:$B$42, MATCH('Cost Estimates'!I48, 'CPI, 1985-2015'!$A$12:$A$42, 0)))/E48</f>
        <v>4.3826317471764549</v>
      </c>
      <c r="H48" s="83">
        <f>('Cost Estimates'!D48*'CPI, 1985-2015'!$B$41/INDEX('CPI, 1985-2015'!$B$12:$B$42, MATCH('Cost Estimates'!I48, 'CPI, 1985-2015'!$A$12:$A$42, 0)))/$E48</f>
        <v>4.4518311958160828</v>
      </c>
      <c r="I48" s="40">
        <v>2006</v>
      </c>
      <c r="J48" s="59"/>
      <c r="K48" s="27"/>
    </row>
    <row r="49" spans="1:11">
      <c r="A49" s="33"/>
      <c r="B49" s="43"/>
      <c r="C49" s="34" t="s">
        <v>56</v>
      </c>
      <c r="D49" s="54">
        <f>752.04*1000000</f>
        <v>752040000</v>
      </c>
      <c r="E49" s="6">
        <f>IFERROR(INDEX('US Population, 1990-2015'!$B$2:$B$27, MATCH('Cost Estimates'!I49, 'US Population, 1990-2015'!$A$2:$A$27, 0)), "")</f>
        <v>296987570</v>
      </c>
      <c r="F49" s="6">
        <f t="shared" si="0"/>
        <v>2.5322271905184448</v>
      </c>
      <c r="G49" s="83">
        <f>('Cost Estimates'!D49*'CPI, 1985-2015'!$B$40/INDEX('CPI, 1985-2015'!$B$12:$B$42, MATCH('Cost Estimates'!I49, 'CPI, 1985-2015'!$A$12:$A$42, 0)))/E49</f>
        <v>2.9406014999121912</v>
      </c>
      <c r="H49" s="83">
        <f>('Cost Estimates'!D49*'CPI, 1985-2015'!$B$41/INDEX('CPI, 1985-2015'!$B$12:$B$42, MATCH('Cost Estimates'!I49, 'CPI, 1985-2015'!$A$12:$A$42, 0)))/$E49</f>
        <v>2.9870320499108045</v>
      </c>
      <c r="I49" s="40">
        <v>2006</v>
      </c>
      <c r="J49" s="59"/>
      <c r="K49" s="27"/>
    </row>
    <row r="50" spans="1:11">
      <c r="A50" s="33"/>
      <c r="B50" s="36" t="s">
        <v>11</v>
      </c>
      <c r="C50" s="36" t="s">
        <v>61</v>
      </c>
      <c r="D50" s="52">
        <f>42029.23*1000000</f>
        <v>42029230000</v>
      </c>
      <c r="E50" s="6">
        <f>IFERROR(INDEX('US Population, 1990-2015'!$B$2:$B$27, MATCH('Cost Estimates'!I50, 'US Population, 1990-2015'!$A$2:$A$27, 0)), "")</f>
        <v>296987570</v>
      </c>
      <c r="F50" s="6">
        <f t="shared" si="0"/>
        <v>141.51848173309071</v>
      </c>
      <c r="G50" s="83">
        <f>('Cost Estimates'!D50*'CPI, 1985-2015'!$B$40/INDEX('CPI, 1985-2015'!$B$12:$B$42, MATCH('Cost Estimates'!I50, 'CPI, 1985-2015'!$A$12:$A$42, 0)))/E50</f>
        <v>164.3412807538887</v>
      </c>
      <c r="H50" s="83">
        <f>('Cost Estimates'!D50*'CPI, 1985-2015'!$B$41/INDEX('CPI, 1985-2015'!$B$12:$B$42, MATCH('Cost Estimates'!I50, 'CPI, 1985-2015'!$A$12:$A$42, 0)))/$E50</f>
        <v>166.93614308158166</v>
      </c>
      <c r="I50" s="40">
        <v>2006</v>
      </c>
      <c r="J50" s="59"/>
      <c r="K50" s="27"/>
    </row>
    <row r="51" spans="1:11">
      <c r="A51" s="33"/>
      <c r="B51" s="33"/>
      <c r="C51" s="48" t="s">
        <v>41</v>
      </c>
      <c r="D51" s="53">
        <f>12405.7*1000000</f>
        <v>12405700000</v>
      </c>
      <c r="E51" s="6">
        <f>IFERROR(INDEX('US Population, 1990-2015'!$B$2:$B$27, MATCH('Cost Estimates'!I51, 'US Population, 1990-2015'!$A$2:$A$27, 0)), "")</f>
        <v>296987570</v>
      </c>
      <c r="F51" s="6">
        <f t="shared" si="0"/>
        <v>41.771781896461185</v>
      </c>
      <c r="G51" s="83">
        <f>('Cost Estimates'!D51*'CPI, 1985-2015'!$B$40/INDEX('CPI, 1985-2015'!$B$12:$B$42, MATCH('Cost Estimates'!I51, 'CPI, 1985-2015'!$A$12:$A$42, 0)))/E51</f>
        <v>48.508350656162797</v>
      </c>
      <c r="H51" s="83">
        <f>('Cost Estimates'!D51*'CPI, 1985-2015'!$B$41/INDEX('CPI, 1985-2015'!$B$12:$B$42, MATCH('Cost Estimates'!I51, 'CPI, 1985-2015'!$A$12:$A$42, 0)))/$E51</f>
        <v>49.274271982312733</v>
      </c>
      <c r="I51" s="40">
        <v>2006</v>
      </c>
      <c r="J51" s="59"/>
      <c r="K51" s="27"/>
    </row>
    <row r="52" spans="1:11">
      <c r="A52" s="33"/>
      <c r="B52" s="33"/>
      <c r="C52" s="48" t="s">
        <v>69</v>
      </c>
      <c r="D52" s="53">
        <f>14731.64*1000000</f>
        <v>14731640000</v>
      </c>
      <c r="E52" s="6">
        <f>IFERROR(INDEX('US Population, 1990-2015'!$B$2:$B$27, MATCH('Cost Estimates'!I52, 'US Population, 1990-2015'!$A$2:$A$27, 0)), "")</f>
        <v>296987570</v>
      </c>
      <c r="F52" s="6">
        <f t="shared" si="0"/>
        <v>49.603557482220552</v>
      </c>
      <c r="G52" s="83">
        <f>('Cost Estimates'!D52*'CPI, 1985-2015'!$B$40/INDEX('CPI, 1985-2015'!$B$12:$B$42, MATCH('Cost Estimates'!I52, 'CPI, 1985-2015'!$A$12:$A$42, 0)))/E52</f>
        <v>57.603162970276088</v>
      </c>
      <c r="H52" s="83">
        <f>('Cost Estimates'!D52*'CPI, 1985-2015'!$B$41/INDEX('CPI, 1985-2015'!$B$12:$B$42, MATCH('Cost Estimates'!I52, 'CPI, 1985-2015'!$A$12:$A$42, 0)))/$E52</f>
        <v>58.512686596122549</v>
      </c>
      <c r="I52" s="40">
        <v>2006</v>
      </c>
      <c r="J52" s="59"/>
      <c r="K52" s="27"/>
    </row>
    <row r="53" spans="1:11">
      <c r="A53" s="33"/>
      <c r="B53" s="47"/>
      <c r="C53" s="34" t="s">
        <v>70</v>
      </c>
      <c r="D53" s="54">
        <f>14891.89*1000000</f>
        <v>14891890000</v>
      </c>
      <c r="E53" s="6">
        <f>IFERROR(INDEX('US Population, 1990-2015'!$B$2:$B$27, MATCH('Cost Estimates'!I53, 'US Population, 1990-2015'!$A$2:$A$27, 0)), "")</f>
        <v>296987570</v>
      </c>
      <c r="F53" s="6">
        <f t="shared" si="0"/>
        <v>50.143142354408972</v>
      </c>
      <c r="G53" s="83">
        <f>('Cost Estimates'!D53*'CPI, 1985-2015'!$B$40/INDEX('CPI, 1985-2015'!$B$12:$B$42, MATCH('Cost Estimates'!I53, 'CPI, 1985-2015'!$A$12:$A$42, 0)))/E53</f>
        <v>58.229767127449804</v>
      </c>
      <c r="H53" s="83">
        <f>('Cost Estimates'!D53*'CPI, 1985-2015'!$B$41/INDEX('CPI, 1985-2015'!$B$12:$B$42, MATCH('Cost Estimates'!I53, 'CPI, 1985-2015'!$A$12:$A$42, 0)))/$E53</f>
        <v>59.149184503146387</v>
      </c>
      <c r="I53" s="40">
        <v>2006</v>
      </c>
      <c r="J53" s="59"/>
      <c r="K53" s="27"/>
    </row>
    <row r="54" spans="1:11" s="44" customFormat="1" ht="30">
      <c r="A54" s="47"/>
      <c r="B54" s="49" t="s">
        <v>9</v>
      </c>
      <c r="C54" s="47" t="s">
        <v>42</v>
      </c>
      <c r="D54" s="54">
        <f>8219.41*1000000</f>
        <v>8219410000</v>
      </c>
      <c r="E54" s="6">
        <f>IFERROR(INDEX('US Population, 1990-2015'!$B$2:$B$27, MATCH('Cost Estimates'!I54, 'US Population, 1990-2015'!$A$2:$A$27, 0)), "")</f>
        <v>296987570</v>
      </c>
      <c r="F54" s="6">
        <f t="shared" si="0"/>
        <v>27.675939434098201</v>
      </c>
      <c r="G54" s="83">
        <f>('Cost Estimates'!D54*'CPI, 1985-2015'!$B$40/INDEX('CPI, 1985-2015'!$B$12:$B$42, MATCH('Cost Estimates'!I54, 'CPI, 1985-2015'!$A$12:$A$42, 0)))/E54</f>
        <v>32.139260377630528</v>
      </c>
      <c r="H54" s="83">
        <f>('Cost Estimates'!D54*'CPI, 1985-2015'!$B$41/INDEX('CPI, 1985-2015'!$B$12:$B$42, MATCH('Cost Estimates'!I54, 'CPI, 1985-2015'!$A$12:$A$42, 0)))/$E54</f>
        <v>32.646722383593115</v>
      </c>
      <c r="I54" s="85">
        <v>2006</v>
      </c>
      <c r="J54" s="60"/>
      <c r="K54" s="5" t="s">
        <v>64</v>
      </c>
    </row>
    <row r="55" spans="1:11">
      <c r="D55" s="38"/>
      <c r="E55" s="38"/>
      <c r="F55" s="38"/>
    </row>
    <row r="56" spans="1:11">
      <c r="D56" s="38"/>
      <c r="E56" s="38"/>
      <c r="F56" s="38"/>
    </row>
    <row r="57" spans="1:11">
      <c r="D57" s="38"/>
      <c r="E57" s="38"/>
      <c r="F57" s="38"/>
    </row>
    <row r="58" spans="1:11">
      <c r="D58" s="38"/>
      <c r="E58" s="38"/>
      <c r="F58" s="38"/>
    </row>
    <row r="59" spans="1:11">
      <c r="D59" s="38"/>
      <c r="E59" s="38"/>
      <c r="F59" s="38"/>
    </row>
    <row r="60" spans="1:11">
      <c r="D60" s="38"/>
      <c r="E60" s="38"/>
      <c r="F60" s="38"/>
    </row>
    <row r="61" spans="1:11">
      <c r="D61" s="38"/>
      <c r="E61" s="38"/>
      <c r="F61" s="38"/>
    </row>
    <row r="62" spans="1:11">
      <c r="D62" s="38"/>
      <c r="E62" s="38"/>
      <c r="F62" s="38"/>
    </row>
    <row r="63" spans="1:11">
      <c r="D63" s="38"/>
      <c r="E63" s="38"/>
      <c r="F63" s="38"/>
    </row>
    <row r="64" spans="1:11">
      <c r="D64" s="38"/>
      <c r="E64" s="38"/>
      <c r="F64" s="38"/>
    </row>
    <row r="65" spans="4:6">
      <c r="D65" s="38"/>
      <c r="E65" s="38"/>
      <c r="F65" s="38"/>
    </row>
    <row r="66" spans="4:6">
      <c r="D66" s="38"/>
      <c r="E66" s="38"/>
      <c r="F66" s="38"/>
    </row>
    <row r="67" spans="4:6">
      <c r="D67" s="38"/>
      <c r="E67" s="38"/>
      <c r="F67" s="38"/>
    </row>
  </sheetData>
  <mergeCells count="17">
    <mergeCell ref="K38:K41"/>
    <mergeCell ref="A8:A18"/>
    <mergeCell ref="B8:B18"/>
    <mergeCell ref="J8:J18"/>
    <mergeCell ref="K8:K18"/>
    <mergeCell ref="K19:K20"/>
    <mergeCell ref="K29:K30"/>
    <mergeCell ref="J19:J30"/>
    <mergeCell ref="A19:A30"/>
    <mergeCell ref="B19:B20"/>
    <mergeCell ref="B44:B45"/>
    <mergeCell ref="A44:A46"/>
    <mergeCell ref="J44:J54"/>
    <mergeCell ref="J31:J36"/>
    <mergeCell ref="B31:B32"/>
    <mergeCell ref="B38:B39"/>
    <mergeCell ref="J38:J43"/>
  </mergeCells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D13" sqref="D13"/>
    </sheetView>
  </sheetViews>
  <sheetFormatPr baseColWidth="10" defaultRowHeight="15" x14ac:dyDescent="0"/>
  <sheetData>
    <row r="1" spans="1:6">
      <c r="A1" s="71" t="s">
        <v>72</v>
      </c>
      <c r="B1" s="72"/>
      <c r="C1" s="72"/>
      <c r="D1" s="72"/>
      <c r="E1" s="72"/>
      <c r="F1" s="72"/>
    </row>
    <row r="2" spans="1:6">
      <c r="A2" s="71" t="s">
        <v>73</v>
      </c>
      <c r="B2" s="72"/>
      <c r="C2" s="72"/>
      <c r="D2" s="72"/>
      <c r="E2" s="72"/>
      <c r="F2" s="72"/>
    </row>
    <row r="3" spans="1:6">
      <c r="A3" s="72"/>
      <c r="B3" s="72"/>
      <c r="C3" s="72"/>
      <c r="D3" s="72"/>
      <c r="E3" s="72"/>
      <c r="F3" s="72"/>
    </row>
    <row r="4" spans="1:6">
      <c r="A4" s="73" t="s">
        <v>74</v>
      </c>
      <c r="B4" s="74" t="s">
        <v>75</v>
      </c>
      <c r="C4" s="72"/>
      <c r="D4" s="72"/>
      <c r="E4" s="72"/>
      <c r="F4" s="72"/>
    </row>
    <row r="5" spans="1:6">
      <c r="A5" s="75" t="s">
        <v>76</v>
      </c>
      <c r="B5" s="72"/>
      <c r="C5" s="72"/>
      <c r="D5" s="72"/>
      <c r="E5" s="72"/>
      <c r="F5" s="72"/>
    </row>
    <row r="6" spans="1:6">
      <c r="A6" s="73" t="s">
        <v>77</v>
      </c>
      <c r="B6" s="74" t="s">
        <v>78</v>
      </c>
      <c r="C6" s="72"/>
      <c r="D6" s="72"/>
      <c r="E6" s="72"/>
      <c r="F6" s="72"/>
    </row>
    <row r="7" spans="1:6">
      <c r="A7" s="73" t="s">
        <v>79</v>
      </c>
      <c r="B7" s="74" t="s">
        <v>80</v>
      </c>
      <c r="C7" s="72"/>
      <c r="D7" s="72"/>
      <c r="E7" s="72"/>
      <c r="F7" s="72"/>
    </row>
    <row r="8" spans="1:6" ht="24">
      <c r="A8" s="73" t="s">
        <v>81</v>
      </c>
      <c r="B8" s="74" t="s">
        <v>82</v>
      </c>
      <c r="C8" s="72"/>
      <c r="D8" s="72"/>
      <c r="E8" s="72"/>
      <c r="F8" s="72"/>
    </row>
    <row r="9" spans="1:6">
      <c r="A9" s="73" t="s">
        <v>83</v>
      </c>
      <c r="B9" s="76" t="s">
        <v>85</v>
      </c>
      <c r="C9" s="72"/>
      <c r="D9" s="72"/>
      <c r="E9" s="72"/>
      <c r="F9" s="72"/>
    </row>
    <row r="11" spans="1:6" ht="16" thickBot="1">
      <c r="A11" s="77" t="s">
        <v>3</v>
      </c>
      <c r="B11" s="77" t="s">
        <v>84</v>
      </c>
    </row>
    <row r="12" spans="1:6" ht="16" thickTop="1">
      <c r="A12" s="78">
        <v>1985</v>
      </c>
      <c r="B12" s="79">
        <v>105.5</v>
      </c>
    </row>
    <row r="13" spans="1:6">
      <c r="A13" s="78">
        <v>1986</v>
      </c>
      <c r="B13" s="79">
        <v>109.6</v>
      </c>
      <c r="D13" t="s">
        <v>94</v>
      </c>
    </row>
    <row r="14" spans="1:6">
      <c r="A14" s="78">
        <v>1987</v>
      </c>
      <c r="B14" s="79">
        <v>111.2</v>
      </c>
    </row>
    <row r="15" spans="1:6">
      <c r="A15" s="78">
        <v>1988</v>
      </c>
      <c r="B15" s="79">
        <v>115.7</v>
      </c>
    </row>
    <row r="16" spans="1:6">
      <c r="A16" s="78">
        <v>1989</v>
      </c>
      <c r="B16" s="79">
        <v>121.1</v>
      </c>
    </row>
    <row r="17" spans="1:2">
      <c r="A17" s="78">
        <v>1990</v>
      </c>
      <c r="B17" s="79">
        <v>127.4</v>
      </c>
    </row>
    <row r="18" spans="1:2">
      <c r="A18" s="78">
        <v>1991</v>
      </c>
      <c r="B18" s="79">
        <v>134.6</v>
      </c>
    </row>
    <row r="19" spans="1:2">
      <c r="A19" s="78">
        <v>1992</v>
      </c>
      <c r="B19" s="79">
        <v>138.1</v>
      </c>
    </row>
    <row r="20" spans="1:2">
      <c r="A20" s="78">
        <v>1993</v>
      </c>
      <c r="B20" s="79">
        <v>142.6</v>
      </c>
    </row>
    <row r="21" spans="1:2">
      <c r="A21" s="78">
        <v>1994</v>
      </c>
      <c r="B21" s="79">
        <v>146.19999999999999</v>
      </c>
    </row>
    <row r="22" spans="1:2">
      <c r="A22" s="78">
        <v>1995</v>
      </c>
      <c r="B22" s="79">
        <v>150.30000000000001</v>
      </c>
    </row>
    <row r="23" spans="1:2">
      <c r="A23" s="78">
        <v>1996</v>
      </c>
      <c r="B23" s="79">
        <v>154.4</v>
      </c>
    </row>
    <row r="24" spans="1:2">
      <c r="A24" s="78">
        <v>1997</v>
      </c>
      <c r="B24" s="79">
        <v>159.1</v>
      </c>
    </row>
    <row r="25" spans="1:2">
      <c r="A25" s="78">
        <v>1998</v>
      </c>
      <c r="B25" s="79">
        <v>161.6</v>
      </c>
    </row>
    <row r="26" spans="1:2">
      <c r="A26" s="78">
        <v>1999</v>
      </c>
      <c r="B26" s="79">
        <v>164.3</v>
      </c>
    </row>
    <row r="27" spans="1:2">
      <c r="A27" s="78">
        <v>2000</v>
      </c>
      <c r="B27" s="79">
        <v>168.8</v>
      </c>
    </row>
    <row r="28" spans="1:2">
      <c r="A28" s="78">
        <v>2001</v>
      </c>
      <c r="B28" s="79">
        <v>175.1</v>
      </c>
    </row>
    <row r="29" spans="1:2">
      <c r="A29" s="78">
        <v>2002</v>
      </c>
      <c r="B29" s="79">
        <v>177.1</v>
      </c>
    </row>
    <row r="30" spans="1:2">
      <c r="A30" s="78">
        <v>2003</v>
      </c>
      <c r="B30" s="79">
        <v>181.7</v>
      </c>
    </row>
    <row r="31" spans="1:2">
      <c r="A31" s="78">
        <v>2004</v>
      </c>
      <c r="B31" s="79">
        <v>185.2</v>
      </c>
    </row>
    <row r="32" spans="1:2">
      <c r="A32" s="78">
        <v>2005</v>
      </c>
      <c r="B32" s="79">
        <v>190.7</v>
      </c>
    </row>
    <row r="33" spans="1:2">
      <c r="A33" s="78">
        <v>2006</v>
      </c>
      <c r="B33" s="79">
        <v>198.3</v>
      </c>
    </row>
    <row r="34" spans="1:2">
      <c r="A34" s="78">
        <v>2007</v>
      </c>
      <c r="B34" s="80">
        <v>202.416</v>
      </c>
    </row>
    <row r="35" spans="1:2">
      <c r="A35" s="78">
        <v>2008</v>
      </c>
      <c r="B35" s="80">
        <v>211.08</v>
      </c>
    </row>
    <row r="36" spans="1:2">
      <c r="A36" s="78">
        <v>2009</v>
      </c>
      <c r="B36" s="80">
        <v>211.143</v>
      </c>
    </row>
    <row r="37" spans="1:2">
      <c r="A37" s="78">
        <v>2010</v>
      </c>
      <c r="B37" s="80">
        <v>216.68700000000001</v>
      </c>
    </row>
    <row r="38" spans="1:2">
      <c r="A38" s="78">
        <v>2011</v>
      </c>
      <c r="B38" s="80">
        <v>220.22300000000001</v>
      </c>
    </row>
    <row r="39" spans="1:2">
      <c r="A39" s="78">
        <v>2012</v>
      </c>
      <c r="B39" s="80">
        <v>226.66499999999999</v>
      </c>
    </row>
    <row r="40" spans="1:2">
      <c r="A40" s="78">
        <v>2013</v>
      </c>
      <c r="B40" s="80">
        <v>230.28</v>
      </c>
    </row>
    <row r="41" spans="1:2">
      <c r="A41" s="78">
        <v>2014</v>
      </c>
      <c r="B41" s="80">
        <v>233.916</v>
      </c>
    </row>
    <row r="42" spans="1:2">
      <c r="A42" s="78">
        <v>2015</v>
      </c>
      <c r="B42" s="80">
        <v>233.70699999999999</v>
      </c>
    </row>
  </sheetData>
  <mergeCells count="9">
    <mergeCell ref="B7:F7"/>
    <mergeCell ref="B8:F8"/>
    <mergeCell ref="B9:F9"/>
    <mergeCell ref="A1:F1"/>
    <mergeCell ref="A2:F2"/>
    <mergeCell ref="A3:F3"/>
    <mergeCell ref="B4:F4"/>
    <mergeCell ref="A5:F5"/>
    <mergeCell ref="B6:F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I16" sqref="I16"/>
    </sheetView>
  </sheetViews>
  <sheetFormatPr baseColWidth="10" defaultRowHeight="15" x14ac:dyDescent="0"/>
  <cols>
    <col min="1" max="1" width="7.5" customWidth="1"/>
  </cols>
  <sheetData>
    <row r="1" spans="1:2">
      <c r="A1" t="s">
        <v>87</v>
      </c>
      <c r="B1" t="s">
        <v>88</v>
      </c>
    </row>
    <row r="2" spans="1:2">
      <c r="A2">
        <v>1990</v>
      </c>
      <c r="B2">
        <v>249651995</v>
      </c>
    </row>
    <row r="3" spans="1:2">
      <c r="A3">
        <v>1991</v>
      </c>
      <c r="B3">
        <v>253012724</v>
      </c>
    </row>
    <row r="4" spans="1:2">
      <c r="A4">
        <v>1992</v>
      </c>
      <c r="B4">
        <v>256525392</v>
      </c>
    </row>
    <row r="5" spans="1:2">
      <c r="A5">
        <v>1993</v>
      </c>
      <c r="B5">
        <v>259949044</v>
      </c>
    </row>
    <row r="6" spans="1:2">
      <c r="A6">
        <v>1994</v>
      </c>
      <c r="B6">
        <v>263154092</v>
      </c>
    </row>
    <row r="7" spans="1:2">
      <c r="A7">
        <v>1995</v>
      </c>
      <c r="B7">
        <v>266306390</v>
      </c>
    </row>
    <row r="8" spans="1:2">
      <c r="A8">
        <v>1996</v>
      </c>
      <c r="B8">
        <v>269424284</v>
      </c>
    </row>
    <row r="9" spans="1:2">
      <c r="A9">
        <v>1997</v>
      </c>
      <c r="B9">
        <v>272678541</v>
      </c>
    </row>
    <row r="10" spans="1:2">
      <c r="A10">
        <v>1998</v>
      </c>
      <c r="B10">
        <v>275883550</v>
      </c>
    </row>
    <row r="11" spans="1:2">
      <c r="A11">
        <v>1999</v>
      </c>
      <c r="B11">
        <v>279069978</v>
      </c>
    </row>
    <row r="12" spans="1:2">
      <c r="A12">
        <v>2000</v>
      </c>
      <c r="B12">
        <v>282187553</v>
      </c>
    </row>
    <row r="13" spans="1:2">
      <c r="A13">
        <v>2001</v>
      </c>
      <c r="B13">
        <v>284993672</v>
      </c>
    </row>
    <row r="14" spans="1:2">
      <c r="A14">
        <v>2002</v>
      </c>
      <c r="B14">
        <v>286340637</v>
      </c>
    </row>
    <row r="15" spans="1:2">
      <c r="A15">
        <v>2003</v>
      </c>
      <c r="B15">
        <v>288998781</v>
      </c>
    </row>
    <row r="16" spans="1:2">
      <c r="A16">
        <v>2004</v>
      </c>
      <c r="B16">
        <v>291553190</v>
      </c>
    </row>
    <row r="17" spans="1:2">
      <c r="A17">
        <v>2005</v>
      </c>
      <c r="B17">
        <v>294230649</v>
      </c>
    </row>
    <row r="18" spans="1:2">
      <c r="A18">
        <v>2006</v>
      </c>
      <c r="B18">
        <v>296987570</v>
      </c>
    </row>
    <row r="19" spans="1:2">
      <c r="A19">
        <v>2007</v>
      </c>
      <c r="B19">
        <v>299890446</v>
      </c>
    </row>
    <row r="20" spans="1:2">
      <c r="A20">
        <v>2008</v>
      </c>
      <c r="B20">
        <v>302754346</v>
      </c>
    </row>
    <row r="21" spans="1:2">
      <c r="A21">
        <v>2009</v>
      </c>
      <c r="B21">
        <v>305519874</v>
      </c>
    </row>
    <row r="22" spans="1:2">
      <c r="A22">
        <v>2010</v>
      </c>
      <c r="B22">
        <v>308169976</v>
      </c>
    </row>
    <row r="23" spans="1:2">
      <c r="A23">
        <v>2011</v>
      </c>
      <c r="B23">
        <v>309347057</v>
      </c>
    </row>
    <row r="24" spans="1:2">
      <c r="A24">
        <v>2012</v>
      </c>
      <c r="B24">
        <v>311721632</v>
      </c>
    </row>
    <row r="25" spans="1:2">
      <c r="A25">
        <v>2013</v>
      </c>
      <c r="B25">
        <v>314112078</v>
      </c>
    </row>
    <row r="26" spans="1:2">
      <c r="A26">
        <v>2014</v>
      </c>
      <c r="B26">
        <v>316497531</v>
      </c>
    </row>
    <row r="27" spans="1:2">
      <c r="A27">
        <v>2015</v>
      </c>
      <c r="B27">
        <v>318857056</v>
      </c>
    </row>
    <row r="29" spans="1:2">
      <c r="A29" t="s">
        <v>89</v>
      </c>
    </row>
    <row r="30" spans="1:2">
      <c r="A30" s="81" t="s">
        <v>90</v>
      </c>
    </row>
  </sheetData>
  <hyperlinks>
    <hyperlink ref="A3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Estimates</vt:lpstr>
      <vt:lpstr>CPI, 1985-2015</vt:lpstr>
      <vt:lpstr>US Population, 1990-2015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Jacquie</dc:creator>
  <cp:lastModifiedBy>Ryan Quan</cp:lastModifiedBy>
  <cp:lastPrinted>2015-04-21T16:12:15Z</cp:lastPrinted>
  <dcterms:created xsi:type="dcterms:W3CDTF">2015-03-23T18:58:24Z</dcterms:created>
  <dcterms:modified xsi:type="dcterms:W3CDTF">2015-04-21T16:32:05Z</dcterms:modified>
</cp:coreProperties>
</file>