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er\PycharmProjects\DHLLDV\DHLLDV_viewer\static\pipelines\"/>
    </mc:Choice>
  </mc:AlternateContent>
  <xr:revisionPtr revIDLastSave="0" documentId="13_ncr:1_{150CF304-3289-4D4E-AC70-4F52BA32E71A}" xr6:coauthVersionLast="47" xr6:coauthVersionMax="47" xr10:uidLastSave="{00000000-0000-0000-0000-000000000000}"/>
  <bookViews>
    <workbookView xWindow="-108" yWindow="-108" windowWidth="23256" windowHeight="12456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  <sheet name="Slurry" sheetId="16" r:id="rId5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Cv" localSheetId="4">Slurry!$C$10</definedName>
    <definedName name="d_15" localSheetId="4">Slurry!$C$5</definedName>
    <definedName name="d_50" localSheetId="4">Slurry!$C$6</definedName>
    <definedName name="d_85" localSheetId="4">Slurry!$C$7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fluid" localSheetId="4">Slurry!$C$9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4">Slurry!$C$1</definedName>
    <definedName name="name" localSheetId="1">UWPump!$B$2</definedName>
    <definedName name="pipe_dia" localSheetId="4">Slurry!$C$3</definedName>
    <definedName name="pipe_table" localSheetId="0">Pipeline!$A$21:$F$32</definedName>
    <definedName name="power_curve" localSheetId="3">MainDriver!$D$3:$E$12</definedName>
    <definedName name="pump_curve" localSheetId="2">MainPump!$H$14:$J$30</definedName>
    <definedName name="pump_curve" localSheetId="1">UWPump!$H$14:$J$30</definedName>
    <definedName name="rhoi" localSheetId="4">Slurry!$C$13</definedName>
    <definedName name="rhos" localSheetId="4">Slurry!$C$12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1" l="1"/>
  <c r="A31" i="11"/>
  <c r="A30" i="11"/>
  <c r="A29" i="11"/>
  <c r="A28" i="11"/>
  <c r="A27" i="11"/>
  <c r="A26" i="11"/>
  <c r="A25" i="11"/>
  <c r="A24" i="11"/>
  <c r="A23" i="11"/>
  <c r="A22" i="11"/>
  <c r="B11" i="12"/>
  <c r="F24" i="11"/>
  <c r="F25" i="11" s="1"/>
  <c r="F26" i="11" s="1"/>
  <c r="F27" i="11" s="1"/>
  <c r="F28" i="11" s="1"/>
  <c r="F29" i="11" s="1"/>
  <c r="F30" i="11" s="1"/>
  <c r="F31" i="11" s="1"/>
  <c r="F32" i="11" s="1"/>
  <c r="C20" i="11"/>
  <c r="J30" i="14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D10" i="12" s="1"/>
  <c r="E12" i="13"/>
  <c r="E4" i="13"/>
  <c r="D4" i="13"/>
  <c r="B15" i="14" l="1"/>
  <c r="D15" i="14" s="1"/>
  <c r="B19" i="14"/>
  <c r="D19" i="14" s="1"/>
  <c r="B25" i="14"/>
  <c r="H25" i="14" s="1"/>
  <c r="B24" i="14"/>
  <c r="B16" i="14"/>
  <c r="H16" i="14" s="1"/>
  <c r="B18" i="14"/>
  <c r="H18" i="14" s="1"/>
  <c r="B20" i="14"/>
  <c r="B26" i="14"/>
  <c r="D26" i="14" s="1"/>
  <c r="B28" i="14"/>
  <c r="H28" i="14" s="1"/>
  <c r="B27" i="14"/>
  <c r="D27" i="14" s="1"/>
  <c r="B17" i="14"/>
  <c r="H17" i="14" s="1"/>
  <c r="B29" i="14"/>
  <c r="K18" i="14"/>
  <c r="K28" i="14"/>
  <c r="D30" i="14"/>
  <c r="H30" i="14"/>
  <c r="D18" i="14"/>
  <c r="D17" i="14"/>
  <c r="B23" i="14"/>
  <c r="B21" i="14"/>
  <c r="B22" i="14"/>
  <c r="C33" i="11"/>
  <c r="E22" i="11"/>
  <c r="F22" i="11" s="1"/>
  <c r="D33" i="11"/>
  <c r="F5" i="11"/>
  <c r="B13" i="11"/>
  <c r="D16" i="11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D11" i="12"/>
  <c r="D7" i="12"/>
  <c r="H6" i="12"/>
  <c r="B30" i="12" s="1"/>
  <c r="D6" i="12"/>
  <c r="D5" i="12"/>
  <c r="D4" i="12"/>
  <c r="K17" i="14" l="1"/>
  <c r="H27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K26" i="14"/>
  <c r="K30" i="14"/>
  <c r="H23" i="14"/>
  <c r="D23" i="14"/>
  <c r="D22" i="14"/>
  <c r="H22" i="14"/>
  <c r="D21" i="14"/>
  <c r="H21" i="14"/>
  <c r="K19" i="14"/>
  <c r="B30" i="1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K27" i="14" l="1"/>
  <c r="K15" i="14"/>
  <c r="K24" i="14"/>
  <c r="K20" i="14"/>
  <c r="K29" i="14"/>
  <c r="K21" i="14"/>
  <c r="K23" i="14"/>
  <c r="K22" i="14"/>
  <c r="B31" i="11"/>
  <c r="B15" i="11"/>
  <c r="B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K30" i="12"/>
  <c r="K27" i="12" l="1"/>
  <c r="K29" i="12"/>
  <c r="K20" i="12"/>
  <c r="K16" i="12"/>
  <c r="K19" i="12"/>
  <c r="K22" i="12"/>
  <c r="K28" i="12"/>
  <c r="K24" i="12"/>
  <c r="K15" i="12"/>
  <c r="K18" i="12"/>
  <c r="K25" i="12"/>
  <c r="K23" i="12"/>
  <c r="K21" i="12"/>
  <c r="K17" i="12"/>
  <c r="K26" i="12"/>
  <c r="E8" i="11" l="1"/>
  <c r="E25" i="11" s="1"/>
  <c r="F6" i="11"/>
  <c r="F7" i="11" s="1"/>
  <c r="F8" i="11" s="1"/>
  <c r="F9" i="11" s="1"/>
  <c r="E23" i="11"/>
  <c r="F23" i="11" s="1"/>
</calcChain>
</file>

<file path=xl/sharedStrings.xml><?xml version="1.0" encoding="utf-8"?>
<sst xmlns="http://schemas.openxmlformats.org/spreadsheetml/2006/main" count="143" uniqueCount="94">
  <si>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</si>
  <si>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</si>
  <si>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</si>
  <si>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</si>
  <si>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</si>
  <si>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</si>
  <si>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</si>
  <si>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</si>
  <si>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</si>
  <si>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</si>
  <si>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</si>
  <si>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</si>
  <si>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</si>
  <si>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</si>
  <si>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</si>
  <si>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</si>
  <si>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</si>
  <si>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</si>
  <si>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</si>
  <si>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</si>
  <si>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</si>
  <si>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</si>
  <si>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</si>
  <si>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</si>
  <si>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</si>
  <si>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</si>
  <si>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</si>
  <si>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</si>
  <si>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</si>
  <si>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</si>
  <si>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</si>
  <si>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</si>
  <si>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</si>
  <si>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</si>
  <si>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CL</t>
  </si>
  <si>
    <t>MP 1 Suction</t>
  </si>
  <si>
    <t>90 30</t>
  </si>
  <si>
    <t>UWP to Trunion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</si>
  <si>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</si>
  <si>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</si>
  <si>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</si>
  <si>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</si>
  <si>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</si>
  <si>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</si>
  <si>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</si>
  <si>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</si>
  <si>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</si>
  <si>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</si>
  <si>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</si>
  <si>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</si>
  <si>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</si>
  <si>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</si>
  <si>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</si>
  <si>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</si>
  <si>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</si>
  <si>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</si>
  <si>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</si>
  <si>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</si>
  <si>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</si>
  <si>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</si>
  <si>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</si>
  <si>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</si>
  <si>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</si>
  <si>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</si>
  <si>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</si>
  <si>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</si>
  <si>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</si>
  <si>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</si>
  <si>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</si>
  <si>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</si>
  <si>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</si>
  <si>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</si>
  <si>
    <t>Pipe Name</t>
  </si>
  <si>
    <t>Diameter (m)</t>
  </si>
  <si>
    <t>Length (m)</t>
  </si>
  <si>
    <t>UWPump</t>
  </si>
  <si>
    <t>MainPump</t>
  </si>
  <si>
    <t>Total K</t>
  </si>
  <si>
    <t>Elev Change (m)</t>
  </si>
  <si>
    <t>Slurry Name:</t>
  </si>
  <si>
    <t>Pipe Dia:</t>
  </si>
  <si>
    <t>D15</t>
  </si>
  <si>
    <t>D50</t>
  </si>
  <si>
    <t>D85</t>
  </si>
  <si>
    <t>fluid</t>
  </si>
  <si>
    <t>Cv</t>
  </si>
  <si>
    <t>mm</t>
  </si>
  <si>
    <t>rhos</t>
  </si>
  <si>
    <t>rhoi</t>
  </si>
  <si>
    <t>ton/m3</t>
  </si>
  <si>
    <t>salt or fresh</t>
  </si>
  <si>
    <t>-</t>
  </si>
  <si>
    <t>F Sand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</si>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</sst>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2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66" fontId="0" fillId="4" borderId="2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166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0" fontId="0" fillId="0" borderId="0" xfId="0" applyAlignment="1">
      <alignment horizontal="left"/>
    </xf>
    <xf numFmtId="166" fontId="0" fillId="4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166" fontId="0" fillId="2" borderId="0" xfId="0" applyNumberFormat="1" applyFill="1"/>
    <xf numFmtId="167" fontId="4" fillId="2" borderId="0" xfId="2" applyNumberFormat="1" applyFont="1" applyFill="1"/>
    <xf numFmtId="167" fontId="0" fillId="2" borderId="0" xfId="2" applyNumberFormat="1" applyFont="1" applyFill="1"/>
    <xf numFmtId="167" fontId="4" fillId="2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4" borderId="0" xfId="0" applyFont="1" applyFill="1"/>
    <xf numFmtId="165" fontId="5" fillId="4" borderId="0" xfId="0" applyNumberFormat="1" applyFont="1" applyFill="1"/>
    <xf numFmtId="0" fontId="5" fillId="4" borderId="0" xfId="0" applyFont="1" applyFill="1" applyAlignment="1">
      <alignment horizontal="right"/>
    </xf>
    <xf numFmtId="166" fontId="5" fillId="4" borderId="0" xfId="0" applyNumberFormat="1" applyFont="1" applyFill="1" applyAlignment="1">
      <alignment horizontal="right"/>
    </xf>
    <xf numFmtId="166" fontId="5" fillId="0" borderId="0" xfId="0" applyNumberFormat="1" applyFont="1"/>
    <xf numFmtId="0" fontId="5" fillId="5" borderId="0" xfId="0" applyFont="1" applyFill="1"/>
    <xf numFmtId="165" fontId="5" fillId="5" borderId="0" xfId="0" applyNumberFormat="1" applyFont="1" applyFill="1"/>
    <xf numFmtId="166" fontId="5" fillId="5" borderId="0" xfId="0" applyNumberFormat="1" applyFont="1" applyFill="1"/>
    <xf numFmtId="2" fontId="5" fillId="5" borderId="0" xfId="0" applyNumberFormat="1" applyFont="1" applyFill="1"/>
    <xf numFmtId="166" fontId="5" fillId="4" borderId="0" xfId="0" applyNumberFormat="1" applyFont="1" applyFill="1"/>
    <xf numFmtId="2" fontId="5" fillId="4" borderId="0" xfId="0" applyNumberFormat="1" applyFont="1" applyFill="1"/>
    <xf numFmtId="0" fontId="5" fillId="4" borderId="2" xfId="0" applyFont="1" applyFill="1" applyBorder="1"/>
    <xf numFmtId="165" fontId="5" fillId="4" borderId="2" xfId="0" applyNumberFormat="1" applyFont="1" applyFill="1" applyBorder="1"/>
    <xf numFmtId="166" fontId="5" fillId="4" borderId="2" xfId="0" applyNumberFormat="1" applyFont="1" applyFill="1" applyBorder="1"/>
    <xf numFmtId="2" fontId="5" fillId="4" borderId="2" xfId="0" applyNumberFormat="1" applyFont="1" applyFill="1" applyBorder="1"/>
    <xf numFmtId="0" fontId="5" fillId="2" borderId="0" xfId="0" applyFont="1" applyFill="1" applyAlignment="1">
      <alignment horizontal="right"/>
    </xf>
    <xf numFmtId="2" fontId="5" fillId="2" borderId="0" xfId="0" applyNumberFormat="1" applyFont="1" applyFill="1"/>
    <xf numFmtId="0" fontId="0" fillId="2" borderId="2" xfId="0" applyFill="1" applyBorder="1"/>
    <xf numFmtId="166" fontId="0" fillId="2" borderId="2" xfId="0" applyNumberFormat="1" applyFill="1" applyBorder="1"/>
    <xf numFmtId="2" fontId="0" fillId="2" borderId="2" xfId="0" applyNumberFormat="1" applyFill="1" applyBorder="1"/>
    <xf numFmtId="166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center"/>
    </xf>
    <xf numFmtId="168" fontId="0" fillId="2" borderId="0" xfId="2" applyNumberFormat="1" applyFont="1" applyFill="1"/>
    <xf numFmtId="0" fontId="6" fillId="2" borderId="1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tabSelected="1" topLeftCell="A10" workbookViewId="0">
      <selection activeCell="I23" sqref="I23"/>
    </sheetView>
  </sheetViews>
  <sheetFormatPr defaultRowHeight="14.4" x14ac:dyDescent="0.3"/>
  <cols>
    <col min="1" max="1" width="16.21875" bestFit="1" customWidth="1"/>
    <col min="3" max="3" width="9.77734375" bestFit="1" customWidth="1"/>
    <col min="5" max="5" width="14.5546875" bestFit="1" customWidth="1"/>
    <col min="6" max="6" width="11.88671875" bestFit="1" customWidth="1"/>
    <col min="7" max="7" width="16.21875" customWidth="1"/>
  </cols>
  <sheetData>
    <row r="1" spans="1:19" x14ac:dyDescent="0.3">
      <c r="A1" t="s">
        <v>57</v>
      </c>
      <c r="B1" s="34" t="s">
        <v>58</v>
      </c>
    </row>
    <row r="3" spans="1:19" x14ac:dyDescent="0.3">
      <c r="A3" s="1"/>
      <c r="B3" s="6" t="s">
        <v>56</v>
      </c>
      <c r="C3" s="66">
        <v>50</v>
      </c>
      <c r="D3" t="s">
        <v>55</v>
      </c>
      <c r="H3" s="9">
        <v>0.19</v>
      </c>
      <c r="I3" s="9">
        <v>0.15</v>
      </c>
      <c r="J3" s="9">
        <v>0.15</v>
      </c>
      <c r="K3" s="9">
        <v>0.1</v>
      </c>
      <c r="L3" s="9">
        <v>0.1</v>
      </c>
      <c r="M3" s="9">
        <v>0.05</v>
      </c>
      <c r="N3" s="9">
        <v>0.7</v>
      </c>
      <c r="O3" s="9">
        <v>0.25</v>
      </c>
      <c r="P3" s="9">
        <v>0.7</v>
      </c>
      <c r="Q3" s="9">
        <v>0.25</v>
      </c>
      <c r="R3" s="9">
        <v>0.1</v>
      </c>
      <c r="S3" s="9">
        <v>0.05</v>
      </c>
    </row>
    <row r="4" spans="1:19" s="8" customFormat="1" x14ac:dyDescent="0.3">
      <c r="A4" s="8" t="s">
        <v>54</v>
      </c>
      <c r="B4" s="8" t="s">
        <v>53</v>
      </c>
      <c r="C4" s="23" t="s">
        <v>52</v>
      </c>
      <c r="D4" s="23" t="s">
        <v>51</v>
      </c>
      <c r="E4" s="23" t="s">
        <v>50</v>
      </c>
      <c r="F4" s="23" t="s">
        <v>49</v>
      </c>
      <c r="G4" s="8" t="s">
        <v>48</v>
      </c>
      <c r="H4" s="10">
        <v>90</v>
      </c>
      <c r="I4" s="10" t="s">
        <v>47</v>
      </c>
      <c r="J4" s="8" t="s">
        <v>46</v>
      </c>
      <c r="K4" s="10">
        <v>45</v>
      </c>
      <c r="L4" s="10">
        <v>30</v>
      </c>
      <c r="M4" s="10">
        <v>15</v>
      </c>
      <c r="N4" s="10" t="s">
        <v>45</v>
      </c>
      <c r="O4" s="10" t="s">
        <v>44</v>
      </c>
      <c r="P4" s="10" t="s">
        <v>43</v>
      </c>
      <c r="Q4" s="10" t="s">
        <v>42</v>
      </c>
      <c r="R4" s="10" t="s">
        <v>41</v>
      </c>
      <c r="S4" s="10" t="s">
        <v>40</v>
      </c>
    </row>
    <row r="5" spans="1:19" s="15" customFormat="1" x14ac:dyDescent="0.3">
      <c r="A5" s="4" t="s">
        <v>39</v>
      </c>
      <c r="B5" s="4">
        <v>34</v>
      </c>
      <c r="C5" s="41">
        <v>0</v>
      </c>
      <c r="D5" s="41">
        <v>0.5</v>
      </c>
      <c r="E5" s="65">
        <f>-1*C3</f>
        <v>-50</v>
      </c>
      <c r="F5" s="22">
        <f>E5</f>
        <v>-50</v>
      </c>
      <c r="H5" s="16"/>
      <c r="I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3">
      <c r="A6" s="4" t="s">
        <v>38</v>
      </c>
      <c r="B6" s="25">
        <v>34</v>
      </c>
      <c r="C6" s="4">
        <v>15</v>
      </c>
      <c r="D6" s="42">
        <f t="shared" ref="D6:D15" si="0">SUMPRODUCT(H6:S6,H$2:S$2)</f>
        <v>0</v>
      </c>
      <c r="E6" s="11">
        <f>(F10-E5)*C6/(C6+C8)</f>
        <v>12</v>
      </c>
      <c r="F6" s="11">
        <f>F5+E6</f>
        <v>-38</v>
      </c>
      <c r="G6" s="21"/>
      <c r="H6" s="9"/>
      <c r="I6" s="9"/>
      <c r="K6" s="9"/>
      <c r="L6" s="9"/>
      <c r="M6" s="9"/>
      <c r="N6" s="9"/>
      <c r="O6" s="9"/>
      <c r="P6" s="9"/>
      <c r="Q6" s="9"/>
      <c r="R6" s="9"/>
      <c r="S6" s="9"/>
    </row>
    <row r="7" spans="1:19" s="18" customFormat="1" x14ac:dyDescent="0.3">
      <c r="A7" s="4" t="s">
        <v>75</v>
      </c>
      <c r="B7" s="25"/>
      <c r="C7" s="25">
        <v>0</v>
      </c>
      <c r="D7" s="42">
        <f t="shared" si="0"/>
        <v>0</v>
      </c>
      <c r="E7" s="11"/>
      <c r="F7" s="20">
        <f>F6</f>
        <v>-38</v>
      </c>
      <c r="G7" s="20"/>
      <c r="H7" s="19"/>
      <c r="I7" s="19"/>
      <c r="K7" s="19"/>
      <c r="L7" s="19"/>
      <c r="M7" s="19"/>
      <c r="N7" s="19"/>
      <c r="O7" s="19"/>
      <c r="P7" s="19"/>
      <c r="Q7" s="19"/>
      <c r="R7" s="19"/>
      <c r="S7" s="19"/>
    </row>
    <row r="8" spans="1:19" s="15" customFormat="1" x14ac:dyDescent="0.3">
      <c r="A8" s="4" t="s">
        <v>37</v>
      </c>
      <c r="B8" s="25">
        <v>34</v>
      </c>
      <c r="C8" s="25">
        <v>60</v>
      </c>
      <c r="D8" s="42">
        <f t="shared" si="0"/>
        <v>0</v>
      </c>
      <c r="E8" s="11">
        <f>(F10-F5)-E6</f>
        <v>48</v>
      </c>
      <c r="F8" s="17">
        <f>F7+E8</f>
        <v>10</v>
      </c>
      <c r="G8" s="17" t="s">
        <v>36</v>
      </c>
      <c r="H8" s="16">
        <v>1</v>
      </c>
      <c r="I8" s="16"/>
      <c r="K8" s="16"/>
      <c r="L8" s="16">
        <v>1</v>
      </c>
      <c r="M8" s="16"/>
      <c r="N8" s="16"/>
      <c r="O8" s="16"/>
      <c r="P8" s="16"/>
      <c r="Q8" s="16"/>
      <c r="R8" s="16"/>
      <c r="S8" s="16"/>
    </row>
    <row r="9" spans="1:19" x14ac:dyDescent="0.3">
      <c r="A9" s="4" t="s">
        <v>35</v>
      </c>
      <c r="B9" s="25">
        <v>34</v>
      </c>
      <c r="C9" s="25">
        <v>10</v>
      </c>
      <c r="D9" s="42">
        <f t="shared" si="0"/>
        <v>0</v>
      </c>
      <c r="E9" s="25">
        <v>0</v>
      </c>
      <c r="F9" s="11">
        <f>F8+E9</f>
        <v>10</v>
      </c>
      <c r="G9" s="11" t="s">
        <v>34</v>
      </c>
      <c r="H9" s="9"/>
      <c r="I9" s="9"/>
      <c r="K9" s="9"/>
      <c r="L9" s="9"/>
      <c r="M9" s="9"/>
      <c r="N9" s="9"/>
      <c r="O9" s="9"/>
      <c r="P9" s="9"/>
      <c r="Q9" s="9"/>
      <c r="R9" s="9"/>
      <c r="S9" s="9">
        <v>1</v>
      </c>
    </row>
    <row r="10" spans="1:19" s="18" customFormat="1" x14ac:dyDescent="0.3">
      <c r="A10" s="4" t="s">
        <v>76</v>
      </c>
      <c r="B10" s="25"/>
      <c r="C10" s="25">
        <v>0</v>
      </c>
      <c r="D10" s="42">
        <f t="shared" si="0"/>
        <v>0</v>
      </c>
      <c r="E10" s="25"/>
      <c r="F10" s="20">
        <v>10</v>
      </c>
      <c r="G10" s="20"/>
      <c r="H10" s="19"/>
      <c r="I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s="15" customFormat="1" x14ac:dyDescent="0.3">
      <c r="A11" s="4" t="s">
        <v>33</v>
      </c>
      <c r="B11" s="25">
        <v>30</v>
      </c>
      <c r="C11" s="25">
        <v>160</v>
      </c>
      <c r="D11" s="42">
        <f t="shared" si="0"/>
        <v>0</v>
      </c>
      <c r="E11" s="25">
        <v>-5</v>
      </c>
      <c r="F11" s="17">
        <v>10</v>
      </c>
      <c r="G11" s="17" t="s">
        <v>32</v>
      </c>
      <c r="H11" s="16">
        <v>3</v>
      </c>
      <c r="I11" s="16">
        <v>1</v>
      </c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3">
      <c r="A12" s="4" t="s">
        <v>31</v>
      </c>
      <c r="B12" s="25">
        <f>B11</f>
        <v>30</v>
      </c>
      <c r="C12" s="25">
        <v>2000</v>
      </c>
      <c r="D12" s="42">
        <f t="shared" si="0"/>
        <v>0</v>
      </c>
      <c r="E12" s="25">
        <v>0</v>
      </c>
      <c r="F12" s="11">
        <v>10</v>
      </c>
      <c r="G12" s="11"/>
      <c r="H12" s="9"/>
      <c r="I12" s="9"/>
      <c r="K12" s="9"/>
      <c r="L12" s="9"/>
      <c r="M12" s="9"/>
      <c r="N12" s="9"/>
      <c r="O12" s="9"/>
      <c r="P12" s="9"/>
      <c r="Q12" s="9"/>
      <c r="R12" s="9"/>
      <c r="S12" s="9"/>
    </row>
    <row r="13" spans="1:19" s="15" customFormat="1" x14ac:dyDescent="0.3">
      <c r="A13" s="4" t="s">
        <v>30</v>
      </c>
      <c r="B13" s="25">
        <f t="shared" ref="B13:B15" si="1">B12</f>
        <v>30</v>
      </c>
      <c r="C13" s="25">
        <v>130</v>
      </c>
      <c r="D13" s="42">
        <f t="shared" si="0"/>
        <v>0</v>
      </c>
      <c r="E13" s="25">
        <v>-25</v>
      </c>
      <c r="F13" s="17">
        <v>10</v>
      </c>
      <c r="G13" s="17" t="s">
        <v>29</v>
      </c>
      <c r="H13" s="16"/>
      <c r="I13" s="16">
        <v>4</v>
      </c>
      <c r="K13" s="16"/>
      <c r="L13" s="16"/>
      <c r="M13" s="16">
        <v>2</v>
      </c>
      <c r="N13" s="16"/>
      <c r="O13" s="16"/>
      <c r="P13" s="16"/>
      <c r="Q13" s="16"/>
      <c r="R13" s="16"/>
      <c r="S13" s="16"/>
    </row>
    <row r="14" spans="1:19" x14ac:dyDescent="0.3">
      <c r="A14" s="4" t="s">
        <v>28</v>
      </c>
      <c r="B14" s="25">
        <f t="shared" si="1"/>
        <v>30</v>
      </c>
      <c r="C14" s="25">
        <v>5000</v>
      </c>
      <c r="D14" s="42">
        <f t="shared" si="0"/>
        <v>0</v>
      </c>
      <c r="E14" s="25">
        <v>30</v>
      </c>
      <c r="F14" s="11">
        <v>10</v>
      </c>
      <c r="G14" s="11" t="s">
        <v>27</v>
      </c>
      <c r="H14" s="9"/>
      <c r="I14" s="9">
        <f>ROUNDUP(C14/750, 0)</f>
        <v>7</v>
      </c>
      <c r="K14" s="9"/>
      <c r="L14" s="9"/>
      <c r="M14" s="9"/>
      <c r="N14" s="9"/>
      <c r="O14" s="9"/>
      <c r="P14" s="9"/>
      <c r="Q14" s="9"/>
      <c r="R14" s="9"/>
      <c r="S14" s="9"/>
    </row>
    <row r="15" spans="1:19" s="12" customFormat="1" ht="15" thickBot="1" x14ac:dyDescent="0.35">
      <c r="A15" s="62" t="s">
        <v>26</v>
      </c>
      <c r="B15" s="63">
        <f t="shared" si="1"/>
        <v>30</v>
      </c>
      <c r="C15" s="63">
        <v>500</v>
      </c>
      <c r="D15" s="64">
        <f t="shared" si="0"/>
        <v>0</v>
      </c>
      <c r="E15" s="63">
        <v>0</v>
      </c>
      <c r="F15" s="14">
        <v>10</v>
      </c>
      <c r="G15" s="14" t="s">
        <v>25</v>
      </c>
      <c r="H15" s="13"/>
      <c r="I15" s="13"/>
      <c r="J15" s="13">
        <f>ROUNDUP(C15/38.5, 0)</f>
        <v>13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15" thickTop="1" x14ac:dyDescent="0.3">
      <c r="A16" t="s">
        <v>24</v>
      </c>
      <c r="C16" s="11">
        <f>SUM(C5:C15)</f>
        <v>7875</v>
      </c>
      <c r="D16" s="3">
        <f>SUM(D5:D15)</f>
        <v>0.5</v>
      </c>
      <c r="E16" s="3"/>
      <c r="F16" s="3"/>
      <c r="G16" s="11"/>
      <c r="H16" s="9"/>
      <c r="I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">
      <c r="C17" s="11"/>
      <c r="D17" s="11"/>
      <c r="E17" s="11"/>
      <c r="F17" s="11"/>
      <c r="G17" s="11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H18" s="9"/>
      <c r="I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"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">
      <c r="A20" s="1"/>
      <c r="B20" s="6" t="s">
        <v>56</v>
      </c>
      <c r="C20">
        <f>C3*0.3048</f>
        <v>15.24</v>
      </c>
      <c r="D20" t="s">
        <v>10</v>
      </c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43" t="s">
        <v>72</v>
      </c>
      <c r="B21" s="43" t="s">
        <v>73</v>
      </c>
      <c r="C21" s="44" t="s">
        <v>74</v>
      </c>
      <c r="D21" s="44" t="s">
        <v>77</v>
      </c>
      <c r="E21" s="44" t="s">
        <v>78</v>
      </c>
      <c r="F21" s="68" t="s">
        <v>78</v>
      </c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45" t="str">
        <f>A5</f>
        <v>Entrance</v>
      </c>
      <c r="B22" s="46">
        <f>(B5/12)*0.3048</f>
        <v>0.86360000000000003</v>
      </c>
      <c r="C22" s="47">
        <f>C5*0.3048</f>
        <v>0</v>
      </c>
      <c r="D22" s="47">
        <f>D5</f>
        <v>0.5</v>
      </c>
      <c r="E22" s="48">
        <f>E5*0.3048</f>
        <v>-15.24</v>
      </c>
      <c r="F22" s="48">
        <f>E22</f>
        <v>-15.24</v>
      </c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">
      <c r="A23" s="34" t="str">
        <f t="shared" ref="A23:A32" si="2">A6</f>
        <v>UWP Suction</v>
      </c>
      <c r="B23" s="40">
        <f>(B6/12)*0.3048</f>
        <v>0.86360000000000003</v>
      </c>
      <c r="C23" s="34">
        <f t="shared" ref="C23:C32" si="3">C6*0.3048</f>
        <v>4.5720000000000001</v>
      </c>
      <c r="D23" s="38">
        <f t="shared" ref="D23:D32" si="4">D6</f>
        <v>0</v>
      </c>
      <c r="E23" s="49">
        <f t="shared" ref="E23:E32" si="5">E6*0.3048</f>
        <v>3.6576000000000004</v>
      </c>
      <c r="F23" s="49">
        <f>F22+E23</f>
        <v>-11.5824</v>
      </c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">
      <c r="A24" s="50" t="str">
        <f t="shared" si="2"/>
        <v>UWPump</v>
      </c>
      <c r="B24" s="51"/>
      <c r="C24" s="52"/>
      <c r="D24" s="53"/>
      <c r="E24" s="52"/>
      <c r="F24" s="52">
        <f t="shared" ref="F24:F32" si="6">F23+E24</f>
        <v>-11.5824</v>
      </c>
      <c r="G24" s="24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45" t="str">
        <f t="shared" si="2"/>
        <v>UWP to Trunion</v>
      </c>
      <c r="B25" s="46">
        <f>(B8/12)*0.3048</f>
        <v>0.86360000000000003</v>
      </c>
      <c r="C25" s="54">
        <f t="shared" si="3"/>
        <v>18.288</v>
      </c>
      <c r="D25" s="55">
        <f t="shared" si="4"/>
        <v>0</v>
      </c>
      <c r="E25" s="54">
        <f t="shared" si="5"/>
        <v>14.630400000000002</v>
      </c>
      <c r="F25" s="54">
        <f t="shared" si="6"/>
        <v>3.0480000000000018</v>
      </c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">
      <c r="A26" s="34" t="str">
        <f t="shared" si="2"/>
        <v>MP 1 Suction</v>
      </c>
      <c r="B26" s="40">
        <f>(B9/12)*0.3048</f>
        <v>0.86360000000000003</v>
      </c>
      <c r="C26" s="49">
        <f t="shared" si="3"/>
        <v>3.048</v>
      </c>
      <c r="D26" s="38">
        <f t="shared" si="4"/>
        <v>0</v>
      </c>
      <c r="E26" s="49">
        <f t="shared" si="5"/>
        <v>0</v>
      </c>
      <c r="F26" s="49">
        <f t="shared" si="6"/>
        <v>3.0480000000000018</v>
      </c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3">
      <c r="A27" s="50" t="str">
        <f t="shared" si="2"/>
        <v>MainPump</v>
      </c>
      <c r="B27" s="51"/>
      <c r="C27" s="52"/>
      <c r="D27" s="53"/>
      <c r="E27" s="52"/>
      <c r="F27" s="52">
        <f t="shared" si="6"/>
        <v>3.0480000000000018</v>
      </c>
      <c r="G27" s="24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3">
      <c r="A28" s="45" t="str">
        <f t="shared" si="2"/>
        <v>MP 2 Discharge</v>
      </c>
      <c r="B28" s="46">
        <f>(B11/12)*0.3048</f>
        <v>0.76200000000000001</v>
      </c>
      <c r="C28" s="54">
        <f t="shared" si="3"/>
        <v>48.768000000000001</v>
      </c>
      <c r="D28" s="55">
        <f t="shared" si="4"/>
        <v>0</v>
      </c>
      <c r="E28" s="54">
        <f t="shared" si="5"/>
        <v>-1.524</v>
      </c>
      <c r="F28" s="54">
        <f t="shared" si="6"/>
        <v>1.5240000000000018</v>
      </c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">
      <c r="A29" s="34" t="str">
        <f t="shared" si="2"/>
        <v>Float Hose</v>
      </c>
      <c r="B29" s="40">
        <f>(B12/12)*0.3048</f>
        <v>0.76200000000000001</v>
      </c>
      <c r="C29" s="49">
        <f t="shared" si="3"/>
        <v>609.6</v>
      </c>
      <c r="D29" s="38">
        <f t="shared" si="4"/>
        <v>0</v>
      </c>
      <c r="E29" s="49">
        <f t="shared" si="5"/>
        <v>0</v>
      </c>
      <c r="F29" s="49">
        <f t="shared" si="6"/>
        <v>1.5240000000000018</v>
      </c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">
      <c r="A30" s="45" t="str">
        <f t="shared" si="2"/>
        <v>Riser</v>
      </c>
      <c r="B30" s="46">
        <f>(B13/12)*0.3048</f>
        <v>0.76200000000000001</v>
      </c>
      <c r="C30" s="54">
        <f t="shared" si="3"/>
        <v>39.624000000000002</v>
      </c>
      <c r="D30" s="55">
        <f t="shared" si="4"/>
        <v>0</v>
      </c>
      <c r="E30" s="54">
        <f t="shared" si="5"/>
        <v>-7.62</v>
      </c>
      <c r="F30" s="54">
        <f t="shared" si="6"/>
        <v>-6.0959999999999983</v>
      </c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A31" s="34" t="str">
        <f t="shared" si="2"/>
        <v>Subline</v>
      </c>
      <c r="B31" s="40">
        <f>(B14/12)*0.3048</f>
        <v>0.76200000000000001</v>
      </c>
      <c r="C31" s="49">
        <f t="shared" si="3"/>
        <v>1524</v>
      </c>
      <c r="D31" s="38">
        <f t="shared" si="4"/>
        <v>0</v>
      </c>
      <c r="E31" s="49">
        <f t="shared" si="5"/>
        <v>9.1440000000000001</v>
      </c>
      <c r="F31" s="49">
        <f t="shared" si="6"/>
        <v>3.0480000000000018</v>
      </c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15" thickBot="1" x14ac:dyDescent="0.35">
      <c r="A32" s="56" t="str">
        <f t="shared" si="2"/>
        <v>Shore Line</v>
      </c>
      <c r="B32" s="57">
        <f>(B15/12)*0.3048</f>
        <v>0.76200000000000001</v>
      </c>
      <c r="C32" s="58">
        <f t="shared" si="3"/>
        <v>152.4</v>
      </c>
      <c r="D32" s="59">
        <f t="shared" si="4"/>
        <v>0</v>
      </c>
      <c r="E32" s="58">
        <f t="shared" si="5"/>
        <v>0</v>
      </c>
      <c r="F32" s="58">
        <f t="shared" si="6"/>
        <v>3.0480000000000018</v>
      </c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15" thickTop="1" x14ac:dyDescent="0.3">
      <c r="A33" t="s">
        <v>24</v>
      </c>
      <c r="C33" s="11">
        <f>SUM(C22:C32)</f>
        <v>2400.3000000000002</v>
      </c>
      <c r="D33" s="3">
        <f>SUM(D22:D32)</f>
        <v>0.5</v>
      </c>
      <c r="E33" s="3"/>
      <c r="F33" s="3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K31"/>
  <sheetViews>
    <sheetView workbookViewId="0">
      <selection activeCell="B1" sqref="B1"/>
    </sheetView>
  </sheetViews>
  <sheetFormatPr defaultRowHeight="14.4" x14ac:dyDescent="0.3"/>
  <cols>
    <col min="1" max="1" width="15.109375" bestFit="1" customWidth="1"/>
    <col min="2" max="2" width="10.109375" bestFit="1" customWidth="1"/>
    <col min="5" max="5" width="9.109375" bestFit="1" customWidth="1"/>
    <col min="8" max="8" width="11.88671875" customWidth="1"/>
    <col min="10" max="10" width="9.44140625" customWidth="1"/>
  </cols>
  <sheetData>
    <row r="1" spans="1:11" x14ac:dyDescent="0.3">
      <c r="H1" s="6" t="s">
        <v>16</v>
      </c>
      <c r="I1" s="5">
        <v>448.83100000000002</v>
      </c>
    </row>
    <row r="2" spans="1:11" x14ac:dyDescent="0.3">
      <c r="A2" t="s">
        <v>20</v>
      </c>
      <c r="B2" s="33" t="s">
        <v>19</v>
      </c>
    </row>
    <row r="4" spans="1:11" x14ac:dyDescent="0.3">
      <c r="A4" t="s">
        <v>68</v>
      </c>
      <c r="B4" s="4">
        <v>60</v>
      </c>
      <c r="C4" t="s">
        <v>9</v>
      </c>
      <c r="D4" s="36">
        <f>B4*0.3048/12</f>
        <v>1.524</v>
      </c>
      <c r="E4" t="s">
        <v>10</v>
      </c>
    </row>
    <row r="5" spans="1:11" x14ac:dyDescent="0.3">
      <c r="A5" t="s">
        <v>67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">
      <c r="A6" t="s">
        <v>69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">
      <c r="A7" t="s">
        <v>70</v>
      </c>
      <c r="B7" s="4">
        <v>300</v>
      </c>
      <c r="C7" t="s">
        <v>5</v>
      </c>
      <c r="D7" s="36">
        <f>B7/60</f>
        <v>5</v>
      </c>
      <c r="E7" t="s">
        <v>6</v>
      </c>
    </row>
    <row r="9" spans="1:11" x14ac:dyDescent="0.3">
      <c r="A9" t="s">
        <v>61</v>
      </c>
      <c r="D9" s="37" t="s">
        <v>71</v>
      </c>
    </row>
    <row r="10" spans="1:11" x14ac:dyDescent="0.3">
      <c r="A10" t="s">
        <v>21</v>
      </c>
      <c r="D10" s="40">
        <v>1</v>
      </c>
    </row>
    <row r="11" spans="1:11" x14ac:dyDescent="0.3">
      <c r="A11" t="s">
        <v>66</v>
      </c>
      <c r="B11" s="4">
        <v>2000</v>
      </c>
      <c r="C11" t="s">
        <v>4</v>
      </c>
      <c r="D11" s="34">
        <f>B11*0.7457</f>
        <v>1491.4</v>
      </c>
      <c r="E11" t="s">
        <v>11</v>
      </c>
    </row>
    <row r="12" spans="1:11" x14ac:dyDescent="0.3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59</v>
      </c>
      <c r="I14" s="34" t="s">
        <v>60</v>
      </c>
      <c r="J14" s="34" t="s">
        <v>23</v>
      </c>
      <c r="K14" t="s">
        <v>0</v>
      </c>
    </row>
    <row r="15" spans="1:11" x14ac:dyDescent="0.3">
      <c r="A15" s="7">
        <v>0</v>
      </c>
      <c r="B15" s="32">
        <f t="shared" ref="B15:B30" si="0">A15*$H$6*CFS_to_GPM</f>
        <v>0</v>
      </c>
      <c r="C15" s="25">
        <v>112.07804413656908</v>
      </c>
      <c r="D15" s="11">
        <f t="shared" ref="D15:D30" si="1">100*C15*B15/(3960*E15)</f>
        <v>0</v>
      </c>
      <c r="E15" s="26">
        <v>200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34.161387852826259</v>
      </c>
      <c r="J15" s="35">
        <f t="shared" ref="J15:J18" si="5">+E15*0.7457</f>
        <v>149.14000000000001</v>
      </c>
      <c r="K15" s="2">
        <f t="shared" ref="K15:K18" si="6">$D$12*H15*I15/J15</f>
        <v>0</v>
      </c>
    </row>
    <row r="16" spans="1:11" x14ac:dyDescent="0.3">
      <c r="A16" s="7">
        <v>2</v>
      </c>
      <c r="B16" s="32">
        <f t="shared" si="0"/>
        <v>5659.760636050989</v>
      </c>
      <c r="C16" s="25">
        <v>111.90921143946368</v>
      </c>
      <c r="D16" s="11">
        <f t="shared" si="1"/>
        <v>44.993114593352345</v>
      </c>
      <c r="E16" s="26">
        <v>355.48612643742598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34.109927646748531</v>
      </c>
      <c r="J16" s="35">
        <f t="shared" si="5"/>
        <v>265.08600448438858</v>
      </c>
      <c r="K16" s="2">
        <f t="shared" si="6"/>
        <v>0.45073675603887309</v>
      </c>
    </row>
    <row r="17" spans="1:11" x14ac:dyDescent="0.3">
      <c r="A17" s="7">
        <v>4</v>
      </c>
      <c r="B17" s="32">
        <f t="shared" si="0"/>
        <v>11319.521272101978</v>
      </c>
      <c r="C17" s="25">
        <v>111.44640296562086</v>
      </c>
      <c r="D17" s="11">
        <f t="shared" si="1"/>
        <v>58.366433328998852</v>
      </c>
      <c r="E17" s="26">
        <v>545.80281933281822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33.968863623921237</v>
      </c>
      <c r="J17" s="35">
        <f t="shared" si="5"/>
        <v>407.00516237648259</v>
      </c>
      <c r="K17" s="2">
        <f t="shared" si="6"/>
        <v>0.58470939516063303</v>
      </c>
    </row>
    <row r="18" spans="1:11" x14ac:dyDescent="0.3">
      <c r="A18" s="7">
        <v>6</v>
      </c>
      <c r="B18" s="32">
        <f t="shared" si="0"/>
        <v>16979.281908152967</v>
      </c>
      <c r="C18" s="25">
        <v>110.65381637119108</v>
      </c>
      <c r="D18" s="11">
        <f t="shared" si="1"/>
        <v>66.25243467148313</v>
      </c>
      <c r="E18" s="28">
        <v>716.12475648939767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33.727283229939047</v>
      </c>
      <c r="J18" s="35">
        <f t="shared" si="5"/>
        <v>534.01423091414381</v>
      </c>
      <c r="K18" s="29">
        <f t="shared" si="6"/>
        <v>0.66371060890978628</v>
      </c>
    </row>
    <row r="19" spans="1:11" x14ac:dyDescent="0.3">
      <c r="A19" s="4">
        <v>8</v>
      </c>
      <c r="B19" s="32">
        <f t="shared" si="0"/>
        <v>22639.042544203956</v>
      </c>
      <c r="C19" s="25">
        <v>109.51051504641677</v>
      </c>
      <c r="D19" s="11">
        <f t="shared" si="1"/>
        <v>71.418090136807777</v>
      </c>
      <c r="E19" s="27">
        <v>876.61815166325812</v>
      </c>
      <c r="G19">
        <f t="shared" si="2"/>
        <v>2.4384000000000001</v>
      </c>
      <c r="H19" s="34">
        <f t="shared" si="3"/>
        <v>1.4283017219223364</v>
      </c>
      <c r="I19" s="34">
        <f t="shared" si="4"/>
        <v>33.378804986147834</v>
      </c>
      <c r="J19" s="35">
        <f>+E19*0.7457</f>
        <v>653.69415569529156</v>
      </c>
      <c r="K19" s="2">
        <f t="shared" ref="K19:K27" si="7">$D$12*H19*I19/J19</f>
        <v>0.71545965558722857</v>
      </c>
    </row>
    <row r="20" spans="1:11" x14ac:dyDescent="0.3">
      <c r="A20" s="4">
        <v>10</v>
      </c>
      <c r="B20" s="32">
        <f t="shared" si="0"/>
        <v>28298.803180254945</v>
      </c>
      <c r="C20" s="25">
        <v>108.01102837157788</v>
      </c>
      <c r="D20" s="11">
        <f t="shared" si="1"/>
        <v>74.878695252862229</v>
      </c>
      <c r="E20" s="27">
        <v>1030.8197134146665</v>
      </c>
      <c r="G20">
        <f t="shared" si="2"/>
        <v>3.048</v>
      </c>
      <c r="H20" s="34">
        <f t="shared" si="3"/>
        <v>1.7853771524029203</v>
      </c>
      <c r="I20" s="34">
        <f t="shared" si="4"/>
        <v>32.921761447656941</v>
      </c>
      <c r="J20" s="34">
        <f t="shared" ref="J20:J30" si="8">+E20*0.7457</f>
        <v>768.68226029331686</v>
      </c>
      <c r="K20" s="2">
        <f t="shared" si="7"/>
        <v>0.75012766952757404</v>
      </c>
    </row>
    <row r="21" spans="1:11" x14ac:dyDescent="0.3">
      <c r="A21" s="4">
        <v>12</v>
      </c>
      <c r="B21" s="32">
        <f t="shared" si="0"/>
        <v>33958.563816305934</v>
      </c>
      <c r="C21" s="25">
        <v>106.16514088523554</v>
      </c>
      <c r="D21" s="11">
        <f t="shared" si="1"/>
        <v>77.109628095859165</v>
      </c>
      <c r="E21" s="27">
        <v>1180.6670976329533</v>
      </c>
      <c r="G21">
        <f t="shared" si="2"/>
        <v>3.6576000000000004</v>
      </c>
      <c r="H21" s="34">
        <f t="shared" si="3"/>
        <v>2.1424525828835046</v>
      </c>
      <c r="I21" s="34">
        <f t="shared" si="4"/>
        <v>32.359134941819796</v>
      </c>
      <c r="J21" s="34">
        <f t="shared" si="8"/>
        <v>880.42345470489329</v>
      </c>
      <c r="K21" s="2">
        <f t="shared" si="7"/>
        <v>0.77247694322603466</v>
      </c>
    </row>
    <row r="22" spans="1:11" x14ac:dyDescent="0.3">
      <c r="A22" s="4">
        <v>14</v>
      </c>
      <c r="B22" s="32">
        <f t="shared" si="0"/>
        <v>39618.324452356923</v>
      </c>
      <c r="C22" s="25">
        <v>103.99682513667045</v>
      </c>
      <c r="D22" s="11">
        <f t="shared" si="1"/>
        <v>78.355607844983155</v>
      </c>
      <c r="E22" s="27">
        <v>1327.855801945281</v>
      </c>
      <c r="G22">
        <f t="shared" si="2"/>
        <v>4.2671999999999999</v>
      </c>
      <c r="H22" s="34">
        <f t="shared" si="3"/>
        <v>2.4995280133640887</v>
      </c>
      <c r="I22" s="34">
        <f t="shared" si="4"/>
        <v>31.698232301657157</v>
      </c>
      <c r="J22" s="34">
        <f t="shared" si="8"/>
        <v>990.18207151059607</v>
      </c>
      <c r="K22" s="2">
        <f t="shared" si="7"/>
        <v>0.78495905021698409</v>
      </c>
    </row>
    <row r="23" spans="1:11" x14ac:dyDescent="0.3">
      <c r="A23" s="4">
        <v>16</v>
      </c>
      <c r="B23" s="32">
        <f t="shared" si="0"/>
        <v>45278.085088407912</v>
      </c>
      <c r="C23" s="25">
        <v>101.54239039924866</v>
      </c>
      <c r="D23" s="11">
        <f t="shared" si="1"/>
        <v>78.745760545303426</v>
      </c>
      <c r="E23" s="27">
        <v>1474.3923415459931</v>
      </c>
      <c r="G23">
        <f t="shared" si="2"/>
        <v>4.8768000000000002</v>
      </c>
      <c r="H23" s="34">
        <f t="shared" si="3"/>
        <v>2.8566034438446728</v>
      </c>
      <c r="I23" s="34">
        <f t="shared" si="4"/>
        <v>30.950120593690993</v>
      </c>
      <c r="J23" s="34">
        <f t="shared" si="8"/>
        <v>1099.454369090847</v>
      </c>
      <c r="K23" s="2">
        <f t="shared" si="7"/>
        <v>0.78886756297702643</v>
      </c>
    </row>
    <row r="24" spans="1:11" x14ac:dyDescent="0.3">
      <c r="A24" s="4">
        <v>18</v>
      </c>
      <c r="B24" s="32">
        <f t="shared" si="0"/>
        <v>50937.845724458901</v>
      </c>
      <c r="C24" s="25">
        <v>98.84802155820627</v>
      </c>
      <c r="D24" s="11">
        <f t="shared" si="1"/>
        <v>78.347575156743346</v>
      </c>
      <c r="E24" s="27">
        <v>1622.8852365054029</v>
      </c>
      <c r="G24">
        <f t="shared" si="2"/>
        <v>5.4864000000000006</v>
      </c>
      <c r="H24" s="34">
        <f t="shared" si="3"/>
        <v>3.2136788743252565</v>
      </c>
      <c r="I24" s="34">
        <f t="shared" si="4"/>
        <v>30.128876970941274</v>
      </c>
      <c r="J24" s="34">
        <f t="shared" si="8"/>
        <v>1210.1855208620789</v>
      </c>
      <c r="K24" s="2">
        <f t="shared" si="7"/>
        <v>0.78487857950780526</v>
      </c>
    </row>
    <row r="25" spans="1:11" x14ac:dyDescent="0.3">
      <c r="A25" s="4">
        <v>20</v>
      </c>
      <c r="B25" s="32">
        <f t="shared" si="0"/>
        <v>56597.60636050989</v>
      </c>
      <c r="C25" s="25">
        <v>95.966952520913182</v>
      </c>
      <c r="D25" s="11">
        <f t="shared" si="1"/>
        <v>77.197318440056904</v>
      </c>
      <c r="E25" s="27">
        <v>1776.7338126596146</v>
      </c>
      <c r="G25">
        <f t="shared" si="2"/>
        <v>6.0960000000000001</v>
      </c>
      <c r="H25" s="34">
        <f t="shared" si="3"/>
        <v>3.5707543048058406</v>
      </c>
      <c r="I25" s="34">
        <f t="shared" si="4"/>
        <v>29.25072712837434</v>
      </c>
      <c r="J25" s="34">
        <f t="shared" si="8"/>
        <v>1324.9104041002747</v>
      </c>
      <c r="K25" s="2">
        <f t="shared" si="7"/>
        <v>0.77335541677997377</v>
      </c>
    </row>
    <row r="26" spans="1:11" x14ac:dyDescent="0.3">
      <c r="A26" s="4">
        <v>22</v>
      </c>
      <c r="B26" s="32">
        <f t="shared" si="0"/>
        <v>62257.366996560879</v>
      </c>
      <c r="C26" s="25">
        <v>92.956547008200985</v>
      </c>
      <c r="D26" s="11">
        <f t="shared" si="1"/>
        <v>75.32013568023136</v>
      </c>
      <c r="E26" s="27">
        <v>1940.280204065019</v>
      </c>
      <c r="G26">
        <f t="shared" si="2"/>
        <v>6.7056000000000004</v>
      </c>
      <c r="H26" s="34">
        <f t="shared" si="3"/>
        <v>3.9278297352864247</v>
      </c>
      <c r="I26" s="34">
        <f t="shared" si="4"/>
        <v>28.333155528099663</v>
      </c>
      <c r="J26" s="34">
        <f t="shared" si="8"/>
        <v>1446.8669481712848</v>
      </c>
      <c r="K26" s="2">
        <f t="shared" si="7"/>
        <v>0.75454997787442024</v>
      </c>
    </row>
    <row r="27" spans="1:11" x14ac:dyDescent="0.3">
      <c r="A27" s="4">
        <v>24</v>
      </c>
      <c r="B27" s="32">
        <f t="shared" si="0"/>
        <v>67917.127632611868</v>
      </c>
      <c r="C27" s="25">
        <v>89.875546479220858</v>
      </c>
      <c r="D27" s="11">
        <f t="shared" si="1"/>
        <v>72.745048933891951</v>
      </c>
      <c r="E27" s="27">
        <v>2118.9574121870969</v>
      </c>
      <c r="G27">
        <f t="shared" si="2"/>
        <v>7.3152000000000008</v>
      </c>
      <c r="H27" s="34">
        <f t="shared" si="3"/>
        <v>4.2849051657670092</v>
      </c>
      <c r="I27" s="34">
        <f t="shared" si="4"/>
        <v>27.39406656686652</v>
      </c>
      <c r="J27" s="34">
        <f t="shared" si="8"/>
        <v>1580.1065422679183</v>
      </c>
      <c r="K27" s="2">
        <f t="shared" si="7"/>
        <v>0.72875300300273138</v>
      </c>
    </row>
    <row r="28" spans="1:11" x14ac:dyDescent="0.3">
      <c r="A28" s="4">
        <v>26</v>
      </c>
      <c r="B28" s="32">
        <f t="shared" si="0"/>
        <v>73576.888268662864</v>
      </c>
      <c r="C28" s="25">
        <v>86.781698520794137</v>
      </c>
      <c r="D28" s="11">
        <f t="shared" si="1"/>
        <v>69.516853126649153</v>
      </c>
      <c r="E28" s="27">
        <v>2319.446034112932</v>
      </c>
      <c r="G28">
        <f t="shared" si="2"/>
        <v>7.9248000000000003</v>
      </c>
      <c r="H28" s="34">
        <f t="shared" si="3"/>
        <v>4.6419805962475937</v>
      </c>
      <c r="I28" s="34">
        <f t="shared" si="4"/>
        <v>26.451061709138056</v>
      </c>
      <c r="J28" s="34">
        <f t="shared" si="8"/>
        <v>1729.6109076380135</v>
      </c>
      <c r="K28" s="2">
        <f t="shared" ref="K28" si="9">$D$12*H28*I28/J28</f>
        <v>0.69641324348250722</v>
      </c>
    </row>
    <row r="29" spans="1:11" x14ac:dyDescent="0.3">
      <c r="A29" s="4">
        <v>28</v>
      </c>
      <c r="B29" s="32">
        <f t="shared" si="0"/>
        <v>79236.648904713846</v>
      </c>
      <c r="C29" s="25">
        <v>83.729912882852531</v>
      </c>
      <c r="D29" s="11">
        <f t="shared" si="1"/>
        <v>65.705382939207482</v>
      </c>
      <c r="E29" s="27">
        <v>2549.8263370917853</v>
      </c>
      <c r="G29">
        <f t="shared" si="2"/>
        <v>8.5343999999999998</v>
      </c>
      <c r="H29" s="34">
        <f t="shared" si="3"/>
        <v>4.9990560267281774</v>
      </c>
      <c r="I29" s="34">
        <f t="shared" si="4"/>
        <v>25.520877446693454</v>
      </c>
      <c r="J29" s="34">
        <f t="shared" si="8"/>
        <v>1901.4054995693443</v>
      </c>
      <c r="K29" s="2">
        <f>$D$12*H29*I29/J29</f>
        <v>0.65823029652377052</v>
      </c>
    </row>
    <row r="30" spans="1:11" x14ac:dyDescent="0.3">
      <c r="A30" s="4">
        <v>30</v>
      </c>
      <c r="B30" s="32">
        <f t="shared" si="0"/>
        <v>84896.409540764827</v>
      </c>
      <c r="C30" s="25">
        <v>80.771021393068821</v>
      </c>
      <c r="D30" s="11">
        <f t="shared" si="1"/>
        <v>61.41179783287653</v>
      </c>
      <c r="E30" s="27">
        <v>2819.6675134712896</v>
      </c>
      <c r="G30">
        <f t="shared" si="2"/>
        <v>9.1440000000000001</v>
      </c>
      <c r="H30" s="34">
        <f t="shared" si="3"/>
        <v>5.356131457208761</v>
      </c>
      <c r="I30" s="34">
        <f t="shared" si="4"/>
        <v>24.619007320607377</v>
      </c>
      <c r="J30" s="34">
        <f t="shared" si="8"/>
        <v>2102.6260647955405</v>
      </c>
      <c r="K30" s="2">
        <f>$D$12*H30*I30/J30</f>
        <v>0.61521756801863225</v>
      </c>
    </row>
    <row r="31" spans="1:11" x14ac:dyDescent="0.3">
      <c r="K31" s="2"/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K31"/>
  <sheetViews>
    <sheetView workbookViewId="0">
      <selection activeCell="B1" sqref="B1"/>
    </sheetView>
  </sheetViews>
  <sheetFormatPr defaultRowHeight="14.4" x14ac:dyDescent="0.3"/>
  <cols>
    <col min="1" max="1" width="15.109375" bestFit="1" customWidth="1"/>
    <col min="2" max="2" width="10.109375" bestFit="1" customWidth="1"/>
    <col min="5" max="5" width="9.109375" bestFit="1" customWidth="1"/>
    <col min="8" max="8" width="11.88671875" customWidth="1"/>
    <col min="10" max="10" width="9.44140625" customWidth="1"/>
  </cols>
  <sheetData>
    <row r="1" spans="1:11" x14ac:dyDescent="0.3">
      <c r="H1" s="6" t="s">
        <v>16</v>
      </c>
      <c r="I1" s="5">
        <v>448.83100000000002</v>
      </c>
    </row>
    <row r="2" spans="1:11" x14ac:dyDescent="0.3">
      <c r="A2" t="s">
        <v>20</v>
      </c>
      <c r="B2" s="33" t="s">
        <v>62</v>
      </c>
    </row>
    <row r="4" spans="1:11" x14ac:dyDescent="0.3">
      <c r="A4" t="s">
        <v>68</v>
      </c>
      <c r="B4" s="4">
        <v>84</v>
      </c>
      <c r="C4" t="s">
        <v>9</v>
      </c>
      <c r="D4" s="36">
        <f>B4*0.3048/12</f>
        <v>2.1335999999999999</v>
      </c>
      <c r="E4" t="s">
        <v>10</v>
      </c>
    </row>
    <row r="5" spans="1:11" x14ac:dyDescent="0.3">
      <c r="A5" t="s">
        <v>67</v>
      </c>
      <c r="B5" s="4">
        <v>34</v>
      </c>
      <c r="C5" t="s">
        <v>9</v>
      </c>
      <c r="D5" s="36">
        <f>B5*0.3048/12</f>
        <v>0.86360000000000003</v>
      </c>
      <c r="E5" t="s">
        <v>10</v>
      </c>
    </row>
    <row r="6" spans="1:11" x14ac:dyDescent="0.3">
      <c r="A6" t="s">
        <v>69</v>
      </c>
      <c r="B6" s="4">
        <v>34</v>
      </c>
      <c r="C6" t="s">
        <v>9</v>
      </c>
      <c r="D6" s="36">
        <f>B6*0.3048/12</f>
        <v>0.86360000000000003</v>
      </c>
      <c r="E6" t="s">
        <v>10</v>
      </c>
      <c r="G6" s="6" t="s">
        <v>17</v>
      </c>
      <c r="H6">
        <f>PI()*(B6/2/12)^2</f>
        <v>6.3050019228295158</v>
      </c>
      <c r="I6" t="s">
        <v>18</v>
      </c>
    </row>
    <row r="7" spans="1:11" x14ac:dyDescent="0.3">
      <c r="A7" t="s">
        <v>70</v>
      </c>
      <c r="B7" s="4">
        <v>315</v>
      </c>
      <c r="C7" t="s">
        <v>5</v>
      </c>
      <c r="D7" s="36">
        <f>B7/60</f>
        <v>5.25</v>
      </c>
      <c r="E7" t="s">
        <v>6</v>
      </c>
    </row>
    <row r="9" spans="1:11" x14ac:dyDescent="0.3">
      <c r="A9" t="s">
        <v>61</v>
      </c>
      <c r="D9" s="37" t="s">
        <v>63</v>
      </c>
    </row>
    <row r="10" spans="1:11" x14ac:dyDescent="0.3">
      <c r="A10" t="s">
        <v>21</v>
      </c>
      <c r="D10" s="34">
        <f>MainDriver!D12/MainPump!design_speed</f>
        <v>2.8571428571428572</v>
      </c>
    </row>
    <row r="11" spans="1:11" x14ac:dyDescent="0.3">
      <c r="A11" t="s">
        <v>66</v>
      </c>
      <c r="B11">
        <f>MAX(MainDriver!B4:B12)</f>
        <v>5000</v>
      </c>
      <c r="C11" t="s">
        <v>4</v>
      </c>
      <c r="D11" s="34">
        <f>B11*0.7457</f>
        <v>3728.5</v>
      </c>
      <c r="E11" t="s">
        <v>11</v>
      </c>
    </row>
    <row r="12" spans="1:11" x14ac:dyDescent="0.3">
      <c r="A12" t="s">
        <v>1</v>
      </c>
      <c r="B12">
        <v>32.14</v>
      </c>
      <c r="C12" t="s">
        <v>7</v>
      </c>
      <c r="D12">
        <v>9.81</v>
      </c>
      <c r="E12" t="s">
        <v>8</v>
      </c>
    </row>
    <row r="14" spans="1:11" x14ac:dyDescent="0.3">
      <c r="A14" t="s">
        <v>15</v>
      </c>
      <c r="B14" t="s">
        <v>2</v>
      </c>
      <c r="C14" t="s">
        <v>3</v>
      </c>
      <c r="D14" t="s">
        <v>13</v>
      </c>
      <c r="E14" t="s">
        <v>14</v>
      </c>
      <c r="G14" t="s">
        <v>12</v>
      </c>
      <c r="H14" s="34" t="s">
        <v>59</v>
      </c>
      <c r="I14" s="34" t="s">
        <v>60</v>
      </c>
      <c r="J14" s="34" t="s">
        <v>23</v>
      </c>
      <c r="K14" t="s">
        <v>0</v>
      </c>
    </row>
    <row r="15" spans="1:11" x14ac:dyDescent="0.3">
      <c r="A15" s="7">
        <v>0</v>
      </c>
      <c r="B15" s="32">
        <f t="shared" ref="B15:B30" si="0">A15*$H$6*CFS_to_GPM</f>
        <v>0</v>
      </c>
      <c r="C15" s="25">
        <v>284.60390967860326</v>
      </c>
      <c r="D15" s="11">
        <f t="shared" ref="D15:D30" si="1">100*C15*B15/(3960*E15)</f>
        <v>0</v>
      </c>
      <c r="E15" s="26">
        <v>800</v>
      </c>
      <c r="F15" s="30"/>
      <c r="G15">
        <f t="shared" ref="G15:G30" si="2">A15*0.3048</f>
        <v>0</v>
      </c>
      <c r="H15" s="34">
        <f t="shared" ref="H15:H30" si="3">B15*0.0000630902</f>
        <v>0</v>
      </c>
      <c r="I15" s="34">
        <f t="shared" ref="I15:I30" si="4">C15*0.3048</f>
        <v>86.747271670038273</v>
      </c>
      <c r="J15" s="35">
        <f t="shared" ref="J15:J18" si="5">+E15*0.7457</f>
        <v>596.56000000000006</v>
      </c>
      <c r="K15" s="2">
        <f t="shared" ref="K15:K18" si="6">$D$12*H15*I15/J15</f>
        <v>0</v>
      </c>
    </row>
    <row r="16" spans="1:11" x14ac:dyDescent="0.3">
      <c r="A16" s="7">
        <v>2</v>
      </c>
      <c r="B16" s="32">
        <f t="shared" si="0"/>
        <v>5659.760636050989</v>
      </c>
      <c r="C16" s="25">
        <v>283.63015918273595</v>
      </c>
      <c r="D16" s="11">
        <f t="shared" si="1"/>
        <v>32.799198934337774</v>
      </c>
      <c r="E16" s="26">
        <v>1235.9248093692947</v>
      </c>
      <c r="F16" s="30"/>
      <c r="G16">
        <f t="shared" si="2"/>
        <v>0.60960000000000003</v>
      </c>
      <c r="H16" s="34">
        <f t="shared" si="3"/>
        <v>0.3570754304805841</v>
      </c>
      <c r="I16" s="34">
        <f t="shared" si="4"/>
        <v>86.450472518897925</v>
      </c>
      <c r="J16" s="35">
        <f t="shared" si="5"/>
        <v>921.62913034668316</v>
      </c>
      <c r="K16" s="2">
        <f t="shared" si="6"/>
        <v>0.32857926511540841</v>
      </c>
    </row>
    <row r="17" spans="1:11" x14ac:dyDescent="0.3">
      <c r="A17" s="7">
        <v>4</v>
      </c>
      <c r="B17" s="32">
        <f t="shared" si="0"/>
        <v>11319.521272101978</v>
      </c>
      <c r="C17" s="25">
        <v>282.32106151460493</v>
      </c>
      <c r="D17" s="11">
        <f t="shared" si="1"/>
        <v>44.591817117116321</v>
      </c>
      <c r="E17" s="26">
        <v>1809.7599877227742</v>
      </c>
      <c r="F17" s="30"/>
      <c r="G17">
        <f t="shared" si="2"/>
        <v>1.2192000000000001</v>
      </c>
      <c r="H17" s="34">
        <f t="shared" si="3"/>
        <v>0.7141508609611682</v>
      </c>
      <c r="I17" s="34">
        <f t="shared" si="4"/>
        <v>86.051459549651582</v>
      </c>
      <c r="J17" s="35">
        <f t="shared" si="5"/>
        <v>1349.5380228448728</v>
      </c>
      <c r="K17" s="2">
        <f t="shared" si="6"/>
        <v>0.44671659597038255</v>
      </c>
    </row>
    <row r="18" spans="1:11" x14ac:dyDescent="0.3">
      <c r="A18" s="7">
        <v>6</v>
      </c>
      <c r="B18" s="32">
        <f t="shared" si="0"/>
        <v>16979.281908152967</v>
      </c>
      <c r="C18" s="25">
        <v>280.62143872503043</v>
      </c>
      <c r="D18" s="11">
        <f t="shared" si="1"/>
        <v>52.405097925520074</v>
      </c>
      <c r="E18" s="28">
        <v>2295.9976706516709</v>
      </c>
      <c r="F18" s="31"/>
      <c r="G18">
        <f t="shared" si="2"/>
        <v>1.8288000000000002</v>
      </c>
      <c r="H18" s="34">
        <f t="shared" si="3"/>
        <v>1.0712262914417523</v>
      </c>
      <c r="I18" s="34">
        <f t="shared" si="4"/>
        <v>85.533414523389283</v>
      </c>
      <c r="J18" s="35">
        <f t="shared" si="5"/>
        <v>1712.1254630049511</v>
      </c>
      <c r="K18" s="29">
        <f t="shared" si="6"/>
        <v>0.52498930230400953</v>
      </c>
    </row>
    <row r="19" spans="1:11" x14ac:dyDescent="0.3">
      <c r="A19" s="4">
        <v>8</v>
      </c>
      <c r="B19" s="32">
        <f t="shared" si="0"/>
        <v>22639.042544203956</v>
      </c>
      <c r="C19" s="25">
        <v>278.49043707319078</v>
      </c>
      <c r="D19" s="11">
        <f t="shared" si="1"/>
        <v>58.217415029498866</v>
      </c>
      <c r="E19" s="27">
        <v>2734.7664193283617</v>
      </c>
      <c r="G19">
        <f t="shared" si="2"/>
        <v>2.4384000000000001</v>
      </c>
      <c r="H19" s="34">
        <f t="shared" si="3"/>
        <v>1.4283017219223364</v>
      </c>
      <c r="I19" s="34">
        <f t="shared" si="4"/>
        <v>84.883885219908549</v>
      </c>
      <c r="J19" s="35">
        <f>+E19*0.7457</f>
        <v>2039.3153188931594</v>
      </c>
      <c r="K19" s="2">
        <f t="shared" ref="K19:K27" si="7">$D$12*H19*I19/J19</f>
        <v>0.58321654396519762</v>
      </c>
    </row>
    <row r="20" spans="1:11" x14ac:dyDescent="0.3">
      <c r="A20" s="4">
        <v>10</v>
      </c>
      <c r="B20" s="32">
        <f t="shared" si="0"/>
        <v>28298.803180254945</v>
      </c>
      <c r="C20" s="25">
        <v>275.90201786958721</v>
      </c>
      <c r="D20" s="11">
        <f t="shared" si="1"/>
        <v>62.782468402691066</v>
      </c>
      <c r="E20" s="27">
        <v>3140.4318461172725</v>
      </c>
      <c r="G20">
        <f t="shared" si="2"/>
        <v>3.048</v>
      </c>
      <c r="H20" s="34">
        <f t="shared" si="3"/>
        <v>1.7853771524029203</v>
      </c>
      <c r="I20" s="34">
        <f t="shared" si="4"/>
        <v>84.094935046650193</v>
      </c>
      <c r="J20" s="34">
        <f t="shared" ref="J20:J30" si="8">+E20*0.7457</f>
        <v>2341.82002764965</v>
      </c>
      <c r="K20" s="2">
        <f t="shared" si="7"/>
        <v>0.62894881582887918</v>
      </c>
    </row>
    <row r="21" spans="1:11" x14ac:dyDescent="0.3">
      <c r="A21" s="4">
        <v>12</v>
      </c>
      <c r="B21" s="32">
        <f t="shared" si="0"/>
        <v>33958.563816305934</v>
      </c>
      <c r="C21" s="25">
        <v>272.84510084329219</v>
      </c>
      <c r="D21" s="11">
        <f t="shared" si="1"/>
        <v>66.475851600047918</v>
      </c>
      <c r="E21" s="27">
        <v>3519.7059244709994</v>
      </c>
      <c r="G21">
        <f t="shared" si="2"/>
        <v>3.6576000000000004</v>
      </c>
      <c r="H21" s="34">
        <f t="shared" si="3"/>
        <v>2.1424525828835046</v>
      </c>
      <c r="I21" s="34">
        <f t="shared" si="4"/>
        <v>83.16318673703546</v>
      </c>
      <c r="J21" s="34">
        <f t="shared" si="8"/>
        <v>2624.6447078780243</v>
      </c>
      <c r="K21" s="2">
        <f t="shared" si="7"/>
        <v>0.66594877851719381</v>
      </c>
    </row>
    <row r="22" spans="1:11" x14ac:dyDescent="0.3">
      <c r="A22" s="4">
        <v>14</v>
      </c>
      <c r="B22" s="32">
        <f t="shared" si="0"/>
        <v>39618.324452356923</v>
      </c>
      <c r="C22" s="25">
        <v>269.32328822176822</v>
      </c>
      <c r="D22" s="11">
        <f t="shared" si="1"/>
        <v>69.510253428598915</v>
      </c>
      <c r="E22" s="27">
        <v>3876.3765234392085</v>
      </c>
      <c r="G22">
        <f t="shared" si="2"/>
        <v>4.2671999999999999</v>
      </c>
      <c r="H22" s="34">
        <f t="shared" si="3"/>
        <v>2.4995280133640887</v>
      </c>
      <c r="I22" s="34">
        <f t="shared" si="4"/>
        <v>82.089738249994952</v>
      </c>
      <c r="J22" s="34">
        <f t="shared" si="8"/>
        <v>2890.6139735286179</v>
      </c>
      <c r="K22" s="2">
        <f t="shared" si="7"/>
        <v>0.69634712833318069</v>
      </c>
    </row>
    <row r="23" spans="1:11" x14ac:dyDescent="0.3">
      <c r="A23" s="4">
        <v>16</v>
      </c>
      <c r="B23" s="32">
        <f t="shared" si="0"/>
        <v>45278.085088407912</v>
      </c>
      <c r="C23" s="25">
        <v>265.35414000721357</v>
      </c>
      <c r="D23" s="11">
        <f t="shared" si="1"/>
        <v>72.014225198091921</v>
      </c>
      <c r="E23" s="27">
        <v>4213.087129155404</v>
      </c>
      <c r="G23">
        <f t="shared" si="2"/>
        <v>4.8768000000000002</v>
      </c>
      <c r="H23" s="34">
        <f t="shared" si="3"/>
        <v>2.8566034438446728</v>
      </c>
      <c r="I23" s="34">
        <f t="shared" si="4"/>
        <v>80.879941874198707</v>
      </c>
      <c r="J23" s="34">
        <f t="shared" si="8"/>
        <v>3141.699072211185</v>
      </c>
      <c r="K23" s="2">
        <f t="shared" si="7"/>
        <v>0.72143168010948622</v>
      </c>
    </row>
    <row r="24" spans="1:11" x14ac:dyDescent="0.3">
      <c r="A24" s="4">
        <v>18</v>
      </c>
      <c r="B24" s="32">
        <f t="shared" si="0"/>
        <v>50937.845724458901</v>
      </c>
      <c r="C24" s="25">
        <v>260.96801410809252</v>
      </c>
      <c r="D24" s="11">
        <f t="shared" si="1"/>
        <v>74.067569402059263</v>
      </c>
      <c r="E24" s="27">
        <v>4532.1531328549681</v>
      </c>
      <c r="G24">
        <f t="shared" si="2"/>
        <v>5.4864000000000006</v>
      </c>
      <c r="H24" s="34">
        <f t="shared" si="3"/>
        <v>3.2136788743252565</v>
      </c>
      <c r="I24" s="34">
        <f t="shared" si="4"/>
        <v>79.543050700146608</v>
      </c>
      <c r="J24" s="34">
        <f t="shared" si="8"/>
        <v>3379.6265911699497</v>
      </c>
      <c r="K24" s="2">
        <f t="shared" si="7"/>
        <v>0.74200188765995889</v>
      </c>
    </row>
    <row r="25" spans="1:11" x14ac:dyDescent="0.3">
      <c r="A25" s="4">
        <v>20</v>
      </c>
      <c r="B25" s="32">
        <f t="shared" si="0"/>
        <v>56597.60636050989</v>
      </c>
      <c r="C25" s="25">
        <v>256.2065248654842</v>
      </c>
      <c r="D25" s="11">
        <f t="shared" si="1"/>
        <v>75.719659588094515</v>
      </c>
      <c r="E25" s="27">
        <v>4835.9790562234675</v>
      </c>
      <c r="G25">
        <f t="shared" si="2"/>
        <v>6.0960000000000001</v>
      </c>
      <c r="H25" s="34">
        <f t="shared" si="3"/>
        <v>3.5707543048058406</v>
      </c>
      <c r="I25" s="34">
        <f t="shared" si="4"/>
        <v>78.091748778999587</v>
      </c>
      <c r="J25" s="34">
        <f t="shared" si="8"/>
        <v>3606.1895822258398</v>
      </c>
      <c r="K25" s="2">
        <f t="shared" si="7"/>
        <v>0.75855237050310953</v>
      </c>
    </row>
    <row r="26" spans="1:11" x14ac:dyDescent="0.3">
      <c r="A26" s="4">
        <v>22</v>
      </c>
      <c r="B26" s="32">
        <f t="shared" si="0"/>
        <v>62257.366996560879</v>
      </c>
      <c r="C26" s="25">
        <v>251.12070616305218</v>
      </c>
      <c r="D26" s="11">
        <f t="shared" si="1"/>
        <v>77.000062036058779</v>
      </c>
      <c r="E26" s="27">
        <v>5127.279735081358</v>
      </c>
      <c r="G26">
        <f t="shared" si="2"/>
        <v>6.7056000000000004</v>
      </c>
      <c r="H26" s="34">
        <f t="shared" si="3"/>
        <v>3.9278297352864247</v>
      </c>
      <c r="I26" s="34">
        <f t="shared" si="4"/>
        <v>76.541591238498313</v>
      </c>
      <c r="J26" s="34">
        <f t="shared" si="8"/>
        <v>3823.4124984501686</v>
      </c>
      <c r="K26" s="2">
        <f t="shared" si="7"/>
        <v>0.77137932082730243</v>
      </c>
    </row>
    <row r="27" spans="1:11" x14ac:dyDescent="0.3">
      <c r="A27" s="4">
        <v>24</v>
      </c>
      <c r="B27" s="32">
        <f t="shared" si="0"/>
        <v>67917.127632611868</v>
      </c>
      <c r="C27" s="25">
        <v>245.76898773308471</v>
      </c>
      <c r="D27" s="11">
        <f t="shared" si="1"/>
        <v>77.925349887089979</v>
      </c>
      <c r="E27" s="27">
        <v>5409.1925870129789</v>
      </c>
      <c r="G27">
        <f t="shared" si="2"/>
        <v>7.3152000000000008</v>
      </c>
      <c r="H27" s="34">
        <f t="shared" si="3"/>
        <v>4.2849051657670092</v>
      </c>
      <c r="I27" s="34">
        <f t="shared" si="4"/>
        <v>74.910387461044223</v>
      </c>
      <c r="J27" s="34">
        <f t="shared" si="8"/>
        <v>4033.6349121355784</v>
      </c>
      <c r="K27" s="2">
        <f t="shared" si="7"/>
        <v>0.78064876678909856</v>
      </c>
    </row>
    <row r="28" spans="1:11" x14ac:dyDescent="0.3">
      <c r="A28" s="4">
        <v>26</v>
      </c>
      <c r="B28" s="32">
        <f t="shared" si="0"/>
        <v>73576.888268662864</v>
      </c>
      <c r="C28" s="25">
        <v>240.21510391176363</v>
      </c>
      <c r="D28" s="11">
        <f t="shared" si="1"/>
        <v>78.503908610427686</v>
      </c>
      <c r="E28" s="27">
        <v>5685.3245450995701</v>
      </c>
      <c r="G28">
        <f t="shared" si="2"/>
        <v>7.9248000000000003</v>
      </c>
      <c r="H28" s="34">
        <f t="shared" si="3"/>
        <v>4.6419805962475937</v>
      </c>
      <c r="I28" s="34">
        <f t="shared" si="4"/>
        <v>73.217563672305559</v>
      </c>
      <c r="J28" s="34">
        <f t="shared" si="8"/>
        <v>4239.5465132807494</v>
      </c>
      <c r="K28" s="2">
        <f t="shared" ref="K28" si="9">$D$12*H28*I28/J28</f>
        <v>0.786444713224284</v>
      </c>
    </row>
    <row r="29" spans="1:11" x14ac:dyDescent="0.3">
      <c r="A29" s="4">
        <v>28</v>
      </c>
      <c r="B29" s="32">
        <f t="shared" si="0"/>
        <v>79236.648904713846</v>
      </c>
      <c r="C29" s="25">
        <v>234.52605302036019</v>
      </c>
      <c r="D29" s="11">
        <f t="shared" si="1"/>
        <v>78.739626218925864</v>
      </c>
      <c r="E29" s="27">
        <v>5959.7584740347256</v>
      </c>
      <c r="G29">
        <f t="shared" si="2"/>
        <v>8.5343999999999998</v>
      </c>
      <c r="H29" s="34">
        <f t="shared" si="3"/>
        <v>4.9990560267281774</v>
      </c>
      <c r="I29" s="34">
        <f t="shared" si="4"/>
        <v>71.483540960605794</v>
      </c>
      <c r="J29" s="34">
        <f t="shared" si="8"/>
        <v>4444.1918940876949</v>
      </c>
      <c r="K29" s="2">
        <f>$D$12*H29*I29/J29</f>
        <v>0.78880610987699351</v>
      </c>
    </row>
    <row r="30" spans="1:11" x14ac:dyDescent="0.3">
      <c r="A30" s="4">
        <v>30</v>
      </c>
      <c r="B30" s="32">
        <f t="shared" si="0"/>
        <v>84896.409540764827</v>
      </c>
      <c r="C30" s="25">
        <v>228.77021431529786</v>
      </c>
      <c r="D30" s="11">
        <f t="shared" si="1"/>
        <v>78.634926058357621</v>
      </c>
      <c r="E30" s="27">
        <v>6237.0343184602061</v>
      </c>
      <c r="G30">
        <f t="shared" si="2"/>
        <v>9.1440000000000001</v>
      </c>
      <c r="H30" s="34">
        <f t="shared" si="3"/>
        <v>5.356131457208761</v>
      </c>
      <c r="I30" s="34">
        <f t="shared" si="4"/>
        <v>69.72916132330279</v>
      </c>
      <c r="J30" s="34">
        <f t="shared" si="8"/>
        <v>4650.956491275776</v>
      </c>
      <c r="K30" s="2">
        <f>$D$12*H30*I30/J30</f>
        <v>0.78775723359541561</v>
      </c>
    </row>
    <row r="31" spans="1:11" x14ac:dyDescent="0.3">
      <c r="K31" s="2"/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workbookViewId="0">
      <selection activeCell="H34" sqref="H34"/>
    </sheetView>
  </sheetViews>
  <sheetFormatPr defaultRowHeight="14.4" x14ac:dyDescent="0.3"/>
  <cols>
    <col min="1" max="1" width="10.44140625" bestFit="1" customWidth="1"/>
    <col min="2" max="2" width="9.109375" bestFit="1" customWidth="1"/>
    <col min="4" max="4" width="10.33203125" bestFit="1" customWidth="1"/>
    <col min="5" max="5" width="9.109375" bestFit="1" customWidth="1"/>
  </cols>
  <sheetData>
    <row r="1" spans="1:5" x14ac:dyDescent="0.3">
      <c r="A1" t="s">
        <v>20</v>
      </c>
      <c r="B1" s="34" t="s">
        <v>64</v>
      </c>
    </row>
    <row r="3" spans="1:5" x14ac:dyDescent="0.3">
      <c r="A3" t="s">
        <v>22</v>
      </c>
      <c r="B3" t="s">
        <v>14</v>
      </c>
      <c r="D3" s="34" t="s">
        <v>65</v>
      </c>
      <c r="E3" s="34" t="s">
        <v>23</v>
      </c>
    </row>
    <row r="4" spans="1:5" x14ac:dyDescent="0.3">
      <c r="A4" s="4">
        <v>200</v>
      </c>
      <c r="B4" s="67">
        <v>700.00000000000011</v>
      </c>
      <c r="D4" s="38">
        <f>A4/60</f>
        <v>3.3333333333333335</v>
      </c>
      <c r="E4" s="39">
        <f>B4*0.7457</f>
        <v>521.99000000000012</v>
      </c>
    </row>
    <row r="5" spans="1:5" x14ac:dyDescent="0.3">
      <c r="A5" s="4">
        <v>300</v>
      </c>
      <c r="B5" s="67">
        <v>950</v>
      </c>
      <c r="D5" s="38">
        <f t="shared" ref="D5:D12" si="0">A5/60</f>
        <v>5</v>
      </c>
      <c r="E5" s="39">
        <f t="shared" ref="E5:E12" si="1">B5*0.7457</f>
        <v>708.41500000000008</v>
      </c>
    </row>
    <row r="6" spans="1:5" x14ac:dyDescent="0.3">
      <c r="A6" s="4">
        <v>400</v>
      </c>
      <c r="B6" s="67">
        <v>1450</v>
      </c>
      <c r="D6" s="38">
        <f t="shared" si="0"/>
        <v>6.666666666666667</v>
      </c>
      <c r="E6" s="39">
        <f t="shared" si="1"/>
        <v>1081.2650000000001</v>
      </c>
    </row>
    <row r="7" spans="1:5" x14ac:dyDescent="0.3">
      <c r="A7" s="4">
        <v>500</v>
      </c>
      <c r="B7" s="67">
        <v>2250</v>
      </c>
      <c r="D7" s="38">
        <f t="shared" si="0"/>
        <v>8.3333333333333339</v>
      </c>
      <c r="E7" s="39">
        <f t="shared" si="1"/>
        <v>1677.825</v>
      </c>
    </row>
    <row r="8" spans="1:5" x14ac:dyDescent="0.3">
      <c r="A8" s="4">
        <v>600</v>
      </c>
      <c r="B8" s="67">
        <v>3200</v>
      </c>
      <c r="D8" s="38">
        <f t="shared" si="0"/>
        <v>10</v>
      </c>
      <c r="E8" s="39">
        <f t="shared" si="1"/>
        <v>2386.2400000000002</v>
      </c>
    </row>
    <row r="9" spans="1:5" x14ac:dyDescent="0.3">
      <c r="A9" s="4">
        <v>700</v>
      </c>
      <c r="B9" s="67">
        <v>4400</v>
      </c>
      <c r="D9" s="38">
        <f t="shared" si="0"/>
        <v>11.666666666666666</v>
      </c>
      <c r="E9" s="39">
        <f t="shared" si="1"/>
        <v>3281.08</v>
      </c>
    </row>
    <row r="10" spans="1:5" x14ac:dyDescent="0.3">
      <c r="A10" s="4">
        <v>765</v>
      </c>
      <c r="B10" s="67">
        <v>4850</v>
      </c>
      <c r="D10" s="38">
        <f t="shared" si="0"/>
        <v>12.75</v>
      </c>
      <c r="E10" s="39">
        <f t="shared" si="1"/>
        <v>3616.645</v>
      </c>
    </row>
    <row r="11" spans="1:5" x14ac:dyDescent="0.3">
      <c r="A11" s="4">
        <v>800</v>
      </c>
      <c r="B11" s="67">
        <v>5000</v>
      </c>
      <c r="D11" s="38">
        <f t="shared" si="0"/>
        <v>13.333333333333334</v>
      </c>
      <c r="E11" s="39">
        <f t="shared" si="1"/>
        <v>3728.5</v>
      </c>
    </row>
    <row r="12" spans="1:5" x14ac:dyDescent="0.3">
      <c r="A12" s="4">
        <v>900</v>
      </c>
      <c r="B12" s="67">
        <v>5000</v>
      </c>
      <c r="D12" s="38">
        <f t="shared" si="0"/>
        <v>15</v>
      </c>
      <c r="E12" s="39">
        <f t="shared" si="1"/>
        <v>3728.5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33E8-A59A-4E9F-B033-19382DFDA4BB}">
  <dimension ref="A1:C13"/>
  <sheetViews>
    <sheetView workbookViewId="0">
      <selection activeCell="F16" sqref="F16"/>
    </sheetView>
  </sheetViews>
  <sheetFormatPr defaultRowHeight="14.4" x14ac:dyDescent="0.3"/>
  <cols>
    <col min="1" max="1" width="11.5546875" bestFit="1" customWidth="1"/>
    <col min="2" max="2" width="10.77734375" style="9" bestFit="1" customWidth="1"/>
  </cols>
  <sheetData>
    <row r="1" spans="1:3" x14ac:dyDescent="0.3">
      <c r="A1" t="s">
        <v>79</v>
      </c>
      <c r="C1" s="33" t="s">
        <v>92</v>
      </c>
    </row>
    <row r="3" spans="1:3" x14ac:dyDescent="0.3">
      <c r="A3" t="s">
        <v>80</v>
      </c>
      <c r="B3" s="9" t="s">
        <v>10</v>
      </c>
      <c r="C3" s="33">
        <v>0.76200000000000001</v>
      </c>
    </row>
    <row r="5" spans="1:3" x14ac:dyDescent="0.3">
      <c r="A5" t="s">
        <v>81</v>
      </c>
      <c r="B5" s="9" t="s">
        <v>86</v>
      </c>
      <c r="C5" s="33">
        <v>7.4999999999999997E-2</v>
      </c>
    </row>
    <row r="6" spans="1:3" x14ac:dyDescent="0.3">
      <c r="A6" t="s">
        <v>82</v>
      </c>
      <c r="B6" s="9" t="s">
        <v>86</v>
      </c>
      <c r="C6" s="33">
        <v>0.25</v>
      </c>
    </row>
    <row r="7" spans="1:3" x14ac:dyDescent="0.3">
      <c r="A7" t="s">
        <v>83</v>
      </c>
      <c r="B7" s="9" t="s">
        <v>86</v>
      </c>
      <c r="C7" s="33">
        <v>0.42499999999999999</v>
      </c>
    </row>
    <row r="9" spans="1:3" x14ac:dyDescent="0.3">
      <c r="A9" t="s">
        <v>84</v>
      </c>
      <c r="B9" s="9" t="s">
        <v>90</v>
      </c>
      <c r="C9" s="60" t="s">
        <v>93</v>
      </c>
    </row>
    <row r="10" spans="1:3" x14ac:dyDescent="0.3">
      <c r="A10" t="s">
        <v>85</v>
      </c>
      <c r="B10" s="9" t="s">
        <v>91</v>
      </c>
      <c r="C10" s="33">
        <v>0.1</v>
      </c>
    </row>
    <row r="12" spans="1:3" x14ac:dyDescent="0.3">
      <c r="A12" t="s">
        <v>87</v>
      </c>
      <c r="B12" s="9" t="s">
        <v>89</v>
      </c>
      <c r="C12" s="61">
        <v>2.65</v>
      </c>
    </row>
    <row r="13" spans="1:3" x14ac:dyDescent="0.3">
      <c r="A13" t="s">
        <v>88</v>
      </c>
      <c r="B13" s="9" t="s">
        <v>89</v>
      </c>
      <c r="C13" s="61"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Pipeline</vt:lpstr>
      <vt:lpstr>UWPump</vt:lpstr>
      <vt:lpstr>MainPump</vt:lpstr>
      <vt:lpstr>MainDriver</vt:lpstr>
      <vt:lpstr>Slurry</vt:lpstr>
      <vt:lpstr>MainPump!avail_power</vt:lpstr>
      <vt:lpstr>UWPump!avail_power</vt:lpstr>
      <vt:lpstr>MainPump!CFS_to_GPM</vt:lpstr>
      <vt:lpstr>UWPump!CFS_to_GPM</vt:lpstr>
      <vt:lpstr>Slurry!Cv</vt:lpstr>
      <vt:lpstr>Slurry!d_15</vt:lpstr>
      <vt:lpstr>Slurry!d_50</vt:lpstr>
      <vt:lpstr>Slurry!d_85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Slurry!fluid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Slurry!name</vt:lpstr>
      <vt:lpstr>UWPump!name</vt:lpstr>
      <vt:lpstr>Slurry!pipe_dia</vt:lpstr>
      <vt:lpstr>Pipeline!pipe_table</vt:lpstr>
      <vt:lpstr>MainDriver!power_curve</vt:lpstr>
      <vt:lpstr>MainPump!pump_curve</vt:lpstr>
      <vt:lpstr>UWPump!pump_curve</vt:lpstr>
      <vt:lpstr>Slurry!rhoi</vt:lpstr>
      <vt:lpstr>Slurry!rhos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Ramsdell Robert</cp:lastModifiedBy>
  <dcterms:created xsi:type="dcterms:W3CDTF">2021-09-03T21:32:47Z</dcterms:created>
  <dcterms:modified xsi:type="dcterms:W3CDTF">2024-06-20T16:31:22Z</dcterms:modified>
</cp:coreProperties>
</file>