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s" sheetId="1" r:id="rId5"/>
    <sheet state="visible" name="Personagem" sheetId="2" r:id="rId6"/>
    <sheet state="visible" name="cod_planilha" sheetId="3" r:id="rId7"/>
    <sheet state="visible" name="Armas do jogo" sheetId="4" r:id="rId8"/>
    <sheet state="visible" name="Personagens" sheetId="5" r:id="rId9"/>
    <sheet state="visible" name="Consultar equips" sheetId="6" r:id="rId10"/>
    <sheet state="visible" name="Time 1" sheetId="7" r:id="rId11"/>
    <sheet state="visible" name="Time 2" sheetId="8" r:id="rId12"/>
    <sheet state="visible" name="Time 3" sheetId="9" r:id="rId13"/>
    <sheet state="visible" name="Time 4" sheetId="10" r:id="rId14"/>
    <sheet state="visible" name="Time 5" sheetId="11" r:id="rId15"/>
    <sheet state="visible" name="Estatística Raid" sheetId="12" r:id="rId16"/>
    <sheet state="visible" name="Decorações" sheetId="13" r:id="rId17"/>
    <sheet state="visible" name="Estatística decorações" sheetId="14" r:id="rId18"/>
    <sheet state="visible" name="Heróis" sheetId="15" r:id="rId19"/>
    <sheet state="hidden" name="Skills" sheetId="16" r:id="rId20"/>
    <sheet state="visible" name="Habilidades" sheetId="17" r:id="rId21"/>
    <sheet state="hidden" name="Listas" sheetId="18" r:id="rId22"/>
    <sheet state="hidden" name="Listas2" sheetId="19" r:id="rId23"/>
    <sheet state="hidden" name="Listas3" sheetId="20" r:id="rId24"/>
    <sheet state="hidden" name="Listas4" sheetId="21" r:id="rId25"/>
    <sheet state="hidden" name="Listas5" sheetId="22" r:id="rId26"/>
  </sheets>
  <definedNames>
    <definedName name="cd_planilha">cod_planilha!$A$1</definedName>
    <definedName hidden="1" localSheetId="3" name="_xlnm._FilterDatabase">'Armas do jogo'!$B$2:$I$657</definedName>
    <definedName hidden="1" localSheetId="12" name="_xlnm._FilterDatabase">'Decorações'!$A$1:$E$300</definedName>
    <definedName hidden="1" localSheetId="3" name="Z_354730A1_2558_4D43_A6D3_DFBE1FA02D0F_.wvu.FilterData">'Armas do jogo'!$H$1:$H$657</definedName>
  </definedNames>
  <calcPr/>
  <customWorkbookViews>
    <customWorkbookView activeSheetId="0" maximized="1" windowHeight="0" windowWidth="0" guid="{354730A1-2558-4D43-A6D3-DFBE1FA02D0F}" name="Filtro 1"/>
  </customWorkbookViews>
  <pivotCaches>
    <pivotCache cacheId="0" r:id="rId2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O jogo só computa até 100</t>
      </text>
    </comment>
    <comment authorId="0" ref="I20">
      <text>
        <t xml:space="preserve">O jogo só computa até 100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O jogo só computa até 100</t>
      </text>
    </comment>
    <comment authorId="0" ref="I20">
      <text>
        <t xml:space="preserve">O jogo só computa até 100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O jogo só computa até 100</t>
      </text>
    </comment>
    <comment authorId="0" ref="I20">
      <text>
        <t xml:space="preserve">O jogo só computa até 100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O jogo só computa até 100</t>
      </text>
    </comment>
    <comment authorId="0" ref="I20">
      <text>
        <t xml:space="preserve">O jogo só computa até 100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O jogo só computa até 100</t>
      </text>
    </comment>
    <comment authorId="0" ref="I20">
      <text>
        <t xml:space="preserve">O jogo só computa até 100</t>
      </text>
    </comment>
  </commentList>
</comments>
</file>

<file path=xl/sharedStrings.xml><?xml version="1.0" encoding="utf-8"?>
<sst xmlns="http://schemas.openxmlformats.org/spreadsheetml/2006/main" count="4264" uniqueCount="1187">
  <si>
    <t>Item</t>
  </si>
  <si>
    <t>Efeito</t>
  </si>
  <si>
    <t>Nome</t>
  </si>
  <si>
    <t>Tipo</t>
  </si>
  <si>
    <t>Nível</t>
  </si>
  <si>
    <t>Qualidade</t>
  </si>
  <si>
    <t>Bônus</t>
  </si>
  <si>
    <t>Albert</t>
  </si>
  <si>
    <t>Alicia</t>
  </si>
  <si>
    <t>Azula</t>
  </si>
  <si>
    <t>Charles</t>
  </si>
  <si>
    <t>Clovis</t>
  </si>
  <si>
    <t>Darthos</t>
  </si>
  <si>
    <t>Edward</t>
  </si>
  <si>
    <t>Fiora</t>
  </si>
  <si>
    <t>Francesca</t>
  </si>
  <si>
    <t>Garreth</t>
  </si>
  <si>
    <t>Gauvin</t>
  </si>
  <si>
    <t>Irene</t>
  </si>
  <si>
    <t>Karal</t>
  </si>
  <si>
    <t>Kuro Shobi</t>
  </si>
  <si>
    <t>Kurul</t>
  </si>
  <si>
    <t>Lancaster</t>
  </si>
  <si>
    <t>Lorelei</t>
  </si>
  <si>
    <t>Louca</t>
  </si>
  <si>
    <t>Melina</t>
  </si>
  <si>
    <t>Mila</t>
  </si>
  <si>
    <t>Minh</t>
  </si>
  <si>
    <t>Mojian</t>
  </si>
  <si>
    <t>Nya</t>
  </si>
  <si>
    <t>Odette</t>
  </si>
  <si>
    <t>Oneira</t>
  </si>
  <si>
    <t>Palash</t>
  </si>
  <si>
    <t>Theor</t>
  </si>
  <si>
    <t>Yue</t>
  </si>
  <si>
    <t>Arma</t>
  </si>
  <si>
    <t>Arco</t>
  </si>
  <si>
    <t>Espada</t>
  </si>
  <si>
    <t>Cajado</t>
  </si>
  <si>
    <t>Lança</t>
  </si>
  <si>
    <t>Faca</t>
  </si>
  <si>
    <t>Martelo</t>
  </si>
  <si>
    <t>Machado</t>
  </si>
  <si>
    <t>Pistola</t>
  </si>
  <si>
    <t>Peito</t>
  </si>
  <si>
    <t>Túnica</t>
  </si>
  <si>
    <t>Armadura</t>
  </si>
  <si>
    <t>Veste</t>
  </si>
  <si>
    <t>Cabeça</t>
  </si>
  <si>
    <t>Chapéu</t>
  </si>
  <si>
    <t>Elmo</t>
  </si>
  <si>
    <t>Mãos</t>
  </si>
  <si>
    <t>Luvas</t>
  </si>
  <si>
    <t>Manopla</t>
  </si>
  <si>
    <t>Pés</t>
  </si>
  <si>
    <t>Sapatos</t>
  </si>
  <si>
    <t>Botas</t>
  </si>
  <si>
    <t>Acessório 1</t>
  </si>
  <si>
    <t>Instrumento</t>
  </si>
  <si>
    <t>Escudo</t>
  </si>
  <si>
    <t>Anel</t>
  </si>
  <si>
    <t>Pingente</t>
  </si>
  <si>
    <t>Acessório 2</t>
  </si>
  <si>
    <t>Pergaminho</t>
  </si>
  <si>
    <t>Erva</t>
  </si>
  <si>
    <t>Poção</t>
  </si>
  <si>
    <t>Projétil</t>
  </si>
  <si>
    <t>Consultar na tabela dinâmica os equipamentos que o personagem usa</t>
  </si>
  <si>
    <t>"15YC3Wi7qFmdVjHeW_UCnbsoqaugkIEVJhDMDhRjct1c"</t>
  </si>
  <si>
    <t>Tem?</t>
  </si>
  <si>
    <t>Onde conseguir</t>
  </si>
  <si>
    <t>Anel estrelado</t>
  </si>
  <si>
    <t>Cone-gélido</t>
  </si>
  <si>
    <t>Épico</t>
  </si>
  <si>
    <t>Superhero Pack</t>
  </si>
  <si>
    <t>Interesseiro</t>
  </si>
  <si>
    <t>Ganancioso 1</t>
  </si>
  <si>
    <t>Impecável</t>
  </si>
  <si>
    <t>Baú de Couro</t>
  </si>
  <si>
    <t>Anel ferradura</t>
  </si>
  <si>
    <t>Líder 1</t>
  </si>
  <si>
    <t>Luck of the Irish Pack</t>
  </si>
  <si>
    <t>Perseguindo a lua</t>
  </si>
  <si>
    <t>Caça-tesouros 1</t>
  </si>
  <si>
    <t>Lunar Equinox Pack</t>
  </si>
  <si>
    <t>Anel do Cruzado</t>
  </si>
  <si>
    <t>Companheiro de Guerra 1</t>
  </si>
  <si>
    <t>Baú de Ouro</t>
  </si>
  <si>
    <t>Dragão sinete</t>
  </si>
  <si>
    <t>Resistente 2</t>
  </si>
  <si>
    <t>Dragon's Armory Pack</t>
  </si>
  <si>
    <t>Anel de reza</t>
  </si>
  <si>
    <t>Reviver 1</t>
  </si>
  <si>
    <t>Marca Divina</t>
  </si>
  <si>
    <t>Amazona 1</t>
  </si>
  <si>
    <t>Alma de Anúbis</t>
  </si>
  <si>
    <t>Caça-tesouros 2</t>
  </si>
  <si>
    <t>Lendário</t>
  </si>
  <si>
    <t>Ghastly Gear Pack</t>
  </si>
  <si>
    <t>Anel real</t>
  </si>
  <si>
    <t>Baú Mágico</t>
  </si>
  <si>
    <t>Oráculo</t>
  </si>
  <si>
    <t>Anel Místico</t>
  </si>
  <si>
    <t>Curandeiro 2</t>
  </si>
  <si>
    <t>Heroic Pack #2</t>
  </si>
  <si>
    <t>Aliança de casamento</t>
  </si>
  <si>
    <t>Reviver 2</t>
  </si>
  <si>
    <t>Groom's Pack</t>
  </si>
  <si>
    <t>Anel Grotesco</t>
  </si>
  <si>
    <t>Detectar segredo</t>
  </si>
  <si>
    <t>Monster Hunter's Toolkit Pack</t>
  </si>
  <si>
    <t>Anel Azulado</t>
  </si>
  <si>
    <t>Revide</t>
  </si>
  <si>
    <t>Baú de Anão</t>
  </si>
  <si>
    <t>Anel de casamento</t>
  </si>
  <si>
    <t>Protetor 2</t>
  </si>
  <si>
    <t>Bridal Pack</t>
  </si>
  <si>
    <t>Anel de Coração</t>
  </si>
  <si>
    <t>Mítico</t>
  </si>
  <si>
    <t>Care Pack</t>
  </si>
  <si>
    <t>Círculo de antimagia</t>
  </si>
  <si>
    <t>Armadura do Mago</t>
  </si>
  <si>
    <t>Baú Primordial</t>
  </si>
  <si>
    <t>Anel de Midas</t>
  </si>
  <si>
    <t>Ganancioso 3</t>
  </si>
  <si>
    <t>Coelho da neve</t>
  </si>
  <si>
    <t>Caça-tesouros 3</t>
  </si>
  <si>
    <t>Presents Pack</t>
  </si>
  <si>
    <t>Anel do Conhecimento</t>
  </si>
  <si>
    <t>Encontrar mágica</t>
  </si>
  <si>
    <t>Back to School Mini Pack</t>
  </si>
  <si>
    <t>Poedor do Sol</t>
  </si>
  <si>
    <t>Velocista 1</t>
  </si>
  <si>
    <t>Heroic Pack #3</t>
  </si>
  <si>
    <t>Olho de falcão</t>
  </si>
  <si>
    <t>Energético 1</t>
  </si>
  <si>
    <t>Baú de Madeira</t>
  </si>
  <si>
    <t>Autocarregador</t>
  </si>
  <si>
    <t>Sortudo 1</t>
  </si>
  <si>
    <t>Baú de Ferro</t>
  </si>
  <si>
    <t>Olho de águia</t>
  </si>
  <si>
    <t>Cuidadoso 1</t>
  </si>
  <si>
    <t>Toque de Valquíria</t>
  </si>
  <si>
    <t>Sortudo 2</t>
  </si>
  <si>
    <t>Ninja Pack</t>
  </si>
  <si>
    <t>Arco da Colheita</t>
  </si>
  <si>
    <t>Catador 1</t>
  </si>
  <si>
    <t>Farmer Pack</t>
  </si>
  <si>
    <t>Evelyn</t>
  </si>
  <si>
    <t>Olho de dragão</t>
  </si>
  <si>
    <t>Fornecedor 1</t>
  </si>
  <si>
    <t>Besta de adamantium</t>
  </si>
  <si>
    <t>Suporte 1</t>
  </si>
  <si>
    <t>Besta de repetição</t>
  </si>
  <si>
    <t>Berserker</t>
  </si>
  <si>
    <t>Emperor's Pack</t>
  </si>
  <si>
    <t>Arco dos elfos</t>
  </si>
  <si>
    <t>Arco do deus do sol</t>
  </si>
  <si>
    <t>Sábio 1</t>
  </si>
  <si>
    <t>Fura-Vento</t>
  </si>
  <si>
    <t>Gangster 2</t>
  </si>
  <si>
    <t>City Raid</t>
  </si>
  <si>
    <t>Assassino licantropo</t>
  </si>
  <si>
    <t>Besta de aniversário</t>
  </si>
  <si>
    <t>Cuidadoso 3</t>
  </si>
  <si>
    <t>Anniversary Celebration Pack</t>
  </si>
  <si>
    <t>Arco de Artemisa</t>
  </si>
  <si>
    <t>Engenhoso 2</t>
  </si>
  <si>
    <t>Meteoros</t>
  </si>
  <si>
    <t>Tools Astray Pack</t>
  </si>
  <si>
    <t>Fúria da Natureza</t>
  </si>
  <si>
    <t>Energético 3</t>
  </si>
  <si>
    <t>Force of Nature Pack</t>
  </si>
  <si>
    <t>Armadura Lunar</t>
  </si>
  <si>
    <t>Armadura Nobre</t>
  </si>
  <si>
    <t>Correio de Honra</t>
  </si>
  <si>
    <t>Armadura do Caos</t>
  </si>
  <si>
    <t>Resistente 1</t>
  </si>
  <si>
    <t>Armadura de placa geada estelar</t>
  </si>
  <si>
    <t>Brr-rilliant Star Pack</t>
  </si>
  <si>
    <t>Armadura da Valquíria</t>
  </si>
  <si>
    <t>Amazona 2</t>
  </si>
  <si>
    <t>Wizard Pack</t>
  </si>
  <si>
    <t>Malha Eldritch</t>
  </si>
  <si>
    <t>Fortaleza de Gaia</t>
  </si>
  <si>
    <t>Comandante 1</t>
  </si>
  <si>
    <t>Armadura Dragônica</t>
  </si>
  <si>
    <t>Protetor 1</t>
  </si>
  <si>
    <t>Malha da Terra</t>
  </si>
  <si>
    <t>Pele de pedra</t>
  </si>
  <si>
    <t>Caixão sinistro</t>
  </si>
  <si>
    <t>Spooky Shop Pack</t>
  </si>
  <si>
    <t>Armadura do Oráculo</t>
  </si>
  <si>
    <t>Malha negra</t>
  </si>
  <si>
    <t>Majestic Beetle Carapace</t>
  </si>
  <si>
    <t>Super Bug Catcher Pack</t>
  </si>
  <si>
    <t>Anniversary Plate</t>
  </si>
  <si>
    <t>Reviver 3</t>
  </si>
  <si>
    <t>Wyvern Plate</t>
  </si>
  <si>
    <t>Suporte 3</t>
  </si>
  <si>
    <t>Botas da Lua</t>
  </si>
  <si>
    <t>Botas do leão</t>
  </si>
  <si>
    <t>Botas do Aventureiro</t>
  </si>
  <si>
    <t>Pack of all Trades</t>
  </si>
  <si>
    <t>Botas da selva</t>
  </si>
  <si>
    <t>Resistente 3</t>
  </si>
  <si>
    <t>Explorer's Handbag Pack</t>
  </si>
  <si>
    <t>Grevas da chama</t>
  </si>
  <si>
    <t>Bola de fogo</t>
  </si>
  <si>
    <t>Calçados mágicos</t>
  </si>
  <si>
    <t>Arquimago 1</t>
  </si>
  <si>
    <t>Pisa-em-crânios</t>
  </si>
  <si>
    <t>Esmagar</t>
  </si>
  <si>
    <t>Grevas Dracônicas</t>
  </si>
  <si>
    <t>Os Aflitos da Guerra de Kratos</t>
  </si>
  <si>
    <t>Gear of Legends Pack</t>
  </si>
  <si>
    <t>Grevas de obsidiana</t>
  </si>
  <si>
    <t>Comandante 2</t>
  </si>
  <si>
    <t>Pés do titã</t>
  </si>
  <si>
    <t>Botas selvagens</t>
  </si>
  <si>
    <t>Starfrost Skates</t>
  </si>
  <si>
    <t>Proto-skate</t>
  </si>
  <si>
    <t>Velocista 3</t>
  </si>
  <si>
    <t>Anniversary Greaves</t>
  </si>
  <si>
    <t>Curandeiro 3</t>
  </si>
  <si>
    <t>Cajado da enganação</t>
  </si>
  <si>
    <t>Vacation Pack</t>
  </si>
  <si>
    <t>Cajado do bispo</t>
  </si>
  <si>
    <t>Begala do faraó</t>
  </si>
  <si>
    <t>Cryptic Pack</t>
  </si>
  <si>
    <t>Cetro Lunar</t>
  </si>
  <si>
    <t>Curandeiro 1</t>
  </si>
  <si>
    <t>Espátula</t>
  </si>
  <si>
    <t>Patissier's Passion Pack</t>
  </si>
  <si>
    <t>Líquido apanhador de inseto</t>
  </si>
  <si>
    <t>Giveaway</t>
  </si>
  <si>
    <t>Cetro Sagrado</t>
  </si>
  <si>
    <t>Tocha do campeão</t>
  </si>
  <si>
    <t>Summer Sports Pack</t>
  </si>
  <si>
    <t>Cajado de bordo</t>
  </si>
  <si>
    <t>Maple Pack</t>
  </si>
  <si>
    <t>Varinha Estelar</t>
  </si>
  <si>
    <t>Varinha Imperial</t>
  </si>
  <si>
    <t>Sabedoria da Valquíria</t>
  </si>
  <si>
    <t>Cuidadoso 2</t>
  </si>
  <si>
    <t>Rei-Sol</t>
  </si>
  <si>
    <t>Montagem das fadas</t>
  </si>
  <si>
    <t>Guardião das almas</t>
  </si>
  <si>
    <t>Affection</t>
  </si>
  <si>
    <t>Energético 2</t>
  </si>
  <si>
    <t>Valentine's Pack</t>
  </si>
  <si>
    <t>Varinha estilhaçada</t>
  </si>
  <si>
    <t>Arquimago 2</t>
  </si>
  <si>
    <t>Cajado necormante</t>
  </si>
  <si>
    <t>Luna</t>
  </si>
  <si>
    <t>Cetro da Pixie</t>
  </si>
  <si>
    <t>Thank You Pack</t>
  </si>
  <si>
    <t>Capuz de Robin</t>
  </si>
  <si>
    <t>Máscara Assassino Oni</t>
  </si>
  <si>
    <t>Warrior's Path Pack</t>
  </si>
  <si>
    <t>Olhos de inseto</t>
  </si>
  <si>
    <t>Coroa Dourada</t>
  </si>
  <si>
    <t>Ótimo</t>
  </si>
  <si>
    <t>Chapéu de cowboy</t>
  </si>
  <si>
    <t>Wild West Pack</t>
  </si>
  <si>
    <t xml:space="preserve">Coifa Sábia </t>
  </si>
  <si>
    <t>Chapéu de safari</t>
  </si>
  <si>
    <t>Tiara Rúnica</t>
  </si>
  <si>
    <t>Coroa do trovão</t>
  </si>
  <si>
    <t>Raio elétrico</t>
  </si>
  <si>
    <t>Acessório cobra</t>
  </si>
  <si>
    <t>Pharaoh's Pack</t>
  </si>
  <si>
    <t>Coroa de Jorou</t>
  </si>
  <si>
    <t>Thanksgiving Pack</t>
  </si>
  <si>
    <t>Face demoníaca</t>
  </si>
  <si>
    <t>Diadema Condenado</t>
  </si>
  <si>
    <t>Sábio 2</t>
  </si>
  <si>
    <t>Flaming Rain Pack</t>
  </si>
  <si>
    <t>Máscara Oni</t>
  </si>
  <si>
    <t>Aura de proteção</t>
  </si>
  <si>
    <t>Horribly Cuddly Pack</t>
  </si>
  <si>
    <t>Medley Floral</t>
  </si>
  <si>
    <t>Elmo do Jaguar</t>
  </si>
  <si>
    <t>Ancient Pack</t>
  </si>
  <si>
    <t>Capuz do cultista</t>
  </si>
  <si>
    <t>Passo das Sombras</t>
  </si>
  <si>
    <t>Máscara de Loki</t>
  </si>
  <si>
    <t>Chapéu Ártico</t>
  </si>
  <si>
    <t>Winter Pack</t>
  </si>
  <si>
    <t>Tiara real</t>
  </si>
  <si>
    <t>Coroa do subterrâneo</t>
  </si>
  <si>
    <t>Sortudo 3</t>
  </si>
  <si>
    <t>Chapéu Carangueijo</t>
  </si>
  <si>
    <t>Beach Bag Pack</t>
  </si>
  <si>
    <t>Capô de Guerra</t>
  </si>
  <si>
    <t>Happy Thanksgiving Pack</t>
  </si>
  <si>
    <t>Coifa da Lua</t>
  </si>
  <si>
    <t>Elmo do Paladino</t>
  </si>
  <si>
    <t>Elmo Congelado</t>
  </si>
  <si>
    <t>Leme de guerra oni</t>
  </si>
  <si>
    <t>Elmo de infantaria</t>
  </si>
  <si>
    <t>Op Supply Drop Pack</t>
  </si>
  <si>
    <t>Elmo do Aventureiro</t>
  </si>
  <si>
    <t>Elmo da Fênix</t>
  </si>
  <si>
    <t>Elmo de Guerra de Lu Bu</t>
  </si>
  <si>
    <t>Warfare Pack</t>
  </si>
  <si>
    <t>Elmo de Escamas de Dragão</t>
  </si>
  <si>
    <t>Coroa de Korra</t>
  </si>
  <si>
    <t>Suporte 2</t>
  </si>
  <si>
    <t>Elmo de Adamantium</t>
  </si>
  <si>
    <t>Elmo da Valquíria</t>
  </si>
  <si>
    <t>Warrior Pack</t>
  </si>
  <si>
    <t>Barbuta de Fogo-Gelo</t>
  </si>
  <si>
    <t>Crânio sinitro</t>
  </si>
  <si>
    <t>Hollow Pack</t>
  </si>
  <si>
    <t>Inteligência Artifical</t>
  </si>
  <si>
    <t>Líder 3</t>
  </si>
  <si>
    <t>Elmo de Jade</t>
  </si>
  <si>
    <t>Viper Headdress</t>
  </si>
  <si>
    <t>Coroa Serrilhada</t>
  </si>
  <si>
    <t>Feline Casque</t>
  </si>
  <si>
    <t>Raining Felines Pack</t>
  </si>
  <si>
    <t>Pó Colorido</t>
  </si>
  <si>
    <t>Starfrost Bloom</t>
  </si>
  <si>
    <t>Sakura Mochi</t>
  </si>
  <si>
    <t>Sábio 3</t>
  </si>
  <si>
    <t>Blossom Viewing Pack</t>
  </si>
  <si>
    <t>Semente Rápida</t>
  </si>
  <si>
    <t>Gangster 1</t>
  </si>
  <si>
    <t xml:space="preserve">Chá Revitalizador </t>
  </si>
  <si>
    <t>Cornucopia</t>
  </si>
  <si>
    <t>Harvest Pack</t>
  </si>
  <si>
    <t>Semente forte</t>
  </si>
  <si>
    <t>Clown Dust</t>
  </si>
  <si>
    <t>Sugar Rush Tea</t>
  </si>
  <si>
    <t>Made with Love Pack</t>
  </si>
  <si>
    <t>Panaceia</t>
  </si>
  <si>
    <t>Lucky Clover</t>
  </si>
  <si>
    <t>Semente mágica</t>
  </si>
  <si>
    <t>Gingerbread Man</t>
  </si>
  <si>
    <t xml:space="preserve">Feijões Mágicos </t>
  </si>
  <si>
    <t>Companheiro de Guerra 2</t>
  </si>
  <si>
    <t>Pó de demônio</t>
  </si>
  <si>
    <t>Teonanacatl</t>
  </si>
  <si>
    <t>Fiesta Pack</t>
  </si>
  <si>
    <t>Chá dragônico</t>
  </si>
  <si>
    <t>Seed of Power</t>
  </si>
  <si>
    <t>Comandante 3</t>
  </si>
  <si>
    <t>Sacred Mooncake</t>
  </si>
  <si>
    <t>Protetor</t>
  </si>
  <si>
    <t>Bagua Mirror</t>
  </si>
  <si>
    <t>Terribly Stylish Pack</t>
  </si>
  <si>
    <t>Contra Fogo</t>
  </si>
  <si>
    <t>Macaron Shield</t>
  </si>
  <si>
    <t>Engenhoso 1</t>
  </si>
  <si>
    <t>Scarab Shield</t>
  </si>
  <si>
    <t xml:space="preserve">Égide </t>
  </si>
  <si>
    <t>The Undertaker</t>
  </si>
  <si>
    <t>Escudo Estrelado</t>
  </si>
  <si>
    <t>Escudo de cristal</t>
  </si>
  <si>
    <t>Demon Shield</t>
  </si>
  <si>
    <t>Defesa</t>
  </si>
  <si>
    <t>Sports Pack</t>
  </si>
  <si>
    <t>Crânio de Dragão</t>
  </si>
  <si>
    <t>Escudo gigante</t>
  </si>
  <si>
    <t>Escudo do Aventureiro</t>
  </si>
  <si>
    <t>Shark Bite</t>
  </si>
  <si>
    <t>Engenhoso 3</t>
  </si>
  <si>
    <t>Buckler de Atena</t>
  </si>
  <si>
    <t>Broquel da Medusa</t>
  </si>
  <si>
    <t>Sunflower Shield</t>
  </si>
  <si>
    <t>Escudo do oráculo</t>
  </si>
  <si>
    <t>Mãe Natureza</t>
  </si>
  <si>
    <t>Escudo Meia Lua</t>
  </si>
  <si>
    <t>Ganancioso 2</t>
  </si>
  <si>
    <t>Celtic Shield</t>
  </si>
  <si>
    <t>Painel Refrator</t>
  </si>
  <si>
    <t>Lâmina de Jade</t>
  </si>
  <si>
    <t>Lâmina de fogo</t>
  </si>
  <si>
    <t>Espada Vorpal</t>
  </si>
  <si>
    <t>Aço Furmidable</t>
  </si>
  <si>
    <t>Aço frio</t>
  </si>
  <si>
    <t>Espada de bambu</t>
  </si>
  <si>
    <t>Spring Tranquility Pack</t>
  </si>
  <si>
    <t>Devorador de alma</t>
  </si>
  <si>
    <t>Espada de Relíquia</t>
  </si>
  <si>
    <t>Relic Event</t>
  </si>
  <si>
    <t>Marca Abissal</t>
  </si>
  <si>
    <t>Cortar</t>
  </si>
  <si>
    <t>Tempestuosa</t>
  </si>
  <si>
    <t>Balmung</t>
  </si>
  <si>
    <t>Advanced Shopfare Pack</t>
  </si>
  <si>
    <t>Mata-Dragão</t>
  </si>
  <si>
    <t>Ouro Shamshir</t>
  </si>
  <si>
    <t>Arabian Blueprints Pack</t>
  </si>
  <si>
    <t>Lâmina do Fogo-gelo</t>
  </si>
  <si>
    <t>Malvado e Bonzinho</t>
  </si>
  <si>
    <t>Cheerful Pack</t>
  </si>
  <si>
    <t>Espada Coelho</t>
  </si>
  <si>
    <t>Eggstravaganza Pack</t>
  </si>
  <si>
    <t>Durindana</t>
  </si>
  <si>
    <t>Cyberblade da Internet</t>
  </si>
  <si>
    <t>Abaixo de zero 3000</t>
  </si>
  <si>
    <t>Skofnung</t>
  </si>
  <si>
    <t>Anti Apocalypse</t>
  </si>
  <si>
    <t>Olhar Sinistro</t>
  </si>
  <si>
    <t>Comum</t>
  </si>
  <si>
    <t>Trade War</t>
  </si>
  <si>
    <t>Adaga Branca</t>
  </si>
  <si>
    <t>Carver</t>
  </si>
  <si>
    <t>Coração Rubro</t>
  </si>
  <si>
    <t>Katar Fantasma</t>
  </si>
  <si>
    <t>Emboscada</t>
  </si>
  <si>
    <t>Sweet Surprise</t>
  </si>
  <si>
    <t>Starfrost Impaler</t>
  </si>
  <si>
    <t>Frostforged Fantasy Pack</t>
  </si>
  <si>
    <t>Traidora</t>
  </si>
  <si>
    <t>Sete Estrelas</t>
  </si>
  <si>
    <t>Presa de Dragão</t>
  </si>
  <si>
    <t>Punhal Indiano</t>
  </si>
  <si>
    <t>Tecpatl</t>
  </si>
  <si>
    <t>Cinco De Mayo Pack</t>
  </si>
  <si>
    <t>Adaga de Obsidiana</t>
  </si>
  <si>
    <t>Canivete Afótico</t>
  </si>
  <si>
    <t>Adaga Primordial</t>
  </si>
  <si>
    <t>Catador 3</t>
  </si>
  <si>
    <t>Heroic Pack #1</t>
  </si>
  <si>
    <t>Kaiken</t>
  </si>
  <si>
    <t>Vine Slasher</t>
  </si>
  <si>
    <t>Anniversary Bayonet</t>
  </si>
  <si>
    <t>Mistilteinn</t>
  </si>
  <si>
    <t>Velocista 2</t>
  </si>
  <si>
    <t>Flauta de Ferro</t>
  </si>
  <si>
    <t>Qanun</t>
  </si>
  <si>
    <t>Harpa Congelada</t>
  </si>
  <si>
    <t>Royal Trumpet</t>
  </si>
  <si>
    <t>Flauta Ygg</t>
  </si>
  <si>
    <t xml:space="preserve">Chifre de Serpente </t>
  </si>
  <si>
    <t>Gu Zheng</t>
  </si>
  <si>
    <t xml:space="preserve">Batimento Dracônico </t>
  </si>
  <si>
    <t>Cordas angelicais</t>
  </si>
  <si>
    <t>Bunny Harp</t>
  </si>
  <si>
    <t>Eggciting Pack</t>
  </si>
  <si>
    <t>Ceremonial Er-hu</t>
  </si>
  <si>
    <t>Harpa do Fogo Gelo</t>
  </si>
  <si>
    <t>Angelic Bell</t>
  </si>
  <si>
    <t>Holiday Pack</t>
  </si>
  <si>
    <t>Wisdom Ocarina</t>
  </si>
  <si>
    <t>Harvest Flute</t>
  </si>
  <si>
    <t xml:space="preserve">Flauta de gaia </t>
  </si>
  <si>
    <t>Ritual Djembe</t>
  </si>
  <si>
    <t>Protetor 3</t>
  </si>
  <si>
    <t>Shamisen</t>
  </si>
  <si>
    <t>Flauta Convocadora</t>
  </si>
  <si>
    <t>Maple Spear</t>
  </si>
  <si>
    <t>Pitchfork</t>
  </si>
  <si>
    <t>Ponta Perseguidora</t>
  </si>
  <si>
    <t>Champion's Javelin</t>
  </si>
  <si>
    <t>Ponta de Veneno</t>
  </si>
  <si>
    <t>Lança Pesca</t>
  </si>
  <si>
    <t>X Marks the Spot Pack</t>
  </si>
  <si>
    <t>Garfo de prata</t>
  </si>
  <si>
    <t>Voulgue da Lua</t>
  </si>
  <si>
    <t>Espeto da Noite</t>
  </si>
  <si>
    <t>Raio Divino</t>
  </si>
  <si>
    <t>Umbrella Demon</t>
  </si>
  <si>
    <t>Pique Fangtiano</t>
  </si>
  <si>
    <t>Alabarda de Obsidiana</t>
  </si>
  <si>
    <t>Green Dragon</t>
  </si>
  <si>
    <t>Celebration Pack</t>
  </si>
  <si>
    <t>Tridente Primordial</t>
  </si>
  <si>
    <t>Gungnir</t>
  </si>
  <si>
    <t>Perfurador Abrasador</t>
  </si>
  <si>
    <t>Rebelião</t>
  </si>
  <si>
    <t>Dawn</t>
  </si>
  <si>
    <t>Scorpion Tail</t>
  </si>
  <si>
    <t>Rising Tempest</t>
  </si>
  <si>
    <t>Mãos Venenosas</t>
  </si>
  <si>
    <t>Guardian Protector</t>
  </si>
  <si>
    <t>Luvas do Grão Mestre</t>
  </si>
  <si>
    <t>Luvas das Sombras</t>
  </si>
  <si>
    <t>Braceletes gélidos</t>
  </si>
  <si>
    <t>Luvas do espreitador</t>
  </si>
  <si>
    <t>Celtic Bracer</t>
  </si>
  <si>
    <t>Catador 2</t>
  </si>
  <si>
    <t>Clover's Advantage Pack</t>
  </si>
  <si>
    <t>Garra da morte</t>
  </si>
  <si>
    <t>Luvas de MIdas</t>
  </si>
  <si>
    <t>Luva de fogo gelo</t>
  </si>
  <si>
    <t>Starry Gloves</t>
  </si>
  <si>
    <t>Luvas do Arcanjo</t>
  </si>
  <si>
    <t>Demonic Grip</t>
  </si>
  <si>
    <t>Luvas do subterrâneo</t>
  </si>
  <si>
    <t>Mummy Hands</t>
  </si>
  <si>
    <t>Gangster 3</t>
  </si>
  <si>
    <t>Toque de Fluffle</t>
  </si>
  <si>
    <t>Tiamat</t>
  </si>
  <si>
    <t>Machado de Berserker</t>
  </si>
  <si>
    <t>Presa Afiada</t>
  </si>
  <si>
    <t>Faz Viúva</t>
  </si>
  <si>
    <t>Ira infernal</t>
  </si>
  <si>
    <t>Lâmina do Ragnarok</t>
  </si>
  <si>
    <t>Mantis Ímpio</t>
  </si>
  <si>
    <t>Oni Gunbai</t>
  </si>
  <si>
    <t>Heartstopper Axe</t>
  </si>
  <si>
    <t>Love Pack</t>
  </si>
  <si>
    <t>Machado Irado</t>
  </si>
  <si>
    <t>Machado da Sombra</t>
  </si>
  <si>
    <t>Labrys de Hefesto</t>
  </si>
  <si>
    <t>Forseti's Axe</t>
  </si>
  <si>
    <t>Starfrost Divider</t>
  </si>
  <si>
    <t>Manoplas Lunares</t>
  </si>
  <si>
    <t>Gancho mão de metal</t>
  </si>
  <si>
    <t>A Pirate's Life Pack</t>
  </si>
  <si>
    <t>Garra Gelada</t>
  </si>
  <si>
    <t>Manoplas do Rei</t>
  </si>
  <si>
    <t xml:space="preserve">Chocantes </t>
  </si>
  <si>
    <t>Fireproof Mitts</t>
  </si>
  <si>
    <t>Manopla de escamas de Dragão</t>
  </si>
  <si>
    <t>Clawful Titanium</t>
  </si>
  <si>
    <t>Punhos de Adamantium</t>
  </si>
  <si>
    <t>Frostfire Gauntlets</t>
  </si>
  <si>
    <t>Manoplas do Berserker</t>
  </si>
  <si>
    <t>Valkyrie's Grip</t>
  </si>
  <si>
    <t>Luvas Cibernéticas</t>
  </si>
  <si>
    <t>Esmagadores Vulcânicos</t>
  </si>
  <si>
    <t>Gauntlet do Chieftain</t>
  </si>
  <si>
    <t>Anniversary Gauntlets</t>
  </si>
  <si>
    <t>Runic Gauntlets</t>
  </si>
  <si>
    <t>Punhos de Zeus</t>
  </si>
  <si>
    <t>Estrela D'alva</t>
  </si>
  <si>
    <t>Tronco de árvore</t>
  </si>
  <si>
    <t>Martelo-Punho</t>
  </si>
  <si>
    <t>Cetro Real</t>
  </si>
  <si>
    <t>Martelo Relíquia</t>
  </si>
  <si>
    <t>Apocalipto</t>
  </si>
  <si>
    <t>Estrela Noturna</t>
  </si>
  <si>
    <t>Cem-Toneladas</t>
  </si>
  <si>
    <t>Oni Kanabo</t>
  </si>
  <si>
    <t>Esmagador</t>
  </si>
  <si>
    <t>Lion Mace</t>
  </si>
  <si>
    <t>Lucky Rooster Pack</t>
  </si>
  <si>
    <t>Amaciador</t>
  </si>
  <si>
    <t>Rainmakers</t>
  </si>
  <si>
    <t>Shattering Core</t>
  </si>
  <si>
    <t>Pharaoh Flail</t>
  </si>
  <si>
    <t>Totem da Dor</t>
  </si>
  <si>
    <t>A arte da guerra</t>
  </si>
  <si>
    <t>Ordem Imperial</t>
  </si>
  <si>
    <t>Talisman</t>
  </si>
  <si>
    <t>Celtic Slate</t>
  </si>
  <si>
    <t>Codéx Mágico</t>
  </si>
  <si>
    <t>Selo do Mal</t>
  </si>
  <si>
    <t>Selo de Tigre</t>
  </si>
  <si>
    <t>Compêndio Arcano</t>
  </si>
  <si>
    <t>Pergaminho de Retorno</t>
  </si>
  <si>
    <t>Tomo Divino</t>
  </si>
  <si>
    <t>Ancient Codex</t>
  </si>
  <si>
    <t>Santa's List</t>
  </si>
  <si>
    <t>Snowy Pack</t>
  </si>
  <si>
    <t>Pergaminho Assombrado</t>
  </si>
  <si>
    <t>Primal Compendium</t>
  </si>
  <si>
    <t>Back to School Pack</t>
  </si>
  <si>
    <t>Guardian Seal</t>
  </si>
  <si>
    <t>Pergaminho de sangue</t>
  </si>
  <si>
    <t>Deception Scroll</t>
  </si>
  <si>
    <t xml:space="preserve">Feitiço do Vento </t>
  </si>
  <si>
    <t>Geada estelar</t>
  </si>
  <si>
    <t>Símbolo do Exorcismo</t>
  </si>
  <si>
    <t>Proteção defensora</t>
  </si>
  <si>
    <t>Amuleto Ankh</t>
  </si>
  <si>
    <t>Coração de Lich</t>
  </si>
  <si>
    <t>Amuleto dracônico</t>
  </si>
  <si>
    <t>Lágrima da Deusa</t>
  </si>
  <si>
    <t>Coração do Sol</t>
  </si>
  <si>
    <t>Herança de Azbandar</t>
  </si>
  <si>
    <t>Herança de Família</t>
  </si>
  <si>
    <t>Medalha do campeão</t>
  </si>
  <si>
    <t>Marca do Vampiro</t>
  </si>
  <si>
    <t>Talismã do fogo-gelo</t>
  </si>
  <si>
    <t>Coração de Gaia</t>
  </si>
  <si>
    <t>Cachecol Quente</t>
  </si>
  <si>
    <t>Amuleto primordial</t>
  </si>
  <si>
    <t>Ominous Charm</t>
  </si>
  <si>
    <t>Six Shooter</t>
  </si>
  <si>
    <t>Rifle</t>
  </si>
  <si>
    <t>Espingarda Negra</t>
  </si>
  <si>
    <t>Conquistador</t>
  </si>
  <si>
    <t>A Respiração de Dragão</t>
  </si>
  <si>
    <t>Arcabuz de relíquia</t>
  </si>
  <si>
    <t>Silent but Deadly</t>
  </si>
  <si>
    <t>Purrfect Aim</t>
  </si>
  <si>
    <t>Julgamento</t>
  </si>
  <si>
    <t>Lança Bombas</t>
  </si>
  <si>
    <t>Guerra Nórdica</t>
  </si>
  <si>
    <t>Pilgrim Blunderbus</t>
  </si>
  <si>
    <t>Pistola de Pirata</t>
  </si>
  <si>
    <t>Fornecedor 2</t>
  </si>
  <si>
    <t>Arma Grandona</t>
  </si>
  <si>
    <t>Lança Estacas</t>
  </si>
  <si>
    <t>Disparo do Demônio</t>
  </si>
  <si>
    <t>Dragon Fire</t>
  </si>
  <si>
    <t>Arma Pirata</t>
  </si>
  <si>
    <t>Anniversary Matchlock</t>
  </si>
  <si>
    <t>Hornet Stinger</t>
  </si>
  <si>
    <t>Gotas de Elíxir</t>
  </si>
  <si>
    <t>Cálice</t>
  </si>
  <si>
    <t>Sangue de Demônio</t>
  </si>
  <si>
    <t>Elven Sunblock</t>
  </si>
  <si>
    <t xml:space="preserve">Elixir </t>
  </si>
  <si>
    <t xml:space="preserve">Sangue de Dragão </t>
  </si>
  <si>
    <t>Oil Lamp</t>
  </si>
  <si>
    <t xml:space="preserve">Megalixir </t>
  </si>
  <si>
    <t>Elixir of Immortality</t>
  </si>
  <si>
    <t>Essência de Deus</t>
  </si>
  <si>
    <t>Emergency Water</t>
  </si>
  <si>
    <t>Jack's Brew</t>
  </si>
  <si>
    <t>Epic Pack</t>
  </si>
  <si>
    <t>Maple Potion</t>
  </si>
  <si>
    <t>Poção de Obsidiana</t>
  </si>
  <si>
    <t>Pirate's Brew</t>
  </si>
  <si>
    <t>Poção Fogo de Dragão</t>
  </si>
  <si>
    <t>Gaia's Essence</t>
  </si>
  <si>
    <t>Unholy Potion</t>
  </si>
  <si>
    <t>Fornecedor 3</t>
  </si>
  <si>
    <t>Fireworks</t>
  </si>
  <si>
    <t>Patriot Pack</t>
  </si>
  <si>
    <t>Agulhas Envenenadas</t>
  </si>
  <si>
    <t>Bomba Tóxica</t>
  </si>
  <si>
    <t>Shuriken Mágico</t>
  </si>
  <si>
    <t>Milho Arco-íris</t>
  </si>
  <si>
    <t>Chakran Cantante</t>
  </si>
  <si>
    <t>Spirit Fire</t>
  </si>
  <si>
    <t>Dardos Explosivos</t>
  </si>
  <si>
    <t>Fura-Coração</t>
  </si>
  <si>
    <t>Estrondo de trovão</t>
  </si>
  <si>
    <t>Cat-astrophe</t>
  </si>
  <si>
    <t>Kunai de fogo-gelo</t>
  </si>
  <si>
    <t>Eggsplosives</t>
  </si>
  <si>
    <t>Eggcellent Pack</t>
  </si>
  <si>
    <t>Bomba do Inferno</t>
  </si>
  <si>
    <t>Flying Guillotine</t>
  </si>
  <si>
    <t>Cookie Cutter</t>
  </si>
  <si>
    <t>Quicksilver</t>
  </si>
  <si>
    <t>Squash Bomb</t>
  </si>
  <si>
    <t>Fall Pack</t>
  </si>
  <si>
    <t>Bota dos Elfos</t>
  </si>
  <si>
    <t xml:space="preserve">Calçado Lunar </t>
  </si>
  <si>
    <t>Meh-ticulosamente Feito</t>
  </si>
  <si>
    <t>Ghoul Stompers</t>
  </si>
  <si>
    <t xml:space="preserve">Sandálias de Asas </t>
  </si>
  <si>
    <t>Patriot's Boots</t>
  </si>
  <si>
    <t>Encontra-Caminho</t>
  </si>
  <si>
    <t>Sakura Boots</t>
  </si>
  <si>
    <t>Botas piratas</t>
  </si>
  <si>
    <t>Anda-em-planos</t>
  </si>
  <si>
    <t>Botas dracônicas</t>
  </si>
  <si>
    <t>Hopping Shoes</t>
  </si>
  <si>
    <t>Easter Pack</t>
  </si>
  <si>
    <t>Sapatos do fogo-gelo</t>
  </si>
  <si>
    <t>Marcha ardente</t>
  </si>
  <si>
    <t>Demon Trackers</t>
  </si>
  <si>
    <t>Ice Walkers</t>
  </si>
  <si>
    <t>Swimming Fins</t>
  </si>
  <si>
    <t>Mestre das armas</t>
  </si>
  <si>
    <t>Rodas Celestiais de Fogo</t>
  </si>
  <si>
    <t>Holy Pawjama</t>
  </si>
  <si>
    <t>Capa do Gelo</t>
  </si>
  <si>
    <t>Toga do Mago</t>
  </si>
  <si>
    <t>Royal Uniform</t>
  </si>
  <si>
    <t>Poseidon's Toga</t>
  </si>
  <si>
    <t>Traje de Tempestade</t>
  </si>
  <si>
    <t xml:space="preserve">Toga do Bruxo </t>
  </si>
  <si>
    <t>Nightmare Cape</t>
  </si>
  <si>
    <t>Halloween Pack</t>
  </si>
  <si>
    <t>Life Vest</t>
  </si>
  <si>
    <t>Toga Plásmica</t>
  </si>
  <si>
    <t>Toga do Arquimago</t>
  </si>
  <si>
    <t xml:space="preserve">Veste do Dragão </t>
  </si>
  <si>
    <t>Sakura Kimono</t>
  </si>
  <si>
    <t>Patriot's Jacket</t>
  </si>
  <si>
    <t>Amazona 3</t>
  </si>
  <si>
    <t>Dublê de Mago</t>
  </si>
  <si>
    <t>Holy Tunic</t>
  </si>
  <si>
    <t>Baking Apron</t>
  </si>
  <si>
    <t>Toga da Alvorada</t>
  </si>
  <si>
    <t>Arquimago 3</t>
  </si>
  <si>
    <t>Ugly Sweater</t>
  </si>
  <si>
    <t>Celtic Coat</t>
  </si>
  <si>
    <t>Guaxinim Guardião</t>
  </si>
  <si>
    <t>Veste Revestida</t>
  </si>
  <si>
    <t>Couro com óleo</t>
  </si>
  <si>
    <t>Pele de Serpente</t>
  </si>
  <si>
    <t>Platemail de Aquiles</t>
  </si>
  <si>
    <t>Revestimento de Couro Pirata</t>
  </si>
  <si>
    <t>Shadow Lurker</t>
  </si>
  <si>
    <t>Valkyrie's Embrace</t>
  </si>
  <si>
    <t>Pele de Dragão</t>
  </si>
  <si>
    <t>Vampire Hunter</t>
  </si>
  <si>
    <t>Cow Hide Vest</t>
  </si>
  <si>
    <t>Companheiro de Guerra 3</t>
  </si>
  <si>
    <t>Couro do Oceano</t>
  </si>
  <si>
    <t>Colete Místico</t>
  </si>
  <si>
    <t>Esmeralda Marcha</t>
  </si>
  <si>
    <t>Corvo Negro</t>
  </si>
  <si>
    <t>Couraça Real</t>
  </si>
  <si>
    <t>Invincible Scales</t>
  </si>
  <si>
    <t>Comp. de Guerra 3</t>
  </si>
  <si>
    <t>Comp. de Guerra 1</t>
  </si>
  <si>
    <t>Líder 2</t>
  </si>
  <si>
    <t>Comp. de Guerra 2</t>
  </si>
  <si>
    <t>Equipamento</t>
  </si>
  <si>
    <t>Descrição</t>
  </si>
  <si>
    <t xml:space="preserve"> Total</t>
  </si>
  <si>
    <t>Anel Total</t>
  </si>
  <si>
    <t>Amazona 1 Total</t>
  </si>
  <si>
    <t>Arco Total</t>
  </si>
  <si>
    <t>Amazona 2 Total</t>
  </si>
  <si>
    <t>Armadura Total</t>
  </si>
  <si>
    <t>Armadura do Mago Total</t>
  </si>
  <si>
    <t>Botas Total</t>
  </si>
  <si>
    <t>Arquimago 1 Total</t>
  </si>
  <si>
    <t>Cajado Total</t>
  </si>
  <si>
    <t>Arquimago 2 Total</t>
  </si>
  <si>
    <t>Chapéu Total</t>
  </si>
  <si>
    <t>Arquimago 3 Total</t>
  </si>
  <si>
    <t>Elmo Total</t>
  </si>
  <si>
    <t>Aura de proteção Total</t>
  </si>
  <si>
    <t>Erva Total</t>
  </si>
  <si>
    <t>Berserker Total</t>
  </si>
  <si>
    <t>Escudo Total</t>
  </si>
  <si>
    <t>Bola de fogo Total</t>
  </si>
  <si>
    <t>Espada Total</t>
  </si>
  <si>
    <t>Caça-tesouros 1 Total</t>
  </si>
  <si>
    <t>Faca Total</t>
  </si>
  <si>
    <t>Caça-tesouros 2 Total</t>
  </si>
  <si>
    <t>Instrumento Total</t>
  </si>
  <si>
    <t>Caça-tesouros 3 Total</t>
  </si>
  <si>
    <t>Lança Total</t>
  </si>
  <si>
    <t>Catador 1 Total</t>
  </si>
  <si>
    <t>Luvas Total</t>
  </si>
  <si>
    <t>Catador 2 Total</t>
  </si>
  <si>
    <t>Machado Total</t>
  </si>
  <si>
    <t>Catador 3 Total</t>
  </si>
  <si>
    <t>Manopla Total</t>
  </si>
  <si>
    <t>Comandante 1 Total</t>
  </si>
  <si>
    <t>Martelo Total</t>
  </si>
  <si>
    <t>Comandante 2 Total</t>
  </si>
  <si>
    <t>Pergaminho Total</t>
  </si>
  <si>
    <t>Pingente Total</t>
  </si>
  <si>
    <t>Poção Total</t>
  </si>
  <si>
    <t>Pistola Total</t>
  </si>
  <si>
    <t>Companheiro de Guerra 1 Total</t>
  </si>
  <si>
    <t>Companheiro de Guerra 2 Total</t>
  </si>
  <si>
    <t>Projétil Total</t>
  </si>
  <si>
    <t>Cone-gélido Total</t>
  </si>
  <si>
    <t>Sapatos Total</t>
  </si>
  <si>
    <t>Cortar Total</t>
  </si>
  <si>
    <t>Túnica Total</t>
  </si>
  <si>
    <t>Cuidadoso 1 Total</t>
  </si>
  <si>
    <t>Veste Total</t>
  </si>
  <si>
    <t>Cuidadoso 2 Total</t>
  </si>
  <si>
    <t>Curandeiro 1 Total</t>
  </si>
  <si>
    <t>Curandeiro 2 Total</t>
  </si>
  <si>
    <t>Curandeiro 3 Total</t>
  </si>
  <si>
    <t>Defesa Total</t>
  </si>
  <si>
    <t>Detectar segredo Total</t>
  </si>
  <si>
    <t>Emboscada Total</t>
  </si>
  <si>
    <t>Aumenta o número máximo de artefatos e itens de raid encontrados por cada membro do grupo em +2</t>
  </si>
  <si>
    <t>Energético 1 Total</t>
  </si>
  <si>
    <t>Energético 2 Total</t>
  </si>
  <si>
    <t>Engenhoso 1 Total</t>
  </si>
  <si>
    <t>Engenhoso 3 Total</t>
  </si>
  <si>
    <t>Esmagar Total</t>
  </si>
  <si>
    <t>Fornecedor 1 Total</t>
  </si>
  <si>
    <t>Fornecedor 2 Total</t>
  </si>
  <si>
    <t>Ganancioso 1 Total</t>
  </si>
  <si>
    <t>Encontra mais 200% de ouro durante as missões</t>
  </si>
  <si>
    <t>Gangster 1 Total</t>
  </si>
  <si>
    <t>Gangster 2 Total</t>
  </si>
  <si>
    <t>Líder 1 Total</t>
  </si>
  <si>
    <t>Líder 3 Total</t>
  </si>
  <si>
    <t>Aumenta a força do equipamento em 75%</t>
  </si>
  <si>
    <t>Passo das Sombras Total</t>
  </si>
  <si>
    <t>Pele de pedra Total</t>
  </si>
  <si>
    <t>Protetor 1 Total</t>
  </si>
  <si>
    <t>Protetor 2 Total</t>
  </si>
  <si>
    <t>Raio elétrico Total</t>
  </si>
  <si>
    <t>Resistente 1 Total</t>
  </si>
  <si>
    <t>Resistente 2 Total</t>
  </si>
  <si>
    <t>Revide Total</t>
  </si>
  <si>
    <t>Reviver 1 Total</t>
  </si>
  <si>
    <t>Reviver 2 Total</t>
  </si>
  <si>
    <t>Reviver 3 Total</t>
  </si>
  <si>
    <t>Sábio 1 Total</t>
  </si>
  <si>
    <t>Sábio 2 Total</t>
  </si>
  <si>
    <t>Sábio 3 Total</t>
  </si>
  <si>
    <t>Sortudo 1 Total</t>
  </si>
  <si>
    <t>Sortudo 2 Total</t>
  </si>
  <si>
    <t>Sortudo 3 Total</t>
  </si>
  <si>
    <t>Suporte 1 Total</t>
  </si>
  <si>
    <t>Suporte 2 Total</t>
  </si>
  <si>
    <t>Suporte 3 Total</t>
  </si>
  <si>
    <t>Velocista 1 Total</t>
  </si>
  <si>
    <t>Velocista 2 Total</t>
  </si>
  <si>
    <t>Velocista 3 Total</t>
  </si>
  <si>
    <t xml:space="preserve"> </t>
  </si>
  <si>
    <t>Herói</t>
  </si>
  <si>
    <t>Habilidades</t>
  </si>
  <si>
    <t>Skill</t>
  </si>
  <si>
    <t>Quantidade</t>
  </si>
  <si>
    <t>Bônus Total</t>
  </si>
  <si>
    <t>Artefato Extra</t>
  </si>
  <si>
    <t>Velocista</t>
  </si>
  <si>
    <t>Reviver</t>
  </si>
  <si>
    <t>Suporte</t>
  </si>
  <si>
    <t>Artefatos Extra - Total</t>
  </si>
  <si>
    <t>Name</t>
  </si>
  <si>
    <t>Bonus</t>
  </si>
  <si>
    <t>Benefit</t>
  </si>
  <si>
    <t>Premium Packs</t>
  </si>
  <si>
    <t>Tenho?</t>
  </si>
  <si>
    <t>Bundle</t>
  </si>
  <si>
    <t>Código para pedir no suporte</t>
  </si>
  <si>
    <t>Turkey Statue</t>
  </si>
  <si>
    <t>Aumentar chance de fusão</t>
  </si>
  <si>
    <t>Harvest Package, Maple Package</t>
  </si>
  <si>
    <t>Advanced Shopfare</t>
  </si>
  <si>
    <t>-</t>
  </si>
  <si>
    <t>Mini Golf</t>
  </si>
  <si>
    <t>Summer Pack, Sports Pack</t>
  </si>
  <si>
    <t>Magic Anvil</t>
  </si>
  <si>
    <t>Reduzir tempo de fabricação</t>
  </si>
  <si>
    <t>Starfrost Fountain</t>
  </si>
  <si>
    <t>Winter Wonderland Bundle, Frostforged Fantasy</t>
  </si>
  <si>
    <t>Cerulean Wings</t>
  </si>
  <si>
    <t xml:space="preserve">Adventure's Journey, Heart Of The Jungle </t>
  </si>
  <si>
    <t>Adventure's Journey</t>
  </si>
  <si>
    <t>jungle2019_d</t>
  </si>
  <si>
    <t>Larry</t>
  </si>
  <si>
    <t>Monkey Business</t>
  </si>
  <si>
    <t>jungle2019_c</t>
  </si>
  <si>
    <t>Leprechaun's Boot</t>
  </si>
  <si>
    <t>Celtic's Favor Bundle, Luck Of The Irish Bundle</t>
  </si>
  <si>
    <t>Azure Emblem</t>
  </si>
  <si>
    <t xml:space="preserve">East Meets West Bundle, Dragon's Hoard </t>
  </si>
  <si>
    <t>Nimbus Rug</t>
  </si>
  <si>
    <t>Apex Predator</t>
  </si>
  <si>
    <t>Reduzir tempo de missão</t>
  </si>
  <si>
    <t>Construction Larry</t>
  </si>
  <si>
    <t>Friendly Bugs, Russell And Larry's Adventure</t>
  </si>
  <si>
    <t>Jar Of Wishes</t>
  </si>
  <si>
    <t>Alien Invader</t>
  </si>
  <si>
    <t>ufo2019_b</t>
  </si>
  <si>
    <t>Frighteningly Festive Package, Terribly Stylish Bundle</t>
  </si>
  <si>
    <t>Captain Neptune</t>
  </si>
  <si>
    <t>Haunted Tree</t>
  </si>
  <si>
    <t xml:space="preserve">Monsters And Hunters, Enter With Caution </t>
  </si>
  <si>
    <t>Anniversary Cake</t>
  </si>
  <si>
    <t>Happy Anniversary!, Blast From The Past</t>
  </si>
  <si>
    <t>Arabian Bundle</t>
  </si>
  <si>
    <t>arabian2020_d</t>
  </si>
  <si>
    <t>Centro de Comando</t>
  </si>
  <si>
    <t>Neon Lights, Void Wanderer</t>
  </si>
  <si>
    <t>Hookah</t>
  </si>
  <si>
    <t>arabian2020_c</t>
  </si>
  <si>
    <t>Arabian Bundle, Arabian Modules</t>
  </si>
  <si>
    <t>Ornate Window</t>
  </si>
  <si>
    <t>Reduzir tempo de fusão</t>
  </si>
  <si>
    <t>Porco Santo</t>
  </si>
  <si>
    <t xml:space="preserve">Clash Of The Elements, Deity At War </t>
  </si>
  <si>
    <t>Arabian Lanterns</t>
  </si>
  <si>
    <t>Cavalo Nobre</t>
  </si>
  <si>
    <t xml:space="preserve">Family Reunion, Tribute To The Chief </t>
  </si>
  <si>
    <t>Royal Camel</t>
  </si>
  <si>
    <t>Bônus de Maestria</t>
  </si>
  <si>
    <t>Prosperity Pig</t>
  </si>
  <si>
    <t>Hot Air Balloon</t>
  </si>
  <si>
    <t>Heating Up</t>
  </si>
  <si>
    <t>Back To School Mini Pack</t>
  </si>
  <si>
    <t>school2020_b</t>
  </si>
  <si>
    <t>Cesta de presente</t>
  </si>
  <si>
    <t>Thank You Pack, Player Appreciation</t>
  </si>
  <si>
    <t>Knowledge Expansion</t>
  </si>
  <si>
    <t>Capacidade de armazenamento</t>
  </si>
  <si>
    <t>Lâmpada Peru</t>
  </si>
  <si>
    <t>Aumentar drop de chaves</t>
  </si>
  <si>
    <t>Jade The Rabbit</t>
  </si>
  <si>
    <t xml:space="preserve">Harvest Moon, Mid-Autumn Festival </t>
  </si>
  <si>
    <t>Celtic's Favor Bundle</t>
  </si>
  <si>
    <t>celtic2019_d</t>
  </si>
  <si>
    <t>Fuzzalicious Condo</t>
  </si>
  <si>
    <t>Here Kitty Kitty, Pawsome Decor</t>
  </si>
  <si>
    <t>Pot Of Gold</t>
  </si>
  <si>
    <t>celtic2019_c</t>
  </si>
  <si>
    <t>Caixa de Pandora</t>
  </si>
  <si>
    <t>Mythology Of Ages, Olympians’ Treasure</t>
  </si>
  <si>
    <t>celtic2019_b</t>
  </si>
  <si>
    <t>Immortal Furnance</t>
  </si>
  <si>
    <t>Aumentar preço de venda</t>
  </si>
  <si>
    <t>Tapete Navajo</t>
  </si>
  <si>
    <t>Cherry Blossom Bundle</t>
  </si>
  <si>
    <t>sakura2019_d</t>
  </si>
  <si>
    <t>Espada Sagrada</t>
  </si>
  <si>
    <t>Shiba Inu</t>
  </si>
  <si>
    <t>sakura2019_b</t>
  </si>
  <si>
    <t>Meowntain Of Milk</t>
  </si>
  <si>
    <t>Koi Pond With Bridge</t>
  </si>
  <si>
    <t>sakura2019_c</t>
  </si>
  <si>
    <t>Alpaca</t>
  </si>
  <si>
    <t xml:space="preserve">Harvest Package, Farmer Package </t>
  </si>
  <si>
    <t>Starfrost Bunny</t>
  </si>
  <si>
    <t xml:space="preserve">Winter Wonderland Bundle, Brrr-Rilliant Star Bundle </t>
  </si>
  <si>
    <t>Chinese New Year Package</t>
  </si>
  <si>
    <t>winter_2016_d</t>
  </si>
  <si>
    <t>Cherry Blossom Bundle, Spring Tranquility Bundle</t>
  </si>
  <si>
    <t>Lucky Rooster</t>
  </si>
  <si>
    <t>winter_2016_b</t>
  </si>
  <si>
    <t>O atacante Exo</t>
  </si>
  <si>
    <t>Trono do Imperador</t>
  </si>
  <si>
    <t xml:space="preserve">Unified Bundle, Emperor's Bundle </t>
  </si>
  <si>
    <t>Cinco De Mayo Package</t>
  </si>
  <si>
    <t>cincodemayo2017_d</t>
  </si>
  <si>
    <t>Tube Man - Shield</t>
  </si>
  <si>
    <t>Wacky Tube Men</t>
  </si>
  <si>
    <t>Aztec Pyramid</t>
  </si>
  <si>
    <t>cincodemayo2017_c</t>
  </si>
  <si>
    <t>Tube Man - Sword</t>
  </si>
  <si>
    <t>Dancing Cactus</t>
  </si>
  <si>
    <t>cincodemayo2017_b</t>
  </si>
  <si>
    <t>Nature Goddess</t>
  </si>
  <si>
    <t xml:space="preserve">La Fleur, Flower Power </t>
  </si>
  <si>
    <t>Clash Of The Elements</t>
  </si>
  <si>
    <t>deity2020_d</t>
  </si>
  <si>
    <t>Combat Dummy</t>
  </si>
  <si>
    <t>Samurai vs. Ninja Bundle, Training Grounds</t>
  </si>
  <si>
    <t>Deity's Statue</t>
  </si>
  <si>
    <t>deity2020_c</t>
  </si>
  <si>
    <t>Boo'd Or Treat</t>
  </si>
  <si>
    <t>Spooktacular Halloween, Spooky Decorations</t>
  </si>
  <si>
    <t>Holy Pig</t>
  </si>
  <si>
    <t>Birthday Turtle</t>
  </si>
  <si>
    <t>Sacred Brush</t>
  </si>
  <si>
    <t>Sparkles</t>
  </si>
  <si>
    <t>Magic Friend</t>
  </si>
  <si>
    <t>Isle Of Divinity</t>
  </si>
  <si>
    <t>Reduzir tempo de cura</t>
  </si>
  <si>
    <t>Ascensão da Fênix</t>
  </si>
  <si>
    <t>Kitty Carpet</t>
  </si>
  <si>
    <t>Bônus de XP</t>
  </si>
  <si>
    <t>Complete Pirate Bundle</t>
  </si>
  <si>
    <t>pirate2019_d</t>
  </si>
  <si>
    <t>Rogue Statue</t>
  </si>
  <si>
    <t>Ninja Package</t>
  </si>
  <si>
    <t>Parrot On Stand</t>
  </si>
  <si>
    <t>pirate2019_c</t>
  </si>
  <si>
    <t>Warrior Statue</t>
  </si>
  <si>
    <t>Warrior Package</t>
  </si>
  <si>
    <t>Sunken Ship</t>
  </si>
  <si>
    <t>pirate2019_b</t>
  </si>
  <si>
    <t>Wizard Statue</t>
  </si>
  <si>
    <t>Wizard Package</t>
  </si>
  <si>
    <t>Mummy Sarcophagus</t>
  </si>
  <si>
    <t>East Meets West Bundle</t>
  </si>
  <si>
    <t>dragon2019_d</t>
  </si>
  <si>
    <t>Gesto de Agradecimento</t>
  </si>
  <si>
    <t>Prosperity Pearl</t>
  </si>
  <si>
    <t>dragon2019_c</t>
  </si>
  <si>
    <t>Fireworks Statue</t>
  </si>
  <si>
    <t>Mimic</t>
  </si>
  <si>
    <t>Knight's Bane</t>
  </si>
  <si>
    <t>Suitcases</t>
  </si>
  <si>
    <t>20-600</t>
  </si>
  <si>
    <t>Exclusive Storage Bundle</t>
  </si>
  <si>
    <t>Moon Fairy</t>
  </si>
  <si>
    <t>Reduzir quebra de item</t>
  </si>
  <si>
    <t>Easter Package</t>
  </si>
  <si>
    <t>easter2017_d</t>
  </si>
  <si>
    <t>Got Cat?</t>
  </si>
  <si>
    <t>Easter Bunny</t>
  </si>
  <si>
    <t>easter2017_b</t>
  </si>
  <si>
    <t>Bubbly Cauldron</t>
  </si>
  <si>
    <t>Easter Egg</t>
  </si>
  <si>
    <t>easter2017_c</t>
  </si>
  <si>
    <t>Estátua Anjo da Guarda</t>
  </si>
  <si>
    <t>Prancing Pony</t>
  </si>
  <si>
    <t>Patriot Pack, Wild West Pack</t>
  </si>
  <si>
    <t>Eggstravaganza</t>
  </si>
  <si>
    <t>easter2020_d</t>
  </si>
  <si>
    <t>Parasol</t>
  </si>
  <si>
    <t>Summer Pack, Vacation Pack</t>
  </si>
  <si>
    <t>Chick-A-Boo</t>
  </si>
  <si>
    <t>Flamingo Pool</t>
  </si>
  <si>
    <t>Extended Summer, Lounge Around</t>
  </si>
  <si>
    <t>Secret Experiment</t>
  </si>
  <si>
    <t>Moon Shrine</t>
  </si>
  <si>
    <t>Tigre Branco</t>
  </si>
  <si>
    <t>Heroic Package #3</t>
  </si>
  <si>
    <t>Ilha da Divindade</t>
  </si>
  <si>
    <t>Extended Summer</t>
  </si>
  <si>
    <t>summer2019_d</t>
  </si>
  <si>
    <t>Complete Pirate Bundle, A Pirate's Life</t>
  </si>
  <si>
    <t>Sand Castle</t>
  </si>
  <si>
    <t>summer2019_c</t>
  </si>
  <si>
    <t>Chocolate Bear</t>
  </si>
  <si>
    <t>Sweet Delights, Patissier's Passion</t>
  </si>
  <si>
    <t>Seal</t>
  </si>
  <si>
    <t xml:space="preserve">Chinese New Year Package, Lucky Rooster Package </t>
  </si>
  <si>
    <t xml:space="preserve">Cinco De Mayo Package, Ancient Package </t>
  </si>
  <si>
    <t>Beach Towel</t>
  </si>
  <si>
    <t>Easter Package, Eggciting Package</t>
  </si>
  <si>
    <t>Scarecrow</t>
  </si>
  <si>
    <t>Harvest Package 2016</t>
  </si>
  <si>
    <t>Family Reunion</t>
  </si>
  <si>
    <t>thanksgiving2020_d</t>
  </si>
  <si>
    <t>Flying Hearts</t>
  </si>
  <si>
    <t xml:space="preserve">Valentine's Day Package, Care Package </t>
  </si>
  <si>
    <t>Tee Pee</t>
  </si>
  <si>
    <t>thanksgiving2020_c</t>
  </si>
  <si>
    <t>Blossom</t>
  </si>
  <si>
    <t>Noble Steed</t>
  </si>
  <si>
    <t xml:space="preserve">Cherry Blossom Bundle, Blossom Viewing Bundle </t>
  </si>
  <si>
    <t>Turkey Lamp</t>
  </si>
  <si>
    <t>Pharaoh Sarcophagus</t>
  </si>
  <si>
    <t>Lost Treasures Bundle, Pharaoh's Bundle</t>
  </si>
  <si>
    <t>Navajo Carpet</t>
  </si>
  <si>
    <t>Estátua de Hermes</t>
  </si>
  <si>
    <t>Friendly Bugs</t>
  </si>
  <si>
    <t>bugcatcher2020_d</t>
  </si>
  <si>
    <t>Russell The Snail</t>
  </si>
  <si>
    <t>bugcatcher2020_c</t>
  </si>
  <si>
    <t>Diomedes</t>
  </si>
  <si>
    <t>Love And Penguins, Winter Buddies</t>
  </si>
  <si>
    <t>Bigorna mágica</t>
  </si>
  <si>
    <t>Great Horn Beetle</t>
  </si>
  <si>
    <t>Eggstravaganza Package</t>
  </si>
  <si>
    <t>Frighteningly Festive Package</t>
  </si>
  <si>
    <t>halloween2018_d</t>
  </si>
  <si>
    <t>Munak Kitty</t>
  </si>
  <si>
    <t>halloween2018_c</t>
  </si>
  <si>
    <t>Estátua da Divindade</t>
  </si>
  <si>
    <t>halloween2018_b</t>
  </si>
  <si>
    <t>Halloween Package</t>
  </si>
  <si>
    <t>halloween_2016_d</t>
  </si>
  <si>
    <t>Bamboo Lantern</t>
  </si>
  <si>
    <t>Ghostkin</t>
  </si>
  <si>
    <t>halloween_2016_b</t>
  </si>
  <si>
    <t>King's Statue</t>
  </si>
  <si>
    <t>Patriot Pack, Superhero Pack</t>
  </si>
  <si>
    <t>Sally 2</t>
  </si>
  <si>
    <t>Happy Anniversary!</t>
  </si>
  <si>
    <t>anniversary2020_d</t>
  </si>
  <si>
    <t>anniversary2020_c</t>
  </si>
  <si>
    <t>Jolly Bee</t>
  </si>
  <si>
    <t>Anniversary Balloons</t>
  </si>
  <si>
    <t>Fish Boy</t>
  </si>
  <si>
    <t>Goal!</t>
  </si>
  <si>
    <t>C-C4De</t>
  </si>
  <si>
    <t>Harvest Moon</t>
  </si>
  <si>
    <t>harvest2020_d</t>
  </si>
  <si>
    <t>Escova Sagrada</t>
  </si>
  <si>
    <t>harvest2020_c</t>
  </si>
  <si>
    <t>Quimera</t>
  </si>
  <si>
    <t xml:space="preserve">Frighteningly Festive Package, Horribly Cuddly Bundle </t>
  </si>
  <si>
    <t>Pharaoh Kitty</t>
  </si>
  <si>
    <t xml:space="preserve">Lost Treasures Bundle, Cryptic Bundle </t>
  </si>
  <si>
    <t>Pombas do véu de noiva</t>
  </si>
  <si>
    <t>Royally Late Wedding Package, Bridal Package</t>
  </si>
  <si>
    <t>thanksgiving2016_d</t>
  </si>
  <si>
    <t>Raposa Ártica</t>
  </si>
  <si>
    <t>Winter Mini Pack</t>
  </si>
  <si>
    <t>thanksgiving2017_a</t>
  </si>
  <si>
    <t>Quarantined Rat</t>
  </si>
  <si>
    <t>Self Quarantine</t>
  </si>
  <si>
    <t>Complete Pirate Bundle, X Marks The Spot</t>
  </si>
  <si>
    <t>Harvest Package</t>
  </si>
  <si>
    <t>thanksgiving2017_d</t>
  </si>
  <si>
    <t>Cinco De Mayo Package, Fiesta Package</t>
  </si>
  <si>
    <t>thanksgiving2017_c</t>
  </si>
  <si>
    <t>Easter Package, Eggcellent Package</t>
  </si>
  <si>
    <t>thanksgiving2017_b</t>
  </si>
  <si>
    <t xml:space="preserve">Halloween Package, Hollow Package </t>
  </si>
  <si>
    <t>Snowman</t>
  </si>
  <si>
    <t>Holiday Package, Snowy Package</t>
  </si>
  <si>
    <t>heatingup2020_b</t>
  </si>
  <si>
    <t>Pixel Heart</t>
  </si>
  <si>
    <t>Valentine's Day Package, Love Package</t>
  </si>
  <si>
    <t>Hungry Hummingbird</t>
  </si>
  <si>
    <t>Here Kitty Kitty</t>
  </si>
  <si>
    <t>feline2020_d</t>
  </si>
  <si>
    <t>Family Time</t>
  </si>
  <si>
    <t>feline2020_c</t>
  </si>
  <si>
    <t>Lost Pet</t>
  </si>
  <si>
    <t>Ninja Cat</t>
  </si>
  <si>
    <t>Oni Slayer</t>
  </si>
  <si>
    <t>Neutrino V.20</t>
  </si>
  <si>
    <t>Wolf Pup?</t>
  </si>
  <si>
    <t>Heroic Package #1</t>
  </si>
  <si>
    <t xml:space="preserve">Celtic's Favor Bundle, Clover's Advantage Bundle </t>
  </si>
  <si>
    <t>Dragão Verde</t>
  </si>
  <si>
    <t>O Cão</t>
  </si>
  <si>
    <t>Heroic Package #2</t>
  </si>
  <si>
    <t>Wedding Coach</t>
  </si>
  <si>
    <t>Royally Late Wedding Package, Groom's Bundle</t>
  </si>
  <si>
    <t>Tide The Dog</t>
  </si>
  <si>
    <t>Cake Buffet</t>
  </si>
  <si>
    <t xml:space="preserve">Sweet Delights, Made With Love </t>
  </si>
  <si>
    <t>Cavalo Lebre Vermelha</t>
  </si>
  <si>
    <t>Unified Bundle, Warfare Bundle</t>
  </si>
  <si>
    <t>White Tiger</t>
  </si>
  <si>
    <t>Holiday Package</t>
  </si>
  <si>
    <t>christmas_2016_d</t>
  </si>
  <si>
    <t>christmas_2016_c</t>
  </si>
  <si>
    <t>La Fleur</t>
  </si>
  <si>
    <t>flowers2020_d</t>
  </si>
  <si>
    <t>flowers2020_c</t>
  </si>
  <si>
    <t>Lost Treasures Bundle</t>
  </si>
  <si>
    <t>egyptian2018_d</t>
  </si>
  <si>
    <t>egyptian2018_c</t>
  </si>
  <si>
    <t>egyptian2018_b</t>
  </si>
  <si>
    <t>Love And Penguins</t>
  </si>
  <si>
    <t>penguins2019_d</t>
  </si>
  <si>
    <t>penguins2019_c</t>
  </si>
  <si>
    <t>sparkles2019_b</t>
  </si>
  <si>
    <t>Monsters And Hunters</t>
  </si>
  <si>
    <t>halloween2019_d</t>
  </si>
  <si>
    <t>Mythology Of Ages</t>
  </si>
  <si>
    <t>mythology2020_d</t>
  </si>
  <si>
    <t>Hermes' Statue</t>
  </si>
  <si>
    <t>mythology2020_c</t>
  </si>
  <si>
    <t>Chimera</t>
  </si>
  <si>
    <t>Pandora's Box</t>
  </si>
  <si>
    <t>Sacred Sword</t>
  </si>
  <si>
    <t>Neon Lights</t>
  </si>
  <si>
    <t>cyberpunk2020_d</t>
  </si>
  <si>
    <t>Command Center</t>
  </si>
  <si>
    <t>cyberpunk2020_c</t>
  </si>
  <si>
    <t>Exo-Striker</t>
  </si>
  <si>
    <t>usa2017_d</t>
  </si>
  <si>
    <t>usa2017_c</t>
  </si>
  <si>
    <t>usa2017_b</t>
  </si>
  <si>
    <t>prosperitypig_b</t>
  </si>
  <si>
    <t>Royally Late Wedding Package</t>
  </si>
  <si>
    <t>royalwedding2018_d</t>
  </si>
  <si>
    <t>Bridal Veil Doves</t>
  </si>
  <si>
    <t>royalwedding2018_b</t>
  </si>
  <si>
    <t>royalwedding2018_c</t>
  </si>
  <si>
    <t>Samurai vs. Ninja Bundle</t>
  </si>
  <si>
    <t>oni2020_d</t>
  </si>
  <si>
    <t>oni2020_c</t>
  </si>
  <si>
    <t>stasis2019_b</t>
  </si>
  <si>
    <t>selfquarantine2020_b</t>
  </si>
  <si>
    <t>Spooktacular Halloween</t>
  </si>
  <si>
    <t>halloween2020_d</t>
  </si>
  <si>
    <t>halloween2020_c</t>
  </si>
  <si>
    <t>Summer Pack</t>
  </si>
  <si>
    <t>summer_2017_d</t>
  </si>
  <si>
    <t>summer_2017_b</t>
  </si>
  <si>
    <t>summer_2017_c</t>
  </si>
  <si>
    <t>Sweet Delights</t>
  </si>
  <si>
    <t>sweets2019_d</t>
  </si>
  <si>
    <t>sweets2019_b</t>
  </si>
  <si>
    <t>sweets2019_c</t>
  </si>
  <si>
    <t>appreciation2021_d</t>
  </si>
  <si>
    <t>Guardian Angel Statue</t>
  </si>
  <si>
    <t>appreciation2021_c</t>
  </si>
  <si>
    <t>Gift Basket</t>
  </si>
  <si>
    <t>Rising Phoenix</t>
  </si>
  <si>
    <t>Token Of Appreciation</t>
  </si>
  <si>
    <t>Unified Bundle</t>
  </si>
  <si>
    <t>threekingdoms2018_d</t>
  </si>
  <si>
    <t>Emperor's Throne</t>
  </si>
  <si>
    <t>threekingdoms2018_c</t>
  </si>
  <si>
    <t>Red Hare Horse</t>
  </si>
  <si>
    <t>threekingdoms2018_b</t>
  </si>
  <si>
    <t>Valentine's Day Package</t>
  </si>
  <si>
    <t>valentine_2017_d</t>
  </si>
  <si>
    <t>valentine_2017_b</t>
  </si>
  <si>
    <t>valentine_2017_c</t>
  </si>
  <si>
    <t>wacky2019_b</t>
  </si>
  <si>
    <t>wintermini2020_b</t>
  </si>
  <si>
    <t>Arctic Fox</t>
  </si>
  <si>
    <t>Winter Wonderland Bundle</t>
  </si>
  <si>
    <t>winterwonder2018_d</t>
  </si>
  <si>
    <t>winterwonder2018_b</t>
  </si>
  <si>
    <t>winterwonder2018_c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</si>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</sst>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sz val="11.0"/>
      <color rgb="FFF3F3F3"/>
      <name val="Calibri"/>
    </font>
    <font/>
    <font>
      <color rgb="FFF3F3F3"/>
      <name val="Calibri"/>
    </font>
    <font>
      <sz val="11.0"/>
      <color rgb="FFF3F3F3"/>
      <name val="Arial"/>
      <scheme val="minor"/>
    </font>
    <font>
      <color rgb="FFF3F3F3"/>
      <name val="Arial"/>
      <scheme val="minor"/>
    </font>
    <font>
      <sz val="8.0"/>
      <color theme="1"/>
      <name val="Arial"/>
      <scheme val="minor"/>
    </font>
    <font>
      <b/>
      <sz val="8.0"/>
      <color rgb="FFFFFFFF"/>
      <name val="Arial"/>
    </font>
    <font>
      <sz val="8.0"/>
      <color theme="1"/>
      <name val="Arial"/>
    </font>
    <font>
      <color theme="1"/>
      <name val="Arial"/>
      <scheme val="minor"/>
    </font>
    <font>
      <color rgb="FFFFFFFF"/>
      <name val="Calibri"/>
    </font>
    <font>
      <strike/>
      <color rgb="FFF3F3F3"/>
      <name val="Arial"/>
      <scheme val="minor"/>
    </font>
    <font>
      <strike/>
      <color rgb="FFF3F3F3"/>
      <name val="Calibri"/>
    </font>
    <font>
      <strike/>
      <color rgb="FFFFFFFF"/>
      <name val="Calibri"/>
    </font>
    <font>
      <sz val="8.0"/>
      <color rgb="FF434343"/>
      <name val="Arial"/>
      <scheme val="minor"/>
    </font>
    <font>
      <sz val="8.0"/>
      <color rgb="FF434343"/>
      <name val="&quot;Arial&quot;"/>
    </font>
    <font>
      <sz val="8.0"/>
      <color rgb="FFFFFFFF"/>
      <name val="Arial"/>
      <scheme val="minor"/>
    </font>
    <font>
      <sz val="8.0"/>
      <color rgb="FF000000"/>
      <name val="Arial"/>
      <scheme val="minor"/>
    </font>
    <font>
      <b/>
      <sz val="8.0"/>
      <color rgb="FF434343"/>
      <name val="Arial"/>
      <scheme val="minor"/>
    </font>
    <font>
      <b/>
      <sz val="8.0"/>
      <color rgb="FF434343"/>
      <name val="Arial"/>
    </font>
    <font>
      <b/>
      <sz val="8.0"/>
      <color rgb="FF000000"/>
      <name val="Arial"/>
    </font>
    <font>
      <b/>
      <sz val="8.0"/>
      <color rgb="FFF3F3F3"/>
      <name val="Arial"/>
      <scheme val="minor"/>
    </font>
    <font>
      <sz val="9.0"/>
      <color theme="1"/>
      <name val="Arial"/>
      <scheme val="minor"/>
    </font>
    <font>
      <sz val="8.0"/>
      <color rgb="FFF3F3F3"/>
      <name val="Arial"/>
      <scheme val="minor"/>
    </font>
    <font>
      <b/>
      <color rgb="FFF3F3F3"/>
      <name val="Arial"/>
      <scheme val="minor"/>
    </font>
    <font>
      <color rgb="FF434343"/>
      <name val="Arial"/>
      <scheme val="minor"/>
    </font>
    <font>
      <color theme="1"/>
      <name val="Arial"/>
    </font>
    <font>
      <color rgb="FF000000"/>
      <name val="&quot;Arial&quot;"/>
    </font>
    <font>
      <color rgb="FFFFFFFF"/>
      <name val="Arial"/>
      <scheme val="minor"/>
    </font>
    <font>
      <sz val="9.0"/>
      <color rgb="FFFFFFFF"/>
      <name val="Arial"/>
      <scheme val="minor"/>
    </font>
    <font>
      <color rgb="FFFF9900"/>
      <name val="Arial"/>
      <scheme val="minor"/>
    </font>
    <font>
      <sz val="11.0"/>
      <color rgb="FF434343"/>
      <name val="Arial"/>
      <scheme val="minor"/>
    </font>
    <font>
      <sz val="11.0"/>
      <color rgb="FFF7981D"/>
      <name val="Arial"/>
      <scheme val="minor"/>
    </font>
    <font>
      <sz val="11.0"/>
      <color rgb="FFA61D4C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22">
    <border/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F3F3F3"/>
      </left>
    </border>
    <border>
      <right style="thin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center" vertical="center"/>
    </xf>
    <xf borderId="0" fillId="3" fontId="7" numFmtId="0" xfId="0" applyAlignment="1" applyFill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horizontal="center" readingOrder="0" textRotation="0" vertical="center"/>
    </xf>
    <xf borderId="5" fillId="4" fontId="8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5" fillId="4" fontId="8" numFmtId="0" xfId="0" applyAlignment="1" applyBorder="1" applyFont="1">
      <alignment vertical="bottom"/>
    </xf>
    <xf borderId="8" fillId="0" fontId="2" numFmtId="0" xfId="0" applyBorder="1" applyFont="1"/>
    <xf borderId="5" fillId="4" fontId="8" numFmtId="0" xfId="0" applyAlignment="1" applyBorder="1" applyFont="1">
      <alignment horizontal="center" vertical="bottom"/>
    </xf>
    <xf borderId="6" fillId="3" fontId="7" numFmtId="0" xfId="0" applyAlignment="1" applyBorder="1" applyFont="1">
      <alignment horizontal="center" readingOrder="0" vertical="center"/>
    </xf>
    <xf borderId="5" fillId="5" fontId="8" numFmtId="0" xfId="0" applyAlignment="1" applyBorder="1" applyFill="1" applyFont="1">
      <alignment horizontal="center" readingOrder="0" vertical="bottom"/>
    </xf>
    <xf borderId="5" fillId="5" fontId="8" numFmtId="0" xfId="0" applyAlignment="1" applyBorder="1" applyFont="1">
      <alignment vertical="bottom"/>
    </xf>
    <xf borderId="5" fillId="5" fontId="8" numFmtId="0" xfId="0" applyAlignment="1" applyBorder="1" applyFont="1">
      <alignment horizontal="center" vertical="bottom"/>
    </xf>
    <xf borderId="5" fillId="6" fontId="8" numFmtId="0" xfId="0" applyAlignment="1" applyBorder="1" applyFill="1" applyFont="1">
      <alignment horizontal="center" readingOrder="0" vertical="bottom"/>
    </xf>
    <xf borderId="5" fillId="6" fontId="8" numFmtId="0" xfId="0" applyAlignment="1" applyBorder="1" applyFont="1">
      <alignment horizontal="center" vertical="bottom"/>
    </xf>
    <xf borderId="5" fillId="6" fontId="8" numFmtId="0" xfId="0" applyAlignment="1" applyBorder="1" applyFont="1">
      <alignment vertical="bottom"/>
    </xf>
    <xf borderId="5" fillId="7" fontId="8" numFmtId="0" xfId="0" applyAlignment="1" applyBorder="1" applyFill="1" applyFont="1">
      <alignment horizontal="center" readingOrder="0" vertical="bottom"/>
    </xf>
    <xf borderId="5" fillId="7" fontId="8" numFmtId="0" xfId="0" applyAlignment="1" applyBorder="1" applyFont="1">
      <alignment horizontal="center" vertical="bottom"/>
    </xf>
    <xf borderId="5" fillId="7" fontId="8" numFmtId="0" xfId="0" applyAlignment="1" applyBorder="1" applyFont="1">
      <alignment vertical="bottom"/>
    </xf>
    <xf borderId="5" fillId="8" fontId="8" numFmtId="0" xfId="0" applyAlignment="1" applyBorder="1" applyFill="1" applyFont="1">
      <alignment horizontal="center" readingOrder="0" vertical="bottom"/>
    </xf>
    <xf borderId="5" fillId="8" fontId="8" numFmtId="0" xfId="0" applyAlignment="1" applyBorder="1" applyFont="1">
      <alignment horizontal="center" vertical="bottom"/>
    </xf>
    <xf borderId="5" fillId="8" fontId="8" numFmtId="0" xfId="0" applyAlignment="1" applyBorder="1" applyFont="1">
      <alignment vertical="bottom"/>
    </xf>
    <xf borderId="5" fillId="9" fontId="8" numFmtId="0" xfId="0" applyAlignment="1" applyBorder="1" applyFill="1" applyFont="1">
      <alignment horizontal="center" readingOrder="0" vertical="bottom"/>
    </xf>
    <xf borderId="5" fillId="9" fontId="8" numFmtId="0" xfId="0" applyAlignment="1" applyBorder="1" applyFont="1">
      <alignment vertical="bottom"/>
    </xf>
    <xf borderId="5" fillId="9" fontId="8" numFmtId="0" xfId="0" applyAlignment="1" applyBorder="1" applyFont="1">
      <alignment horizontal="center" vertical="bottom"/>
    </xf>
    <xf borderId="5" fillId="10" fontId="8" numFmtId="0" xfId="0" applyAlignment="1" applyBorder="1" applyFill="1" applyFont="1">
      <alignment horizontal="center" readingOrder="0" vertical="bottom"/>
    </xf>
    <xf borderId="5" fillId="10" fontId="8" numFmtId="0" xfId="0" applyAlignment="1" applyBorder="1" applyFont="1">
      <alignment horizontal="center" vertical="bottom"/>
    </xf>
    <xf borderId="5" fillId="10" fontId="8" numFmtId="0" xfId="0" applyAlignment="1" applyBorder="1" applyFont="1">
      <alignment vertical="bottom"/>
    </xf>
    <xf borderId="9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9" numFmtId="0" xfId="0" applyFont="1"/>
    <xf borderId="4" fillId="2" fontId="1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left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13" fillId="2" fontId="5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13" fillId="2" fontId="5" numFmtId="0" xfId="0" applyAlignment="1" applyBorder="1" applyFont="1">
      <alignment horizontal="center" readingOrder="0" vertical="center"/>
    </xf>
    <xf borderId="12" fillId="2" fontId="10" numFmtId="0" xfId="0" applyAlignment="1" applyBorder="1" applyFont="1">
      <alignment horizontal="center" readingOrder="0"/>
    </xf>
    <xf borderId="13" fillId="2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left" vertical="center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left" vertical="center"/>
    </xf>
    <xf borderId="12" fillId="2" fontId="5" numFmtId="0" xfId="0" applyAlignment="1" applyBorder="1" applyFont="1">
      <alignment horizontal="left" readingOrder="0" vertical="center"/>
    </xf>
    <xf borderId="0" fillId="2" fontId="5" numFmtId="0" xfId="0" applyAlignment="1" applyFont="1">
      <alignment horizontal="center" vertical="center"/>
    </xf>
    <xf borderId="0" fillId="2" fontId="11" numFmtId="0" xfId="0" applyAlignment="1" applyFont="1">
      <alignment horizontal="left" vertical="center"/>
    </xf>
    <xf borderId="0" fillId="2" fontId="11" numFmtId="0" xfId="0" applyAlignment="1" applyFont="1">
      <alignment horizontal="left" readingOrder="0" vertical="center"/>
    </xf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2" numFmtId="0" xfId="0" applyAlignment="1" applyFont="1">
      <alignment horizontal="left" readingOrder="0" vertical="center"/>
    </xf>
    <xf borderId="0" fillId="2" fontId="11" numFmtId="0" xfId="0" applyAlignment="1" applyFont="1">
      <alignment horizontal="center" vertical="center"/>
    </xf>
    <xf borderId="12" fillId="2" fontId="13" numFmtId="0" xfId="0" applyAlignment="1" applyBorder="1" applyFont="1">
      <alignment horizontal="center" readingOrder="0"/>
    </xf>
    <xf borderId="14" fillId="2" fontId="5" numFmtId="0" xfId="0" applyAlignment="1" applyBorder="1" applyFont="1">
      <alignment horizontal="center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2" fillId="2" fontId="5" numFmtId="0" xfId="0" applyAlignment="1" applyBorder="1" applyFont="1">
      <alignment horizontal="center" shrinkToFit="0" wrapText="0"/>
    </xf>
    <xf borderId="14" fillId="2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14" fillId="2" fontId="14" numFmtId="0" xfId="0" applyAlignment="1" applyBorder="1" applyFont="1">
      <alignment horizontal="center" shrinkToFit="0" wrapText="0"/>
    </xf>
    <xf borderId="0" fillId="0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12" fillId="2" fontId="14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0" fillId="0" fontId="15" numFmtId="0" xfId="0" applyAlignment="1" applyFont="1">
      <alignment readingOrder="0"/>
    </xf>
    <xf borderId="2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wrapText="0"/>
    </xf>
    <xf borderId="0" fillId="2" fontId="5" numFmtId="0" xfId="0" applyAlignment="1" applyFont="1">
      <alignment horizontal="center" shrinkToFit="0" wrapText="0"/>
    </xf>
    <xf borderId="0" fillId="2" fontId="14" numFmtId="0" xfId="0" applyAlignment="1" applyFont="1">
      <alignment horizontal="center" shrinkToFit="0" wrapText="0"/>
    </xf>
    <xf borderId="0" fillId="2" fontId="16" numFmtId="0" xfId="0" applyAlignment="1" applyFont="1">
      <alignment horizontal="center" vertical="center"/>
    </xf>
    <xf borderId="0" fillId="11" fontId="17" numFmtId="0" xfId="0" applyAlignment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12" fontId="14" numFmtId="0" xfId="0" applyFill="1" applyFont="1"/>
    <xf borderId="0" fillId="11" fontId="17" numFmtId="0" xfId="0" applyFont="1"/>
    <xf borderId="0" fillId="0" fontId="17" numFmtId="0" xfId="0" applyFont="1"/>
    <xf borderId="0" fillId="12" fontId="18" numFmtId="0" xfId="0" applyAlignment="1" applyFont="1">
      <alignment horizontal="left" readingOrder="0" vertical="center"/>
    </xf>
    <xf borderId="0" fillId="12" fontId="19" numFmtId="0" xfId="0" applyAlignment="1" applyFont="1">
      <alignment horizontal="left" readingOrder="0" vertical="center"/>
    </xf>
    <xf borderId="0" fillId="12" fontId="19" numFmtId="0" xfId="0" applyAlignment="1" applyFont="1">
      <alignment horizontal="center" readingOrder="0" vertical="center"/>
    </xf>
    <xf borderId="0" fillId="11" fontId="20" numFmtId="0" xfId="0" applyAlignment="1" applyFont="1">
      <alignment horizontal="center" readingOrder="0" vertical="center"/>
    </xf>
    <xf borderId="0" fillId="12" fontId="14" numFmtId="0" xfId="0" applyAlignment="1" applyFont="1">
      <alignment horizontal="left" readingOrder="0" vertical="center"/>
    </xf>
    <xf borderId="0" fillId="12" fontId="14" numFmtId="0" xfId="0" applyAlignment="1" applyFont="1">
      <alignment horizontal="left" readingOrder="0"/>
    </xf>
    <xf borderId="0" fillId="12" fontId="14" numFmtId="0" xfId="0" applyAlignment="1" applyFont="1">
      <alignment horizontal="center" readingOrder="0" vertical="center"/>
    </xf>
    <xf borderId="0" fillId="11" fontId="17" numFmtId="0" xfId="0" applyAlignment="1" applyFont="1">
      <alignment horizontal="center" readingOrder="0" vertical="center"/>
    </xf>
    <xf borderId="0" fillId="12" fontId="14" numFmtId="0" xfId="0" applyAlignment="1" applyFont="1">
      <alignment horizontal="left"/>
    </xf>
    <xf borderId="0" fillId="12" fontId="14" numFmtId="0" xfId="0" applyAlignment="1" applyFont="1">
      <alignment horizontal="center" readingOrder="0"/>
    </xf>
    <xf borderId="0" fillId="11" fontId="17" numFmtId="0" xfId="0" applyAlignment="1" applyFont="1">
      <alignment horizontal="center" readingOrder="0"/>
    </xf>
    <xf borderId="0" fillId="12" fontId="14" numFmtId="0" xfId="0" applyAlignment="1" applyFont="1">
      <alignment horizontal="left" vertical="center"/>
    </xf>
    <xf borderId="0" fillId="12" fontId="14" numFmtId="0" xfId="0" applyAlignment="1" applyFont="1">
      <alignment horizontal="center" vertical="center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Font="1"/>
    <xf borderId="5" fillId="3" fontId="21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5" fillId="11" fontId="6" numFmtId="0" xfId="0" applyAlignment="1" applyBorder="1" applyFont="1">
      <alignment horizontal="center" readingOrder="0"/>
    </xf>
    <xf borderId="5" fillId="8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/>
    </xf>
    <xf borderId="5" fillId="13" fontId="6" numFmtId="0" xfId="0" applyAlignment="1" applyBorder="1" applyFill="1" applyFont="1">
      <alignment horizontal="center" readingOrder="0"/>
    </xf>
    <xf borderId="5" fillId="13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/>
    </xf>
    <xf borderId="5" fillId="11" fontId="6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horizontal="center" readingOrder="0"/>
    </xf>
    <xf borderId="16" fillId="0" fontId="2" numFmtId="0" xfId="0" applyBorder="1" applyFont="1"/>
    <xf borderId="17" fillId="0" fontId="2" numFmtId="0" xfId="0" applyBorder="1" applyFont="1"/>
    <xf borderId="5" fillId="0" fontId="6" numFmtId="0" xfId="0" applyAlignment="1" applyBorder="1" applyFont="1">
      <alignment horizontal="center"/>
    </xf>
    <xf borderId="5" fillId="14" fontId="23" numFmtId="0" xfId="0" applyAlignment="1" applyBorder="1" applyFill="1" applyFont="1">
      <alignment horizontal="center" vertical="center"/>
    </xf>
    <xf borderId="0" fillId="14" fontId="16" numFmtId="0" xfId="0" applyAlignment="1" applyFont="1">
      <alignment horizontal="center" vertical="center"/>
    </xf>
    <xf borderId="5" fillId="0" fontId="17" numFmtId="0" xfId="0" applyBorder="1" applyFont="1"/>
    <xf borderId="5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left"/>
    </xf>
    <xf borderId="15" fillId="0" fontId="17" numFmtId="0" xfId="0" applyAlignment="1" applyBorder="1" applyFont="1">
      <alignment horizontal="center" vertical="center"/>
    </xf>
    <xf borderId="0" fillId="2" fontId="23" numFmtId="0" xfId="0" applyAlignment="1" applyFont="1">
      <alignment horizontal="center" vertical="center"/>
    </xf>
    <xf borderId="0" fillId="15" fontId="17" numFmtId="0" xfId="0" applyAlignment="1" applyFill="1" applyFont="1">
      <alignment horizontal="center" vertical="center"/>
    </xf>
    <xf borderId="0" fillId="15" fontId="6" numFmtId="0" xfId="0" applyFont="1"/>
    <xf borderId="0" fillId="15" fontId="14" numFmtId="0" xfId="0" applyAlignment="1" applyFont="1">
      <alignment horizontal="center" readingOrder="0" vertical="center"/>
    </xf>
    <xf borderId="0" fillId="15" fontId="9" numFmtId="0" xfId="0" applyFont="1"/>
    <xf borderId="0" fillId="15" fontId="14" numFmtId="0" xfId="0" applyAlignment="1" applyFont="1">
      <alignment horizontal="center" vertical="center"/>
    </xf>
    <xf borderId="0" fillId="15" fontId="6" numFmtId="0" xfId="0" applyAlignment="1" applyFont="1">
      <alignment horizontal="center" vertical="center"/>
    </xf>
    <xf borderId="5" fillId="0" fontId="6" numFmtId="0" xfId="0" applyBorder="1" applyFont="1"/>
    <xf borderId="5" fillId="4" fontId="6" numFmtId="0" xfId="0" applyAlignment="1" applyBorder="1" applyFont="1">
      <alignment horizontal="center" readingOrder="0" vertical="center"/>
    </xf>
    <xf borderId="0" fillId="16" fontId="17" numFmtId="0" xfId="0" applyAlignment="1" applyFill="1" applyFont="1">
      <alignment horizontal="center" vertical="center"/>
    </xf>
    <xf borderId="0" fillId="16" fontId="6" numFmtId="0" xfId="0" applyFont="1"/>
    <xf borderId="0" fillId="16" fontId="14" numFmtId="0" xfId="0" applyAlignment="1" applyFont="1">
      <alignment horizontal="center" readingOrder="0" vertical="center"/>
    </xf>
    <xf borderId="0" fillId="16" fontId="17" numFmtId="0" xfId="0" applyAlignment="1" applyFont="1">
      <alignment horizontal="center" readingOrder="0" vertical="center"/>
    </xf>
    <xf borderId="0" fillId="16" fontId="9" numFmtId="0" xfId="0" applyFont="1"/>
    <xf borderId="0" fillId="16" fontId="14" numFmtId="0" xfId="0" applyAlignment="1" applyFont="1">
      <alignment horizontal="center" vertical="center"/>
    </xf>
    <xf borderId="0" fillId="16" fontId="6" numFmtId="0" xfId="0" applyAlignment="1" applyFont="1">
      <alignment horizontal="center" vertical="center"/>
    </xf>
    <xf borderId="5" fillId="12" fontId="6" numFmtId="0" xfId="0" applyAlignment="1" applyBorder="1" applyFont="1">
      <alignment horizontal="center" readingOrder="0"/>
    </xf>
    <xf borderId="5" fillId="17" fontId="6" numFmtId="0" xfId="0" applyAlignment="1" applyBorder="1" applyFill="1" applyFont="1">
      <alignment horizontal="center" readingOrder="0" vertical="center"/>
    </xf>
    <xf borderId="0" fillId="15" fontId="17" numFmtId="0" xfId="0" applyAlignment="1" applyFont="1">
      <alignment horizontal="center" readingOrder="0" vertical="center"/>
    </xf>
    <xf borderId="5" fillId="8" fontId="17" numFmtId="0" xfId="0" applyAlignment="1" applyBorder="1" applyFont="1">
      <alignment horizontal="center" readingOrder="0" vertical="center"/>
    </xf>
    <xf borderId="5" fillId="12" fontId="6" numFmtId="0" xfId="0" applyAlignment="1" applyBorder="1" applyFont="1">
      <alignment horizontal="center" readingOrder="0" vertical="center"/>
    </xf>
    <xf borderId="5" fillId="17" fontId="6" numFmtId="0" xfId="0" applyAlignment="1" applyBorder="1" applyFont="1">
      <alignment horizontal="center" readingOrder="0"/>
    </xf>
    <xf borderId="15" fillId="0" fontId="6" numFmtId="0" xfId="0" applyAlignment="1" applyBorder="1" applyFont="1">
      <alignment horizontal="center" readingOrder="0"/>
    </xf>
    <xf borderId="0" fillId="0" fontId="9" numFmtId="0" xfId="0" applyAlignment="1" applyFont="1">
      <alignment textRotation="0"/>
    </xf>
    <xf borderId="0" fillId="2" fontId="24" numFmtId="0" xfId="0" applyAlignment="1" applyFont="1">
      <alignment horizontal="center" readingOrder="0" vertical="center"/>
    </xf>
    <xf borderId="18" fillId="2" fontId="24" numFmtId="0" xfId="0" applyAlignment="1" applyBorder="1" applyFont="1">
      <alignment horizontal="center" readingOrder="0" vertical="center"/>
    </xf>
    <xf borderId="18" fillId="2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readingOrder="0" vertical="center"/>
    </xf>
    <xf borderId="0" fillId="2" fontId="5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8" fillId="0" fontId="9" numFmtId="9" xfId="0" applyAlignment="1" applyBorder="1" applyFont="1" applyNumberFormat="1">
      <alignment horizontal="center" readingOrder="0" vertical="center"/>
    </xf>
    <xf borderId="18" fillId="0" fontId="9" numFmtId="0" xfId="0" applyAlignment="1" applyBorder="1" applyFont="1">
      <alignment readingOrder="0" vertical="center"/>
    </xf>
    <xf borderId="18" fillId="0" fontId="9" numFmtId="0" xfId="0" applyAlignment="1" applyBorder="1" applyFont="1">
      <alignment readingOrder="0" vertical="center"/>
    </xf>
    <xf borderId="0" fillId="11" fontId="25" numFmtId="0" xfId="0" applyAlignment="1" applyFont="1">
      <alignment vertical="center"/>
    </xf>
    <xf borderId="0" fillId="2" fontId="9" numFmtId="0" xfId="0" applyAlignment="1" applyFont="1">
      <alignment vertical="center"/>
    </xf>
    <xf borderId="15" fillId="18" fontId="9" numFmtId="0" xfId="0" applyAlignment="1" applyBorder="1" applyFill="1" applyFont="1">
      <alignment horizontal="center" readingOrder="0" vertical="center"/>
    </xf>
    <xf borderId="6" fillId="18" fontId="9" numFmtId="0" xfId="0" applyAlignment="1" applyBorder="1" applyFont="1">
      <alignment horizontal="center" readingOrder="0" vertical="center"/>
    </xf>
    <xf borderId="5" fillId="18" fontId="9" numFmtId="0" xfId="0" applyAlignment="1" applyBorder="1" applyFont="1">
      <alignment readingOrder="0" vertical="center"/>
    </xf>
    <xf borderId="5" fillId="18" fontId="9" numFmtId="9" xfId="0" applyAlignment="1" applyBorder="1" applyFont="1" applyNumberFormat="1">
      <alignment horizontal="center" readingOrder="0" vertical="center"/>
    </xf>
    <xf borderId="0" fillId="2" fontId="26" numFmtId="9" xfId="0" applyAlignment="1" applyFont="1" applyNumberFormat="1">
      <alignment horizontal="center" vertical="center"/>
    </xf>
    <xf borderId="0" fillId="2" fontId="9" numFmtId="0" xfId="0" applyAlignment="1" applyFont="1">
      <alignment horizontal="center" vertical="center"/>
    </xf>
    <xf borderId="15" fillId="0" fontId="27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vertical="center"/>
    </xf>
    <xf borderId="5" fillId="0" fontId="9" numFmtId="9" xfId="0" applyAlignment="1" applyBorder="1" applyFont="1" applyNumberForma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0" fillId="11" fontId="25" numFmtId="0" xfId="0" applyAlignment="1" applyFont="1">
      <alignment readingOrder="0" vertical="center"/>
    </xf>
    <xf borderId="15" fillId="0" fontId="9" numFmtId="0" xfId="0" applyAlignment="1" applyBorder="1" applyFont="1">
      <alignment horizontal="center" readingOrder="0" vertical="center"/>
    </xf>
    <xf borderId="0" fillId="11" fontId="9" numFmtId="0" xfId="0" applyAlignment="1" applyFont="1">
      <alignment readingOrder="0" vertical="center"/>
    </xf>
    <xf borderId="18" fillId="11" fontId="9" numFmtId="9" xfId="0" applyAlignment="1" applyBorder="1" applyFont="1" applyNumberFormat="1">
      <alignment horizontal="center" readingOrder="0" vertical="center"/>
    </xf>
    <xf borderId="18" fillId="11" fontId="9" numFmtId="0" xfId="0" applyAlignment="1" applyBorder="1" applyFont="1">
      <alignment readingOrder="0" vertical="center"/>
    </xf>
    <xf borderId="18" fillId="11" fontId="9" numFmtId="0" xfId="0" applyAlignment="1" applyBorder="1" applyFont="1">
      <alignment readingOrder="0" vertical="center"/>
    </xf>
    <xf borderId="0" fillId="2" fontId="9" numFmtId="0" xfId="0" applyAlignment="1" applyFont="1">
      <alignment readingOrder="0" vertical="center"/>
    </xf>
    <xf borderId="15" fillId="11" fontId="9" numFmtId="0" xfId="0" applyAlignment="1" applyBorder="1" applyFont="1">
      <alignment horizontal="center" readingOrder="0" vertical="center"/>
    </xf>
    <xf borderId="5" fillId="11" fontId="9" numFmtId="0" xfId="0" applyAlignment="1" applyBorder="1" applyFont="1">
      <alignment readingOrder="0" vertical="center"/>
    </xf>
    <xf borderId="5" fillId="11" fontId="9" numFmtId="0" xfId="0" applyAlignment="1" applyBorder="1" applyFont="1">
      <alignment horizontal="center" readingOrder="0" vertical="center"/>
    </xf>
    <xf borderId="15" fillId="18" fontId="27" numFmtId="0" xfId="0" applyAlignment="1" applyBorder="1" applyFont="1">
      <alignment horizontal="center" readingOrder="0" vertical="center"/>
    </xf>
    <xf borderId="5" fillId="18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6" fillId="0" fontId="9" numFmtId="9" xfId="0" applyAlignment="1" applyBorder="1" applyFont="1" applyNumberFormat="1">
      <alignment horizontal="center" readingOrder="0" vertical="center"/>
    </xf>
    <xf borderId="17" fillId="2" fontId="9" numFmtId="0" xfId="0" applyAlignment="1" applyBorder="1" applyFont="1">
      <alignment horizontal="center" vertical="center"/>
    </xf>
    <xf borderId="19" fillId="18" fontId="27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15" fillId="18" fontId="9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readingOrder="0" vertical="center"/>
    </xf>
    <xf borderId="18" fillId="11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5" fillId="0" fontId="9" numFmtId="0" xfId="0" applyAlignment="1" applyBorder="1" applyFont="1">
      <alignment readingOrder="0" vertical="center"/>
    </xf>
    <xf borderId="18" fillId="11" fontId="26" numFmtId="0" xfId="0" applyAlignment="1" applyBorder="1" applyFont="1">
      <alignment readingOrder="0" vertical="center"/>
    </xf>
    <xf borderId="15" fillId="11" fontId="27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9" numFmtId="0" xfId="0" applyAlignment="1" applyBorder="1" applyFont="1">
      <alignment vertical="center"/>
    </xf>
    <xf borderId="18" fillId="0" fontId="9" numFmtId="0" xfId="0" applyAlignment="1" applyBorder="1" applyFont="1">
      <alignment vertical="center"/>
    </xf>
    <xf borderId="0" fillId="2" fontId="9" numFmtId="9" xfId="0" applyAlignment="1" applyFont="1" applyNumberFormat="1">
      <alignment horizontal="center" readingOrder="0" vertical="center"/>
    </xf>
    <xf borderId="15" fillId="8" fontId="27" numFmtId="0" xfId="0" applyAlignment="1" applyBorder="1" applyFont="1">
      <alignment horizontal="center" readingOrder="0" vertical="center"/>
    </xf>
    <xf borderId="5" fillId="8" fontId="9" numFmtId="0" xfId="0" applyAlignment="1" applyBorder="1" applyFont="1">
      <alignment horizontal="center" readingOrder="0" vertical="center"/>
    </xf>
    <xf borderId="5" fillId="8" fontId="9" numFmtId="0" xfId="0" applyAlignment="1" applyBorder="1" applyFont="1">
      <alignment readingOrder="0" vertical="center"/>
    </xf>
    <xf borderId="5" fillId="8" fontId="9" numFmtId="9" xfId="0" applyAlignment="1" applyBorder="1" applyFont="1" applyNumberFormat="1">
      <alignment horizontal="center" readingOrder="0" vertical="center"/>
    </xf>
    <xf borderId="6" fillId="0" fontId="27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2" fontId="28" numFmtId="10" xfId="0" applyFont="1" applyNumberFormat="1"/>
    <xf borderId="0" fillId="2" fontId="28" numFmtId="0" xfId="0" applyFont="1"/>
    <xf borderId="0" fillId="2" fontId="29" numFmtId="0" xfId="0" applyFont="1"/>
    <xf borderId="0" fillId="2" fontId="28" numFmtId="0" xfId="0" applyAlignment="1" applyFont="1">
      <alignment readingOrder="0"/>
    </xf>
    <xf borderId="0" fillId="2" fontId="28" numFmtId="3" xfId="0" applyFont="1" applyNumberFormat="1"/>
    <xf borderId="0" fillId="19" fontId="28" numFmtId="10" xfId="0" applyFill="1" applyFont="1" applyNumberFormat="1"/>
    <xf borderId="0" fillId="19" fontId="28" numFmtId="0" xfId="0" applyFont="1"/>
    <xf borderId="0" fillId="0" fontId="9" numFmtId="0" xfId="0" applyFont="1"/>
    <xf borderId="0" fillId="0" fontId="30" numFmtId="0" xfId="0" applyAlignment="1" applyFont="1">
      <alignment shrinkToFit="0" wrapText="0"/>
    </xf>
    <xf borderId="0" fillId="2" fontId="31" numFmtId="0" xfId="0" applyAlignment="1" applyFont="1">
      <alignment shrinkToFit="0" wrapText="0"/>
    </xf>
    <xf borderId="0" fillId="0" fontId="32" numFmtId="0" xfId="0" applyAlignment="1" applyFont="1">
      <alignment shrinkToFit="0" wrapText="0"/>
    </xf>
    <xf borderId="0" fillId="2" fontId="32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2" fontId="25" numFmtId="0" xfId="0" applyAlignment="1" applyFont="1">
      <alignment shrinkToFit="0" wrapText="0"/>
    </xf>
    <xf borderId="0" fillId="2" fontId="9" numFmtId="0" xfId="0" applyAlignment="1" applyFont="1">
      <alignment shrinkToFit="0" wrapText="0"/>
    </xf>
    <xf borderId="0" fillId="13" fontId="33" numFmtId="0" xfId="0" applyAlignment="1" applyFont="1">
      <alignment shrinkToFit="0" wrapText="0"/>
    </xf>
    <xf borderId="20" fillId="0" fontId="9" numFmtId="0" xfId="0" applyAlignment="1" applyBorder="1" applyFont="1">
      <alignment shrinkToFit="0" wrapText="0"/>
    </xf>
    <xf borderId="20" fillId="2" fontId="25" numFmtId="0" xfId="0" applyAlignment="1" applyBorder="1" applyFont="1">
      <alignment shrinkToFit="0" wrapText="0"/>
    </xf>
    <xf borderId="20" fillId="2" fontId="9" numFmtId="0" xfId="0" applyAlignment="1" applyBorder="1" applyFont="1">
      <alignment shrinkToFit="0" wrapText="0"/>
    </xf>
    <xf borderId="10" fillId="0" fontId="32" numFmtId="0" xfId="0" applyAlignment="1" applyBorder="1" applyFont="1">
      <alignment shrinkToFit="0" wrapText="0"/>
    </xf>
    <xf borderId="10" fillId="2" fontId="9" numFmtId="0" xfId="0" applyAlignment="1" applyBorder="1" applyFont="1">
      <alignment shrinkToFit="0" wrapText="0"/>
    </xf>
    <xf borderId="0" fillId="0" fontId="32" numFmtId="0" xfId="0" applyAlignment="1" applyFont="1">
      <alignment readingOrder="0" shrinkToFit="0" wrapText="0"/>
    </xf>
    <xf borderId="0" fillId="0" fontId="32" numFmtId="0" xfId="0" applyFont="1"/>
    <xf borderId="0" fillId="0" fontId="9" numFmtId="0" xfId="0" applyAlignment="1" applyFont="1">
      <alignment readingOrder="0"/>
    </xf>
    <xf borderId="0" fillId="0" fontId="6" numFmtId="0" xfId="0" applyAlignment="1" applyFont="1">
      <alignment shrinkToFit="0" wrapText="0"/>
    </xf>
    <xf borderId="0" fillId="2" fontId="6" numFmtId="0" xfId="0" applyAlignment="1" applyFont="1">
      <alignment shrinkToFit="0" wrapText="0"/>
    </xf>
    <xf borderId="0" fillId="11" fontId="6" numFmtId="0" xfId="0" applyAlignment="1" applyFont="1">
      <alignment shrinkToFit="0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434343"/>
      </font>
      <fill>
        <patternFill patternType="solid">
          <fgColor rgb="FFEA9999"/>
          <bgColor rgb="FFEA9999"/>
        </patternFill>
      </fill>
      <border/>
    </dxf>
    <dxf>
      <font>
        <color rgb="FF434343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173207036535858"/>
          <c:y val="0.11194029850746269"/>
          <c:w val="0.8418237933585611"/>
          <c:h val="0.8380597014925372"/>
        </c:manualLayout>
      </c:layout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1'!$G$20:$L$20</c:f>
              <c:numCache/>
            </c:numRef>
          </c:val>
        </c:ser>
        <c:axId val="903938776"/>
        <c:axId val="2045959035"/>
      </c:radarChart>
      <c:catAx>
        <c:axId val="903938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2045959035"/>
      </c:catAx>
      <c:valAx>
        <c:axId val="2045959035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903938776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layout>
        <c:manualLayout>
          <c:xMode val="edge"/>
          <c:yMode val="edge"/>
          <c:x val="0.912390405293631"/>
          <c:y val="0.048664886515353806"/>
        </c:manualLayout>
      </c:layout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0968622100954964"/>
          <c:y val="0.09361233480176212"/>
          <c:w val="0.8299590723055933"/>
          <c:h val="0.856387665198238"/>
        </c:manualLayout>
      </c:layout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2'!$G$20:$L$20</c:f>
              <c:numCache/>
            </c:numRef>
          </c:val>
        </c:ser>
        <c:axId val="426467265"/>
        <c:axId val="614263670"/>
      </c:radarChart>
      <c:catAx>
        <c:axId val="426467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614263670"/>
      </c:catAx>
      <c:valAx>
        <c:axId val="614263670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426467265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092926490984745"/>
          <c:y val="0.10874439461883408"/>
          <c:w val="0.8289042995839113"/>
          <c:h val="0.8412556053811658"/>
        </c:manualLayout>
      </c:layout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3'!$G$20:$L$20</c:f>
              <c:numCache/>
            </c:numRef>
          </c:val>
        </c:ser>
        <c:axId val="1292751290"/>
        <c:axId val="971141621"/>
      </c:radarChart>
      <c:catAx>
        <c:axId val="1292751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971141621"/>
      </c:catAx>
      <c:valAx>
        <c:axId val="971141621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1292751290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10135135135135"/>
          <c:y val="0.11220043572984749"/>
          <c:w val="0.8304864864864864"/>
          <c:h val="0.8377995642701526"/>
        </c:manualLayout>
      </c:layout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4'!$G$20:$L$20</c:f>
              <c:numCache/>
            </c:numRef>
          </c:val>
        </c:ser>
        <c:axId val="1340538057"/>
        <c:axId val="933196619"/>
      </c:radarChart>
      <c:catAx>
        <c:axId val="1340538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933196619"/>
      </c:catAx>
      <c:valAx>
        <c:axId val="933196619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1340538057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1057563587684054"/>
          <c:y val="0.12392241379310345"/>
          <c:w val="0.8310040160642567"/>
          <c:h val="0.8260775862068965"/>
        </c:manualLayout>
      </c:layout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5'!$G$20:$L$20</c:f>
              <c:numCache/>
            </c:numRef>
          </c:val>
        </c:ser>
        <c:axId val="779307999"/>
        <c:axId val="1065264544"/>
      </c:radarChart>
      <c:catAx>
        <c:axId val="77930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1065264544"/>
      </c:catAx>
      <c:valAx>
        <c:axId val="1065264544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779307999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v>Time 1</c:v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1'!$G$20:$L$20</c:f>
              <c:numCache/>
            </c:numRef>
          </c:val>
        </c:ser>
        <c:ser>
          <c:idx val="1"/>
          <c:order val="1"/>
          <c:tx>
            <c:v>Time 2</c:v>
          </c:tx>
          <c:spPr>
            <a:ln cmpd="sng" w="190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2'!$G$20:$L$20</c:f>
              <c:numCache/>
            </c:numRef>
          </c:val>
        </c:ser>
        <c:ser>
          <c:idx val="2"/>
          <c:order val="2"/>
          <c:tx>
            <c:v>Time 3</c:v>
          </c:tx>
          <c:spPr>
            <a:ln cmpd="sng" w="1905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3'!$G$20:$L$20</c:f>
              <c:numCache/>
            </c:numRef>
          </c:val>
        </c:ser>
        <c:ser>
          <c:idx val="3"/>
          <c:order val="3"/>
          <c:tx>
            <c:v>Time 4</c:v>
          </c:tx>
          <c:spPr>
            <a:ln cmpd="sng" w="1905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4'!$G$20:$L$20</c:f>
              <c:numCache/>
            </c:numRef>
          </c:val>
        </c:ser>
        <c:ser>
          <c:idx val="4"/>
          <c:order val="4"/>
          <c:tx>
            <c:v>Time 5</c:v>
          </c:tx>
          <c:spPr>
            <a:ln cmpd="sng" w="19050">
              <a:solidFill>
                <a:srgbClr val="FF00F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'Time 1'!$G$19:$L$19</c:f>
            </c:strRef>
          </c:cat>
          <c:val>
            <c:numRef>
              <c:f>'Time 5'!$G$20:$L$20</c:f>
              <c:numCache/>
            </c:numRef>
          </c:val>
        </c:ser>
        <c:axId val="97893139"/>
        <c:axId val="657814656"/>
      </c:radarChart>
      <c:catAx>
        <c:axId val="97893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Courier New"/>
                  </a:defRPr>
                </a:pPr>
                <a:r>
                  <a:rPr b="0">
                    <a:solidFill>
                      <a:srgbClr val="FFFFF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657814656"/>
      </c:catAx>
      <c:valAx>
        <c:axId val="657814656"/>
        <c:scaling>
          <c:orientation val="minMax"/>
          <c:max val="3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EFEFEF"/>
                    </a:solidFill>
                    <a:latin typeface="Courier New"/>
                  </a:defRPr>
                </a:pPr>
                <a:r>
                  <a:rPr b="0">
                    <a:solidFill>
                      <a:srgbClr val="EFEFEF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97893139"/>
      </c:valAx>
    </c:plotArea>
    <c:legend>
      <c:legendPos val="r"/>
      <c:legendEntry>
        <c:idx val="0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 sz="1000">
                <a:solidFill>
                  <a:srgbClr val="000000"/>
                </a:solidFill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1" sz="1000"/>
            </a:pPr>
          </a:p>
        </c:txPr>
      </c:legendEntry>
      <c:legendEntry>
        <c:idx val="4"/>
        <c:txPr>
          <a:bodyPr/>
          <a:lstStyle/>
          <a:p>
            <a:pPr lvl="0">
              <a:defRPr b="1" sz="1000"/>
            </a:pPr>
          </a:p>
        </c:txPr>
      </c:legendEntry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png"/><Relationship Id="rId22" Type="http://schemas.openxmlformats.org/officeDocument/2006/relationships/image" Target="../media/image14.png"/><Relationship Id="rId21" Type="http://schemas.openxmlformats.org/officeDocument/2006/relationships/image" Target="../media/image11.png"/><Relationship Id="rId24" Type="http://schemas.openxmlformats.org/officeDocument/2006/relationships/image" Target="../media/image10.png"/><Relationship Id="rId23" Type="http://schemas.openxmlformats.org/officeDocument/2006/relationships/image" Target="../media/image8.png"/><Relationship Id="rId1" Type="http://schemas.openxmlformats.org/officeDocument/2006/relationships/image" Target="../media/image3.png"/><Relationship Id="rId2" Type="http://schemas.openxmlformats.org/officeDocument/2006/relationships/image" Target="../media/image20.png"/><Relationship Id="rId3" Type="http://schemas.openxmlformats.org/officeDocument/2006/relationships/image" Target="../media/image9.png"/><Relationship Id="rId4" Type="http://schemas.openxmlformats.org/officeDocument/2006/relationships/image" Target="../media/image17.png"/><Relationship Id="rId9" Type="http://schemas.openxmlformats.org/officeDocument/2006/relationships/image" Target="../media/image13.png"/><Relationship Id="rId26" Type="http://schemas.openxmlformats.org/officeDocument/2006/relationships/image" Target="../media/image25.png"/><Relationship Id="rId25" Type="http://schemas.openxmlformats.org/officeDocument/2006/relationships/image" Target="../media/image21.png"/><Relationship Id="rId28" Type="http://schemas.openxmlformats.org/officeDocument/2006/relationships/image" Target="../media/image27.png"/><Relationship Id="rId27" Type="http://schemas.openxmlformats.org/officeDocument/2006/relationships/image" Target="../media/image28.png"/><Relationship Id="rId5" Type="http://schemas.openxmlformats.org/officeDocument/2006/relationships/image" Target="../media/image16.png"/><Relationship Id="rId6" Type="http://schemas.openxmlformats.org/officeDocument/2006/relationships/image" Target="../media/image1.png"/><Relationship Id="rId7" Type="http://schemas.openxmlformats.org/officeDocument/2006/relationships/image" Target="../media/image15.png"/><Relationship Id="rId8" Type="http://schemas.openxmlformats.org/officeDocument/2006/relationships/image" Target="../media/image7.png"/><Relationship Id="rId11" Type="http://schemas.openxmlformats.org/officeDocument/2006/relationships/image" Target="../media/image4.png"/><Relationship Id="rId10" Type="http://schemas.openxmlformats.org/officeDocument/2006/relationships/image" Target="../media/image18.png"/><Relationship Id="rId13" Type="http://schemas.openxmlformats.org/officeDocument/2006/relationships/image" Target="../media/image24.png"/><Relationship Id="rId12" Type="http://schemas.openxmlformats.org/officeDocument/2006/relationships/image" Target="../media/image23.png"/><Relationship Id="rId15" Type="http://schemas.openxmlformats.org/officeDocument/2006/relationships/image" Target="../media/image26.png"/><Relationship Id="rId14" Type="http://schemas.openxmlformats.org/officeDocument/2006/relationships/image" Target="../media/image22.png"/><Relationship Id="rId17" Type="http://schemas.openxmlformats.org/officeDocument/2006/relationships/image" Target="../media/image19.png"/><Relationship Id="rId16" Type="http://schemas.openxmlformats.org/officeDocument/2006/relationships/image" Target="../media/image2.png"/><Relationship Id="rId19" Type="http://schemas.openxmlformats.org/officeDocument/2006/relationships/image" Target="../media/image5.png"/><Relationship Id="rId18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57175" cy="2000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57175" cy="200025"/>
    <xdr:pic>
      <xdr:nvPicPr>
        <xdr:cNvPr id="0" name="image2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266700" cy="2000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95275" cy="200025"/>
    <xdr:pic>
      <xdr:nvPicPr>
        <xdr:cNvPr id="0" name="image1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219075" cy="200025"/>
    <xdr:pic>
      <xdr:nvPicPr>
        <xdr:cNvPr id="0" name="image16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38125" cy="200025"/>
    <xdr:pic>
      <xdr:nvPicPr>
        <xdr:cNvPr id="0" name="image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38125" cy="200025"/>
    <xdr:pic>
      <xdr:nvPicPr>
        <xdr:cNvPr id="0" name="image1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28600" cy="200025"/>
    <xdr:pic>
      <xdr:nvPicPr>
        <xdr:cNvPr id="0" name="image7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219075" cy="200025"/>
    <xdr:pic>
      <xdr:nvPicPr>
        <xdr:cNvPr id="0" name="image13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38125" cy="200025"/>
    <xdr:pic>
      <xdr:nvPicPr>
        <xdr:cNvPr id="0" name="image18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19075" cy="200025"/>
    <xdr:pic>
      <xdr:nvPicPr>
        <xdr:cNvPr id="0" name="image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238125" cy="200025"/>
    <xdr:pic>
      <xdr:nvPicPr>
        <xdr:cNvPr id="0" name="image23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257175" cy="200025"/>
    <xdr:pic>
      <xdr:nvPicPr>
        <xdr:cNvPr id="0" name="image24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19075" cy="200025"/>
    <xdr:pic>
      <xdr:nvPicPr>
        <xdr:cNvPr id="0" name="image22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76225" cy="200025"/>
    <xdr:pic>
      <xdr:nvPicPr>
        <xdr:cNvPr id="0" name="image26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38125" cy="200025"/>
    <xdr:pic>
      <xdr:nvPicPr>
        <xdr:cNvPr id="0" name="image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57175" cy="200025"/>
    <xdr:pic>
      <xdr:nvPicPr>
        <xdr:cNvPr id="0" name="image1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228600" cy="200025"/>
    <xdr:pic>
      <xdr:nvPicPr>
        <xdr:cNvPr id="0" name="image6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247650" cy="200025"/>
    <xdr:pic>
      <xdr:nvPicPr>
        <xdr:cNvPr id="0" name="image5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228600" cy="200025"/>
    <xdr:pic>
      <xdr:nvPicPr>
        <xdr:cNvPr id="0" name="image12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38125" cy="200025"/>
    <xdr:pic>
      <xdr:nvPicPr>
        <xdr:cNvPr id="0" name="image11.png" title="Imagem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238125" cy="200025"/>
    <xdr:pic>
      <xdr:nvPicPr>
        <xdr:cNvPr id="0" name="image14.png" title="Imagem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247650" cy="200025"/>
    <xdr:pic>
      <xdr:nvPicPr>
        <xdr:cNvPr id="0" name="image8.png" title="Imagem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200025" cy="200025"/>
    <xdr:pic>
      <xdr:nvPicPr>
        <xdr:cNvPr id="0" name="image10.png" title="Imagem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219075" cy="200025"/>
    <xdr:pic>
      <xdr:nvPicPr>
        <xdr:cNvPr id="0" name="image21.png" title="Imagem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47650" cy="200025"/>
    <xdr:pic>
      <xdr:nvPicPr>
        <xdr:cNvPr id="0" name="image25.png" title="Imagem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257175" cy="200025"/>
    <xdr:pic>
      <xdr:nvPicPr>
        <xdr:cNvPr id="0" name="image28.png" title="Imagem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209550" cy="200025"/>
    <xdr:pic>
      <xdr:nvPicPr>
        <xdr:cNvPr id="0" name="image27.png" title="Imagem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1171575</xdr:colOff>
      <xdr:row>19</xdr:row>
      <xdr:rowOff>190500</xdr:rowOff>
    </xdr:from>
    <xdr:ext cx="7867650" cy="4600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1171575</xdr:colOff>
      <xdr:row>19</xdr:row>
      <xdr:rowOff>190500</xdr:rowOff>
    </xdr:from>
    <xdr:ext cx="7867650" cy="4429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1171575</xdr:colOff>
      <xdr:row>19</xdr:row>
      <xdr:rowOff>190500</xdr:rowOff>
    </xdr:from>
    <xdr:ext cx="7867650" cy="4400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1171575</xdr:colOff>
      <xdr:row>19</xdr:row>
      <xdr:rowOff>190500</xdr:rowOff>
    </xdr:from>
    <xdr:ext cx="7867650" cy="44196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1181100</xdr:colOff>
      <xdr:row>19</xdr:row>
      <xdr:rowOff>190500</xdr:rowOff>
    </xdr:from>
    <xdr:ext cx="7858125" cy="45910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1515725" cy="71342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G500" sheet="Armas"/>
  </cacheSource>
  <cacheFields>
    <cacheField name="Anel estrelado" numFmtId="0">
      <sharedItems containsBlank="1">
        <s v="Interesseiro"/>
        <s v="Anel ferradura"/>
        <s v="Perseguindo a lua"/>
        <s v="Anel do Cruzado"/>
        <s v="Dragão sinete"/>
        <s v="Anel de reza"/>
        <s v="Marca Divina"/>
        <s v="Anel real"/>
        <s v="Oráculo"/>
        <s v="Anel Místico"/>
        <s v="Anel Grotesco"/>
        <s v="Anel Azulado"/>
        <s v="Anel de casamento"/>
        <s v="Círculo de antimagia"/>
        <s v="Anel de Midas"/>
        <s v="Anel do Conhecimento"/>
        <s v="Poedor do Sol"/>
        <s v="Olho de falcão"/>
        <s v="Autocarregador"/>
        <s v="Olho de águia"/>
        <s v="Evelyn"/>
        <s v="Olho de dragão"/>
        <s v="Besta de adamantium"/>
        <s v="Besta de repetição"/>
        <s v="Arco dos elfos"/>
        <s v="Arco do deus do sol"/>
        <s v="Fura-Vento"/>
        <s v="Assassino licantropo"/>
        <s v="Arco de Artemisa"/>
        <s v="Meteoros"/>
        <s v="Fúria da Natureza"/>
        <s v="Armadura Lunar"/>
        <s v="Armadura Nobre"/>
        <s v="Correio de Honra"/>
        <s v="Armadura do Caos"/>
        <s v="Malha Eldritch"/>
        <s v="Fortaleza de Gaia"/>
        <s v="Armadura Dragônica"/>
        <s v="Malha da Terra"/>
        <s v="Armadura do Oráculo"/>
        <s v="Malha negra"/>
        <s v="Wyvern Plate"/>
        <s v="Botas da Lua"/>
        <s v="Botas do leão"/>
        <s v="Botas do Aventureiro"/>
        <s v="Grevas da chama"/>
        <s v="Calçados mágicos"/>
        <s v="Pisa-em-crânios"/>
        <s v="Grevas Dracônicas"/>
        <s v="Os Aflitos da Guerra de Kratos"/>
        <s v="Grevas de obsidiana"/>
        <s v="Pés do titã"/>
        <s v="Botas selvagens"/>
        <s v="Starfrost Skates"/>
        <s v="Proto-skate"/>
        <s v="Cajado do bispo"/>
        <s v="Begala do faraó"/>
        <s v="Cetro Lunar"/>
        <s v="Líquido apanhador de inseto"/>
        <s v="Cetro Sagrado"/>
        <s v="Varinha Estelar"/>
        <s v="Varinha Imperial"/>
        <s v="Rei-Sol"/>
        <s v="Montagem das fadas"/>
        <s v="Guardião das almas"/>
        <s v="Varinha estilhaçada"/>
        <s v="Cajado necormante"/>
        <s v="Luna"/>
        <s v="Cetro da Pixie"/>
        <s v="Capuz de Robin"/>
        <s v="Coroa Dourada"/>
        <s v="Coifa Sábia "/>
        <s v="Tiara Rúnica"/>
        <s v="Coroa do trovão"/>
        <s v="Acessório cobra"/>
        <s v="Face demoníaca"/>
        <s v="Diadema Condenado"/>
        <s v="Medley Floral"/>
        <s v="Capuz do cultista"/>
        <s v="Chapéu Ártico"/>
        <s v="Tiara real"/>
        <s v="Coroa do subterrâneo"/>
        <s v="Chapéu Carangueijo"/>
        <s v="Capô de Guerra"/>
        <s v="Coifa da Lua"/>
        <s v="Elmo do Paladino"/>
        <s v="Elmo Congelado"/>
        <s v="Elmo do Aventureiro"/>
        <s v="Elmo da Fênix"/>
        <s v="Elmo de Guerra de Lu Bu"/>
        <s v="Elmo de Escamas de Dragão"/>
        <s v="Coroa de Korra"/>
        <s v="Elmo de Adamantium"/>
        <s v="Barbuta de Fogo-Gelo"/>
        <s v="Inteligência Artifical"/>
        <s v="Elmo de Jade"/>
        <s v="Viper Headdress"/>
        <s v="Coroa Serrilhada"/>
        <s v="Pó Colorido"/>
        <s v="Semente Rápida"/>
        <s v="Chá Revitalizador "/>
        <s v="Semente forte"/>
        <s v="Panaceia"/>
        <s v="Lucky Clover"/>
        <s v="Semente mágica"/>
        <s v="Feijões Mágicos "/>
        <s v="Pó de demônio"/>
        <s v="Chá dragônico"/>
        <s v="Seed of Power"/>
        <s v="Sacred Mooncake"/>
        <s v="Protetor"/>
        <s v="Contra Fogo"/>
        <s v="Scarab Shield"/>
        <s v="Égide "/>
        <s v="Escudo Estrelado"/>
        <s v="Escudo de cristal"/>
        <s v="Crânio de Dragão"/>
        <s v="Escudo gigante"/>
        <s v="Escudo do Aventureiro"/>
        <s v="Shark Bite"/>
        <s v="Buckler de Atena"/>
        <s v="Broquel da Medusa"/>
        <s v="Escudo do oráculo"/>
        <s v="Mãe Natureza"/>
        <s v="Escudo Meia Lua"/>
        <s v="Celtic Shield"/>
        <s v="Painel Refrator"/>
        <s v="Lâmina de fogo"/>
        <s v="Espada Vorpal"/>
        <s v="Aço frio"/>
        <s v="Espada de Relíquia"/>
        <s v="Marca Abissal"/>
        <s v="Tempestuosa"/>
        <s v="Balmung"/>
        <s v="Mata-Dragão"/>
        <s v="Lâmina do Fogo-gelo"/>
        <s v="Durindana"/>
        <s v="Cyberblade da Internet"/>
        <s v="Skofnung"/>
        <s v="Olhar Sinistro"/>
        <s v="Adaga Branca"/>
        <s v="Coração Rubro"/>
        <s v="Katar Fantasma"/>
        <s v="Sweet Surprise"/>
        <s v="Traidora"/>
        <s v="Sete Estrelas"/>
        <s v="Presa de Dragão"/>
        <s v="Punhal Indiano"/>
        <s v="Adaga de Obsidiana"/>
        <s v="Canivete Afótico"/>
        <s v="Adaga Primordial"/>
        <s v="Mistilteinn"/>
        <s v="Flauta de Ferro"/>
        <s v="Harpa Congelada"/>
        <s v="Flauta Ygg"/>
        <s v="Chifre de Serpente "/>
        <s v="Gu Zheng"/>
        <s v="Batimento Dracônico "/>
        <s v="Cordas angelicais"/>
        <s v="Ceremonial Er-hu"/>
        <s v="Harpa do Fogo Gelo"/>
        <s v="Flauta de gaia "/>
        <s v="Flauta Convocadora"/>
        <s v="Ponta Perseguidora"/>
        <s v="Ponta de Veneno"/>
        <s v="Lança Pesca"/>
        <s v="Garfo de prata"/>
        <s v="Voulgue da Lua"/>
        <s v="Espeto da Noite"/>
        <s v="Raio Divino"/>
        <s v="Pique Fangtiano"/>
        <s v="Alabarda de Obsidiana"/>
        <s v="Tridente Primordial"/>
        <s v="Gungnir"/>
        <s v="Perfurador Abrasador"/>
        <s v="Rebelião"/>
        <s v="Scorpion Tail"/>
        <s v="Mãos Venenosas"/>
        <s v="Guardian Protector"/>
        <s v="Luvas do Grão Mestre"/>
        <s v="Luvas das Sombras"/>
        <s v="Braceletes gélidos"/>
        <s v="Luvas do espreitador"/>
        <s v="Celtic Bracer"/>
        <s v="Garra da morte"/>
        <s v="Luvas de MIdas"/>
        <s v="Luva de fogo gelo"/>
        <s v="Starry Gloves"/>
        <s v="Luvas do Arcanjo"/>
        <s v="Luvas do subterrâneo"/>
        <s v="Mummy Hands"/>
        <s v="Toque de Fluffle"/>
        <s v="Tiamat"/>
        <s v="Machado de Berserker"/>
        <s v="Presa Afiada"/>
        <s v="Faz Viúva"/>
        <s v="Ira infernal"/>
        <s v="Lâmina do Ragnarok"/>
        <s v="Machado Irado"/>
        <s v="Machado da Sombra"/>
        <s v="Labrys de Hefesto"/>
        <s v="Forseti's Axe"/>
        <s v="Manoplas Lunares"/>
        <s v="Gancho mão de metal"/>
        <s v="Garra Gelada"/>
        <s v="Manoplas do Rei"/>
        <s v="Chocantes "/>
        <s v="Manopla de escamas de Dragão"/>
        <s v="Punhos de Adamantium"/>
        <s v="Manoplas do Berserker"/>
        <s v="Luvas Cibernéticas"/>
        <s v="Esmagadores Vulcânicos"/>
        <s v="Gauntlet do Chieftain"/>
        <s v="Runic Gauntlets"/>
        <s v="Punhos de Zeus"/>
        <s v="Estrela D'alva"/>
        <s v="Tronco de árvore"/>
        <s v="Martelo-Punho"/>
        <s v="Cetro Real"/>
        <s v="Martelo Relíquia"/>
        <s v="Apocalipto"/>
        <s v="Estrela Noturna"/>
        <s v="Cem-Toneladas"/>
        <s v="Esmagador"/>
        <s v="Amaciador"/>
        <s v="Rainmakers"/>
        <s v="Shattering Core"/>
        <s v="Pharaoh Flail"/>
        <s v="Totem da Dor"/>
        <s v="A arte da guerra"/>
        <s v="Ordem Imperial"/>
        <s v="Celtic Slate"/>
        <s v="Codéx Mágico"/>
        <s v="Selo do Mal"/>
        <s v="Selo de Tigre"/>
        <s v="Compêndio Arcano"/>
        <s v="Pergaminho de Retorno"/>
        <s v="Tomo Divino"/>
        <s v="Pergaminho Assombrado"/>
        <s v="Guardian Seal"/>
        <s v="Pergaminho de sangue"/>
        <s v="Feitiço do Vento "/>
        <s v="Símbolo do Exorcismo"/>
        <s v="Proteção defensora"/>
        <s v="Amuleto Ankh"/>
        <s v="Coração de Lich"/>
        <s v="Amuleto dracônico"/>
        <s v="Lágrima da Deusa"/>
        <s v="Coração do Sol"/>
        <s v="Herança de Azbandar"/>
        <s v="Herança de Família"/>
        <s v="Talismã do fogo-gelo"/>
        <s v="Coração de Gaia"/>
        <s v="Amuleto primordial"/>
        <s v="Ominous Charm"/>
        <s v="Rifle"/>
        <s v="Espingarda Negra"/>
        <s v="Conquistador"/>
        <s v="A Respiração de Dragão"/>
        <s v="Arcabuz de relíquia"/>
        <s v="Julgamento"/>
        <s v="Lança Bombas"/>
        <s v="Guerra Nórdica"/>
        <s v="Pilgrim Blunderbus"/>
        <s v="Pistola de Pirata"/>
        <s v="Arma Grandona"/>
        <s v="Lança Estacas"/>
        <s v="Disparo do Demônio"/>
        <s v="Dragon Fire"/>
        <s v="Arma Pirata"/>
        <s v="Gotas de Elíxir"/>
        <s v="Cálice"/>
        <s v="Sangue de Demônio"/>
        <s v="Elven Sunblock"/>
        <s v="Elixir "/>
        <s v="Sangue de Dragão "/>
        <s v="Megalixir "/>
        <s v="Elixir of Immortality"/>
        <s v="Essência de Deus"/>
        <s v="Poção de Obsidiana"/>
        <s v="Pirate's Brew"/>
        <s v="Poção Fogo de Dragão"/>
        <s v="Gaia's Essence"/>
        <s v="Unholy Potion"/>
        <s v="Agulhas Envenenadas"/>
        <s v="Bomba Tóxica"/>
        <s v="Shuriken Mágico"/>
        <s v="Milho Arco-íris"/>
        <s v="Chakran Cantante"/>
        <s v="Dardos Explosivos"/>
        <s v="Fura-Coração"/>
        <s v="Estrondo de trovão"/>
        <s v="Kunai de fogo-gelo"/>
        <s v="Eggsplosives"/>
        <s v="Bomba do Inferno"/>
        <s v="Flying Guillotine"/>
        <s v="Quicksilver"/>
        <s v="Bota dos Elfos"/>
        <s v="Calçado Lunar "/>
        <s v="Meh-ticulosamente Feito"/>
        <s v="Sandálias de Asas "/>
        <s v="Encontra-Caminho"/>
        <s v="Botas piratas"/>
        <s v="Anda-em-planos"/>
        <s v="Botas dracônicas"/>
        <s v="Sapatos do fogo-gelo"/>
        <s v="Marcha ardente"/>
        <s v="Ice Walkers"/>
        <s v="Swimming Fins"/>
        <s v="Rodas Celestiais de Fogo"/>
        <s v="Capa do Gelo"/>
        <s v="Toga do Mago"/>
        <s v="Poseidon's Toga"/>
        <s v="Traje de Tempestade"/>
        <s v="Toga do Bruxo "/>
        <s v="Life Vest"/>
        <s v="Toga Plásmica"/>
        <s v="Toga do Arquimago"/>
        <s v="Veste do Dragão "/>
        <s v="Dublê de Mago"/>
        <s v="Holy Tunic"/>
        <s v="Toga da Alvorada"/>
        <s v="Celtic Coat"/>
        <s v="Guaxinim Guardião"/>
        <s v="Veste Revestida"/>
        <s v="Couro com óleo"/>
        <s v="Pele de Serpente"/>
        <s v="Platemail de Aquiles"/>
        <s v="Revestimento de Couro Pirata"/>
        <s v="Shadow Lurker"/>
        <s v="Pele de Dragão"/>
        <s v="Vampire Hunter"/>
        <s v="Couro do Oceano"/>
        <s v="Colete Místico"/>
        <s v="Esmeralda Marcha"/>
        <s v="Corvo Negro"/>
        <s v="Couraça Real"/>
        <s v="Invincible Scales"/>
        <m/>
      </sharedItems>
    </cacheField>
    <cacheField name="Anel" numFmtId="0">
      <sharedItems containsBlank="1">
        <s v="Anel"/>
        <s v="Arco"/>
        <s v="Armadura"/>
        <s v="Botas"/>
        <s v="Cajado"/>
        <s v="Chapéu"/>
        <s v="Elmo"/>
        <s v="Erva"/>
        <s v="Escudo"/>
        <s v="Espada"/>
        <s v="Faca"/>
        <s v="Instrumento"/>
        <s v="Lança"/>
        <s v="Luvas"/>
        <s v="Machado"/>
        <s v="Manopla"/>
        <s v="Martelo"/>
        <s v="Pergaminho"/>
        <s v="Pingente"/>
        <s v="Pistola"/>
        <s v="Poção"/>
        <s v="Projétil"/>
        <s v="Sapatos"/>
        <s v="Túnica"/>
        <s v="Veste"/>
        <m/>
      </sharedItems>
    </cacheField>
    <cacheField name="8" numFmtId="0">
      <sharedItems containsString="0" containsBlank="1" containsNumber="1" containsInteger="1">
        <n v="12.0"/>
        <n v="20.0"/>
        <n v="22.0"/>
        <n v="25.0"/>
        <n v="26.0"/>
        <n v="27.0"/>
        <n v="34.0"/>
        <n v="36.0"/>
        <n v="39.0"/>
        <n v="40.0"/>
        <n v="43.0"/>
        <n v="45.0"/>
        <n v="46.0"/>
        <n v="50.0"/>
        <n v="53.0"/>
        <n v="58.0"/>
        <n v="6.0"/>
        <n v="8.0"/>
        <n v="18.0"/>
        <n v="21.0"/>
        <n v="35.0"/>
        <n v="37.0"/>
        <n v="42.0"/>
        <n v="48.0"/>
        <n v="54.0"/>
        <n v="55.0"/>
        <n v="56.0"/>
        <n v="10.0"/>
        <n v="24.0"/>
        <n v="38.0"/>
        <n v="49.0"/>
        <n v="9.0"/>
        <n v="30.0"/>
        <n v="41.0"/>
        <n v="47.0"/>
        <n v="52.0"/>
        <n v="16.0"/>
        <n v="17.0"/>
        <n v="28.0"/>
        <n v="19.0"/>
        <n v="23.0"/>
        <n v="32.0"/>
        <n v="60.0"/>
        <n v="51.0"/>
        <n v="15.0"/>
        <n v="31.0"/>
        <n v="44.0"/>
        <n v="57.0"/>
        <n v="13.0"/>
        <n v="29.0"/>
        <n v="33.0"/>
        <n v="11.0"/>
        <m/>
      </sharedItems>
    </cacheField>
    <cacheField name="Cone-gélido" numFmtId="0">
      <sharedItems containsBlank="1">
        <s v="Ganancioso 1"/>
        <s v="Líder 1"/>
        <s v="Caça-tesouros 1"/>
        <s v="Companheiro de Guerra 1"/>
        <s v="Resistente 2"/>
        <s v="Reviver 1"/>
        <s v="Amazona 1"/>
        <s v="Curandeiro 2"/>
        <s v="Detectar segredo"/>
        <s v="Revide"/>
        <s v="Protetor 2"/>
        <s v="Armadura do Mago"/>
        <s v="Ganancioso 3"/>
        <s v="Encontrar mágica"/>
        <s v="Velocista 1"/>
        <s v="Energético 1"/>
        <s v="Sortudo 1"/>
        <s v="Cuidadoso 1"/>
        <s v="Fornecedor 1"/>
        <s v="Suporte 1"/>
        <s v="Berserker"/>
        <s v="Sábio 1"/>
        <s v="Gangster 2"/>
        <s v="Engenhoso 2"/>
        <s v="Caça-tesouros 3"/>
        <s v="Energético 3"/>
        <s v="Reviver 2"/>
        <s v="Resistente 1"/>
        <s v="Comandante 1"/>
        <s v="Protetor 1"/>
        <s v="Pele de pedra"/>
        <s v="Suporte 3"/>
        <s v="Bola de fogo"/>
        <s v="Arquimago 1"/>
        <s v="Esmagar"/>
        <s v="Comandante 2"/>
        <s v="Velocista 3"/>
        <s v="Curandeiro 1"/>
        <s v="Caça-tesouros 2"/>
        <s v="Arquimago 2"/>
        <s v="Reviver 3"/>
        <s v="Raio elétrico"/>
        <s v="Cuidadoso 2"/>
        <s v="Sábio 2"/>
        <s v="Passo das Sombras"/>
        <s v="Sortudo 3"/>
        <s v="Suporte 2"/>
        <s v="Cone-gélido"/>
        <s v="Líder 3"/>
        <s v="Energético 2"/>
        <s v="Gangster 1"/>
        <s v="Companheiro de Guerra 2"/>
        <s v="Comandante 3"/>
        <s v="Aura de proteção"/>
        <s v="Engenhoso 3"/>
        <s v="Curandeiro 3"/>
        <s v="Ganancioso 2"/>
        <s v="Defesa"/>
        <s v="Cortar"/>
        <s v="Emboscada"/>
        <s v="Catador 1"/>
        <s v="Catador 3"/>
        <s v="Velocista 2"/>
        <s v="Amazona 2"/>
        <s v="Protetor 3"/>
        <s v="Sábio 3"/>
        <s v="Engenhoso 1"/>
        <s v="Catador 2"/>
        <s v="Sortudo 2"/>
        <s v="Gangster 3"/>
        <s v="Fornecedor 2"/>
        <s v="Fornecedor 3"/>
        <s v="Mestre das armas"/>
        <s v="Arquimago 3"/>
        <m/>
      </sharedItems>
    </cacheField>
    <cacheField name="Épico" numFmtId="0">
      <sharedItems containsBlank="1">
        <s v="Impecável"/>
        <s v="Épico"/>
        <s v="Lendário"/>
        <s v="Mítico"/>
        <s v="Ótimo"/>
        <s v="Comum"/>
        <m/>
      </sharedItems>
    </cacheField>
    <cacheField name="Aumenta a força em 40%" numFmtId="0">
      <sharedItems containsBlank="1">
        <s v="Encontra mais 50% de ouro durante as missões"/>
        <s v="Aumenta o número de companheiros em +1"/>
        <s v="Aumenta o número máximo de artefatos e itens de raid encontrados em +2"/>
        <s v="Aumenta a taxa de sobrevivência de membros masculinos do grupo em 5%"/>
        <s v="Obtém pelo menos 50% de experiência quando ferido e a missão é bem sucedida"/>
        <s v="Revive um companheiro derrotado 5% das vezes"/>
        <s v="Aumenta a taxa de sobrevivência de membros femininos do grupo em 5%"/>
        <s v="Reduz o tempo de cura de companheiros em 25%"/>
        <s v="Aumenta o número máximo de artefatos e itens de raid encontrados por cada membro do grupo em +1"/>
        <s v="Aumenta a força do equipamento em 20%"/>
        <s v="Aumenta a taxa de sobrevivência do grupo em 5%"/>
        <s v="Aumenta a força do equipamento em 25%"/>
        <s v="Encontra mais 200% de ouro durante as missões"/>
        <s v="Aumenta o número máximo de artefatos e itens de raid encontrados por cada membro do grupo em +2"/>
        <s v="Reduz a duração da missão em 10%"/>
        <s v="Reduz o tempo de espera depois da missão em 50%"/>
        <s v="Evita ferimentos 10% das vezes"/>
        <s v="Diminui a chance de quebra de equipamento em 15% das vezes"/>
        <s v="Reduz a chance de companheiros quebrarem o equipamento em 5%"/>
        <s v="Impede que o equipamento de um companheiro se quebre 1 vez"/>
        <s v="Aumenta a força em 35%"/>
        <s v="25% de bônus de experiência"/>
        <s v="Impede que 2 peças de equipamento se quebre durante a missão"/>
        <s v="Aumenta o número máximo de artefatos e itens de raid encontrados em +6"/>
        <s v="Reduz o tempo de espera depois da missão em 100%"/>
        <s v="Revive um companheiro derrotado 10% das vezes"/>
        <s v="Obtém pelo menos 25% de experiência quando ferido e a missão é bem sucedida"/>
        <s v="Aumenta a força dos guerreiros do grupo em 15%"/>
        <s v="Aumenta a taxa de sobrevivência do grupo em 2%"/>
        <s v="Aumenta a força em 30%"/>
        <s v="Impede que o equipamento de um companheiro se quebre 3 vezes"/>
        <s v="Aumenta a força em 25%"/>
        <s v="Aumenta a força dos feiticeiros do grupo em 10%"/>
        <s v="Aumenta a força dos guerreiros do grupo em 25%"/>
        <s v="Reduz a duração da missão em 50%"/>
        <s v="Reduz o tempo de cura de companheiros em 10%"/>
        <s v="Aumenta o número máximo de artefatos e itens de raid encontrados em +4"/>
        <s v="Aumenta a força dos feiticeiros do grupo em 20%"/>
        <s v="Revive um companheiro derrotado 15% das vezes"/>
        <s v="Aumenta a força em 50%"/>
        <s v="Diminui a chance de quebra de equipamento em 30% das vezes"/>
        <s v="50% de bônus de experiência"/>
        <s v="Evita ferimentos 15% das vezes"/>
        <s v="Evita ferimentos 30% das vezes"/>
        <s v="Impede que o equipamento de um companheiro se quebre 2 vezes"/>
        <s v="Aumenta a força em 40%"/>
        <s v="Aumenta o número de companheiros em +3"/>
        <s v="Reduz o tempo de espera depois da missão em 75%"/>
        <s v="Aumenta a força do equipamento em 10%"/>
        <s v="Aumenta a taxa de sobrevivência de membros masculinos do grupo em 10%"/>
        <s v="Aumenta a força dos guerreiros do grupo em 50%"/>
        <s v="Aumenta a taxa de sobrevivência do grupo em 8%"/>
        <s v="Impede que 3 peças de equipamento se quebre durante a missão"/>
        <s v="Reduz o tempo de cura de companheiros em 50%"/>
        <s v="Encontra mais 100% de ouro durante as missões"/>
        <s v="Aumenta a defesa do equipamento em 10%"/>
        <s v="Aumenta a força 25% das vezes"/>
        <s v="Aumenta o número mínimo de itens e artefatos encontrados em +1"/>
        <s v="Aumenta o número mínimo de itens e artefatos encontrados em +3"/>
        <s v="Reduz a duração da missão em 25%"/>
        <s v="Aumenta a taxa de sobrevivência de membros femininos do grupo em 10%"/>
        <s v="Aumenta a taxa de sobrevivência do grupo em 10%"/>
        <s v="100% de bônus de experiência"/>
        <s v="Impede que 1 peça de equipamento se quebre durante a missão"/>
        <s v="Aumenta o número mínimo de itens e artefatos encontrados em +2"/>
        <s v="Evita ferimentos 20% das vezes"/>
        <s v="Aumenta a força do equipamento em 50%"/>
        <s v="Reduz a chance de companheiros quebrarem o equipamento em 10%"/>
        <s v="Reduz a chance de companheiros quebrarem o equipamento em 15%"/>
        <s v="Aumenta a força do equipamento em 75%"/>
        <s v="Aumenta a força dos feiticeiros do grupo em 30%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ultar equips" cacheId="0" dataCaption="" rowGrandTotals="0" compact="0" compactData="0">
  <location ref="A1:D27" firstHeaderRow="0" firstDataRow="3" firstDataCol="0"/>
  <pivotFields>
    <pivotField name="Equipamento" axis="axisRow" compact="0" outline="0" multipleItemSelectionAllowed="1" showAll="0" sortType="ascending">
      <items>
        <item x="338"/>
        <item x="229"/>
        <item x="258"/>
        <item x="74"/>
        <item x="129"/>
        <item x="140"/>
        <item x="148"/>
        <item x="150"/>
        <item x="284"/>
        <item x="171"/>
        <item x="224"/>
        <item x="244"/>
        <item x="246"/>
        <item x="253"/>
        <item x="303"/>
        <item x="11"/>
        <item x="12"/>
        <item x="14"/>
        <item x="5"/>
        <item x="15"/>
        <item x="3"/>
        <item x="1"/>
        <item x="10"/>
        <item x="9"/>
        <item x="7"/>
        <item x="220"/>
        <item x="259"/>
        <item x="28"/>
        <item x="25"/>
        <item x="24"/>
        <item x="265"/>
        <item x="269"/>
        <item x="34"/>
        <item x="39"/>
        <item x="37"/>
        <item x="31"/>
        <item x="32"/>
        <item x="27"/>
        <item x="18"/>
        <item x="133"/>
        <item x="93"/>
        <item x="157"/>
        <item x="56"/>
        <item x="22"/>
        <item x="23"/>
        <item x="294"/>
        <item x="285"/>
        <item x="297"/>
        <item x="42"/>
        <item x="44"/>
        <item x="43"/>
        <item x="304"/>
        <item x="302"/>
        <item x="52"/>
        <item x="181"/>
        <item x="121"/>
        <item x="120"/>
        <item x="55"/>
        <item x="66"/>
        <item x="298"/>
        <item x="46"/>
        <item x="271"/>
        <item x="149"/>
        <item x="310"/>
        <item x="83"/>
        <item x="69"/>
        <item x="78"/>
        <item x="183"/>
        <item x="322"/>
        <item x="125"/>
        <item x="231"/>
        <item x="222"/>
        <item x="159"/>
        <item x="68"/>
        <item x="57"/>
        <item x="218"/>
        <item x="59"/>
        <item x="107"/>
        <item x="100"/>
        <item x="288"/>
        <item x="79"/>
        <item x="82"/>
        <item x="155"/>
        <item x="206"/>
        <item x="13"/>
        <item x="232"/>
        <item x="84"/>
        <item x="71"/>
        <item x="333"/>
        <item x="235"/>
        <item x="257"/>
        <item x="111"/>
        <item x="252"/>
        <item x="245"/>
        <item x="248"/>
        <item x="141"/>
        <item x="158"/>
        <item x="91"/>
        <item x="81"/>
        <item x="73"/>
        <item x="70"/>
        <item x="97"/>
        <item x="33"/>
        <item x="335"/>
        <item x="336"/>
        <item x="325"/>
        <item x="332"/>
        <item x="116"/>
        <item x="137"/>
        <item x="289"/>
        <item x="76"/>
        <item x="267"/>
        <item x="4"/>
        <item x="268"/>
        <item x="319"/>
        <item x="136"/>
        <item x="293"/>
        <item x="113"/>
        <item x="274"/>
        <item x="277"/>
        <item x="86"/>
        <item x="88"/>
        <item x="92"/>
        <item x="90"/>
        <item x="89"/>
        <item x="95"/>
        <item x="87"/>
        <item x="85"/>
        <item x="273"/>
        <item x="301"/>
        <item x="115"/>
        <item x="118"/>
        <item x="122"/>
        <item x="114"/>
        <item x="117"/>
        <item x="124"/>
        <item x="223"/>
        <item x="211"/>
        <item x="334"/>
        <item x="130"/>
        <item x="128"/>
        <item x="168"/>
        <item x="256"/>
        <item x="278"/>
        <item x="215"/>
        <item x="221"/>
        <item x="291"/>
        <item x="20"/>
        <item x="75"/>
        <item x="195"/>
        <item x="105"/>
        <item x="241"/>
        <item x="162"/>
        <item x="152"/>
        <item x="161"/>
        <item x="154"/>
        <item x="295"/>
        <item x="201"/>
        <item x="36"/>
        <item x="290"/>
        <item x="26"/>
        <item x="30"/>
        <item x="282"/>
        <item x="203"/>
        <item x="166"/>
        <item x="184"/>
        <item x="204"/>
        <item x="212"/>
        <item x="270"/>
        <item x="45"/>
        <item x="50"/>
        <item x="48"/>
        <item x="156"/>
        <item x="178"/>
        <item x="239"/>
        <item x="64"/>
        <item x="323"/>
        <item x="262"/>
        <item x="173"/>
        <item x="153"/>
        <item x="160"/>
        <item x="249"/>
        <item x="250"/>
        <item x="320"/>
        <item x="307"/>
        <item x="94"/>
        <item x="0"/>
        <item x="337"/>
        <item x="196"/>
        <item x="260"/>
        <item x="142"/>
        <item x="292"/>
        <item x="200"/>
        <item x="247"/>
        <item x="127"/>
        <item x="135"/>
        <item x="197"/>
        <item x="261"/>
        <item x="266"/>
        <item x="165"/>
        <item x="315"/>
        <item x="58"/>
        <item x="103"/>
        <item x="67"/>
        <item x="186"/>
        <item x="210"/>
        <item x="180"/>
        <item x="185"/>
        <item x="188"/>
        <item x="182"/>
        <item x="179"/>
        <item x="189"/>
        <item x="199"/>
        <item x="193"/>
        <item x="198"/>
        <item x="123"/>
        <item x="38"/>
        <item x="35"/>
        <item x="40"/>
        <item x="207"/>
        <item x="209"/>
        <item x="205"/>
        <item x="202"/>
        <item x="177"/>
        <item x="131"/>
        <item x="6"/>
        <item x="306"/>
        <item x="219"/>
        <item x="217"/>
        <item x="134"/>
        <item x="77"/>
        <item x="276"/>
        <item x="299"/>
        <item x="29"/>
        <item x="287"/>
        <item x="151"/>
        <item x="63"/>
        <item x="190"/>
        <item x="139"/>
        <item x="19"/>
        <item x="21"/>
        <item x="17"/>
        <item x="254"/>
        <item x="8"/>
        <item x="230"/>
        <item x="49"/>
        <item x="126"/>
        <item x="102"/>
        <item x="330"/>
        <item x="326"/>
        <item x="174"/>
        <item x="238"/>
        <item x="236"/>
        <item x="240"/>
        <item x="2"/>
        <item x="51"/>
        <item x="227"/>
        <item x="263"/>
        <item x="170"/>
        <item x="280"/>
        <item x="47"/>
        <item x="264"/>
        <item x="327"/>
        <item x="98"/>
        <item x="106"/>
        <item x="279"/>
        <item x="281"/>
        <item x="16"/>
        <item x="164"/>
        <item x="163"/>
        <item x="312"/>
        <item x="194"/>
        <item x="146"/>
        <item x="243"/>
        <item x="110"/>
        <item x="54"/>
        <item x="147"/>
        <item x="208"/>
        <item x="214"/>
        <item x="296"/>
        <item x="225"/>
        <item x="169"/>
        <item x="175"/>
        <item x="62"/>
        <item x="328"/>
        <item x="255"/>
        <item x="309"/>
        <item x="213"/>
        <item x="109"/>
        <item x="300"/>
        <item x="272"/>
        <item x="275"/>
        <item x="305"/>
        <item x="112"/>
        <item x="176"/>
        <item x="108"/>
        <item x="234"/>
        <item x="233"/>
        <item x="101"/>
        <item x="104"/>
        <item x="99"/>
        <item x="145"/>
        <item x="329"/>
        <item x="119"/>
        <item x="226"/>
        <item x="286"/>
        <item x="242"/>
        <item x="138"/>
        <item x="53"/>
        <item x="187"/>
        <item x="143"/>
        <item x="308"/>
        <item x="251"/>
        <item x="132"/>
        <item x="192"/>
        <item x="80"/>
        <item x="72"/>
        <item x="321"/>
        <item x="317"/>
        <item x="314"/>
        <item x="311"/>
        <item x="316"/>
        <item x="237"/>
        <item x="191"/>
        <item x="228"/>
        <item x="144"/>
        <item x="313"/>
        <item x="172"/>
        <item x="216"/>
        <item x="283"/>
        <item x="331"/>
        <item x="60"/>
        <item x="65"/>
        <item x="61"/>
        <item x="318"/>
        <item x="324"/>
        <item x="96"/>
        <item x="167"/>
        <item x="41"/>
        <item t="default"/>
      </items>
    </pivotField>
    <pivotField name="Tipo" axis="axisRow" compact="0" outline="0" multipleItemSelectionAllowed="1" showAll="0" sortType="ascending" defaultSubtotal="0">
      <items>
        <item sd="0" x="25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name="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feito" axis="axisRow" compact="0" outline="0" multipleItemSelectionAllowed="1" showAll="0" sortType="ascending" defaultSubtotal="0">
      <items>
        <item x="74"/>
        <item sd="0" x="6"/>
        <item x="63"/>
        <item sd="0" x="11"/>
        <item sd="0" x="33"/>
        <item x="39"/>
        <item x="73"/>
        <item sd="0" x="53"/>
        <item sd="0" x="20"/>
        <item sd="0" x="32"/>
        <item sd="0" x="2"/>
        <item x="38"/>
        <item sd="0" x="24"/>
        <item sd="0" x="60"/>
        <item x="67"/>
        <item x="61"/>
        <item sd="0" x="28"/>
        <item sd="0" x="35"/>
        <item x="52"/>
        <item sd="0" x="3"/>
        <item sd="0" x="51"/>
        <item sd="0" x="47"/>
        <item sd="0" x="58"/>
        <item sd="0" x="17"/>
        <item sd="0" x="42"/>
        <item sd="0" x="37"/>
        <item x="7"/>
        <item sd="0" x="55"/>
        <item sd="0" x="57"/>
        <item sd="0" x="8"/>
        <item sd="0" x="59"/>
        <item sd="0" x="13"/>
        <item sd="0" x="15"/>
        <item sd="0" x="49"/>
        <item x="25"/>
        <item sd="0" x="66"/>
        <item x="23"/>
        <item sd="0" x="54"/>
        <item sd="0" x="34"/>
        <item sd="0" x="18"/>
        <item sd="0" x="70"/>
        <item x="71"/>
        <item sd="0" x="0"/>
        <item x="56"/>
        <item x="12"/>
        <item sd="0" x="50"/>
        <item sd="0" x="22"/>
        <item x="69"/>
        <item sd="0" x="1"/>
        <item x="48"/>
        <item x="72"/>
        <item sd="0" x="44"/>
        <item sd="0" x="30"/>
        <item sd="0" x="29"/>
        <item x="10"/>
        <item x="64"/>
        <item x="41"/>
        <item sd="0" x="27"/>
        <item x="4"/>
        <item sd="0" x="9"/>
        <item sd="0" x="5"/>
        <item sd="0" x="26"/>
        <item sd="0" x="40"/>
        <item sd="0" x="21"/>
        <item sd="0" x="43"/>
        <item sd="0" x="65"/>
        <item sd="0" x="16"/>
        <item sd="0" x="68"/>
        <item sd="0" x="45"/>
        <item sd="0" x="19"/>
        <item sd="0" x="46"/>
        <item sd="0" x="31"/>
        <item sd="0" x="14"/>
        <item sd="0" x="62"/>
        <item sd="0" x="36"/>
      </items>
    </pivotField>
    <pivotField name="Épi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umenta a força em 40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>
    <field x="1"/>
    <field x="3"/>
    <field x="0"/>
  </row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onsultar equips 2" cacheId="0" dataCaption="" rowGrandTotals="0" compact="0" compactData="0">
  <location ref="F1:J100" firstHeaderRow="0" firstDataRow="4" firstDataCol="0"/>
  <pivotFields>
    <pivotField name="Equipamento" axis="axisRow" compact="0" outline="0" multipleItemSelectionAllowed="1" showAll="0" sortType="ascending" defaultSubtotal="0">
      <items>
        <item x="338"/>
        <item x="229"/>
        <item x="258"/>
        <item x="74"/>
        <item x="129"/>
        <item x="140"/>
        <item x="148"/>
        <item x="150"/>
        <item x="284"/>
        <item x="171"/>
        <item x="224"/>
        <item x="244"/>
        <item x="246"/>
        <item x="253"/>
        <item x="303"/>
        <item x="11"/>
        <item x="12"/>
        <item x="14"/>
        <item x="5"/>
        <item x="15"/>
        <item x="3"/>
        <item x="1"/>
        <item x="10"/>
        <item x="9"/>
        <item x="7"/>
        <item x="220"/>
        <item x="259"/>
        <item x="28"/>
        <item x="25"/>
        <item x="24"/>
        <item x="265"/>
        <item x="269"/>
        <item x="34"/>
        <item x="39"/>
        <item x="37"/>
        <item x="31"/>
        <item x="32"/>
        <item x="27"/>
        <item x="18"/>
        <item x="133"/>
        <item x="93"/>
        <item x="157"/>
        <item x="56"/>
        <item x="22"/>
        <item x="23"/>
        <item x="294"/>
        <item x="285"/>
        <item x="297"/>
        <item x="42"/>
        <item x="44"/>
        <item x="43"/>
        <item x="304"/>
        <item x="302"/>
        <item x="52"/>
        <item x="181"/>
        <item x="121"/>
        <item x="120"/>
        <item x="55"/>
        <item x="66"/>
        <item x="298"/>
        <item x="46"/>
        <item x="271"/>
        <item x="149"/>
        <item x="310"/>
        <item x="83"/>
        <item x="69"/>
        <item x="78"/>
        <item x="183"/>
        <item x="322"/>
        <item x="125"/>
        <item x="231"/>
        <item x="222"/>
        <item x="159"/>
        <item x="68"/>
        <item x="57"/>
        <item x="218"/>
        <item x="59"/>
        <item x="107"/>
        <item x="100"/>
        <item x="288"/>
        <item x="79"/>
        <item x="82"/>
        <item x="155"/>
        <item x="206"/>
        <item x="13"/>
        <item x="232"/>
        <item x="84"/>
        <item x="71"/>
        <item x="333"/>
        <item x="235"/>
        <item x="257"/>
        <item x="111"/>
        <item x="252"/>
        <item x="245"/>
        <item x="248"/>
        <item x="141"/>
        <item x="158"/>
        <item x="91"/>
        <item x="81"/>
        <item x="73"/>
        <item x="70"/>
        <item x="97"/>
        <item x="33"/>
        <item x="335"/>
        <item x="336"/>
        <item x="325"/>
        <item x="332"/>
        <item x="116"/>
        <item x="137"/>
        <item x="289"/>
        <item x="76"/>
        <item x="267"/>
        <item x="4"/>
        <item x="268"/>
        <item x="319"/>
        <item x="136"/>
        <item x="293"/>
        <item x="113"/>
        <item x="274"/>
        <item x="277"/>
        <item x="86"/>
        <item x="88"/>
        <item x="92"/>
        <item x="90"/>
        <item x="89"/>
        <item x="95"/>
        <item x="87"/>
        <item x="85"/>
        <item x="273"/>
        <item x="301"/>
        <item x="115"/>
        <item x="118"/>
        <item x="122"/>
        <item x="114"/>
        <item x="117"/>
        <item x="124"/>
        <item x="223"/>
        <item x="211"/>
        <item x="334"/>
        <item x="130"/>
        <item x="128"/>
        <item x="168"/>
        <item x="256"/>
        <item x="278"/>
        <item x="215"/>
        <item x="221"/>
        <item x="291"/>
        <item x="20"/>
        <item x="75"/>
        <item x="195"/>
        <item x="105"/>
        <item x="241"/>
        <item x="162"/>
        <item x="152"/>
        <item x="161"/>
        <item x="154"/>
        <item x="295"/>
        <item x="201"/>
        <item x="36"/>
        <item x="290"/>
        <item x="26"/>
        <item x="30"/>
        <item x="282"/>
        <item x="203"/>
        <item x="166"/>
        <item x="184"/>
        <item x="204"/>
        <item x="212"/>
        <item x="270"/>
        <item x="45"/>
        <item x="50"/>
        <item x="48"/>
        <item x="156"/>
        <item x="178"/>
        <item x="239"/>
        <item x="64"/>
        <item x="323"/>
        <item x="262"/>
        <item x="173"/>
        <item x="153"/>
        <item x="160"/>
        <item x="249"/>
        <item x="250"/>
        <item x="320"/>
        <item x="307"/>
        <item x="94"/>
        <item x="0"/>
        <item x="337"/>
        <item x="196"/>
        <item x="260"/>
        <item x="142"/>
        <item x="292"/>
        <item x="200"/>
        <item x="247"/>
        <item x="127"/>
        <item x="135"/>
        <item x="197"/>
        <item x="261"/>
        <item x="266"/>
        <item x="165"/>
        <item x="315"/>
        <item x="58"/>
        <item x="103"/>
        <item x="67"/>
        <item x="186"/>
        <item x="210"/>
        <item x="180"/>
        <item x="185"/>
        <item x="188"/>
        <item x="182"/>
        <item x="179"/>
        <item x="189"/>
        <item x="199"/>
        <item x="193"/>
        <item x="198"/>
        <item x="123"/>
        <item x="38"/>
        <item x="35"/>
        <item x="40"/>
        <item x="207"/>
        <item x="209"/>
        <item x="205"/>
        <item x="202"/>
        <item x="177"/>
        <item x="131"/>
        <item x="6"/>
        <item x="306"/>
        <item x="219"/>
        <item x="217"/>
        <item x="134"/>
        <item x="77"/>
        <item x="276"/>
        <item x="299"/>
        <item x="29"/>
        <item x="287"/>
        <item x="151"/>
        <item x="63"/>
        <item x="190"/>
        <item x="139"/>
        <item x="19"/>
        <item x="21"/>
        <item x="17"/>
        <item x="254"/>
        <item x="8"/>
        <item x="230"/>
        <item x="49"/>
        <item x="126"/>
        <item x="102"/>
        <item x="330"/>
        <item x="326"/>
        <item x="174"/>
        <item x="238"/>
        <item x="236"/>
        <item x="240"/>
        <item x="2"/>
        <item x="51"/>
        <item x="227"/>
        <item x="263"/>
        <item x="170"/>
        <item x="280"/>
        <item x="47"/>
        <item x="264"/>
        <item x="327"/>
        <item x="98"/>
        <item x="106"/>
        <item x="279"/>
        <item x="281"/>
        <item x="16"/>
        <item x="164"/>
        <item x="163"/>
        <item x="312"/>
        <item x="194"/>
        <item x="146"/>
        <item x="243"/>
        <item x="110"/>
        <item x="54"/>
        <item x="147"/>
        <item x="208"/>
        <item x="214"/>
        <item x="296"/>
        <item x="225"/>
        <item x="169"/>
        <item x="175"/>
        <item x="62"/>
        <item x="328"/>
        <item x="255"/>
        <item x="309"/>
        <item x="213"/>
        <item x="109"/>
        <item x="300"/>
        <item x="272"/>
        <item x="275"/>
        <item x="305"/>
        <item x="112"/>
        <item x="176"/>
        <item x="108"/>
        <item x="234"/>
        <item x="233"/>
        <item x="101"/>
        <item x="104"/>
        <item x="99"/>
        <item x="145"/>
        <item x="329"/>
        <item x="119"/>
        <item x="226"/>
        <item x="286"/>
        <item x="242"/>
        <item x="138"/>
        <item x="53"/>
        <item x="187"/>
        <item x="143"/>
        <item x="308"/>
        <item x="251"/>
        <item x="132"/>
        <item x="192"/>
        <item x="80"/>
        <item x="72"/>
        <item x="321"/>
        <item x="317"/>
        <item x="314"/>
        <item x="311"/>
        <item x="316"/>
        <item x="237"/>
        <item x="191"/>
        <item x="228"/>
        <item x="144"/>
        <item x="313"/>
        <item x="172"/>
        <item x="216"/>
        <item x="283"/>
        <item x="331"/>
        <item x="60"/>
        <item x="65"/>
        <item x="61"/>
        <item x="318"/>
        <item x="324"/>
        <item x="96"/>
        <item x="167"/>
        <item x="41"/>
      </items>
    </pivotField>
    <pivotField name="Tipo" axis="axisRow" compact="0" outline="0" multipleItemSelectionAllowed="1" showAll="0" sortType="ascending" defaultSubtotal="0">
      <items>
        <item sd="0" x="25"/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x="22"/>
        <item x="23"/>
        <item sd="0" x="24"/>
      </items>
    </pivotField>
    <pivotField name="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feito" axis="axisRow" compact="0" outline="0" multipleItemSelectionAllowed="1" showAll="0" sortType="ascending" defaultSubtotal="0">
      <items>
        <item sd="0" x="74"/>
        <item sd="0" x="6"/>
        <item sd="0" x="63"/>
        <item sd="0" x="11"/>
        <item sd="0" x="33"/>
        <item sd="0" x="39"/>
        <item sd="0" x="73"/>
        <item sd="0" x="53"/>
        <item sd="0" x="20"/>
        <item sd="0" x="32"/>
        <item sd="0" x="2"/>
        <item sd="0" x="38"/>
        <item sd="0" x="24"/>
        <item sd="0" x="60"/>
        <item sd="0" x="67"/>
        <item sd="0" x="61"/>
        <item sd="0" x="28"/>
        <item sd="0" x="35"/>
        <item x="52"/>
        <item sd="0" x="3"/>
        <item sd="0" x="51"/>
        <item sd="0" x="47"/>
        <item sd="0" x="58"/>
        <item sd="0" x="17"/>
        <item sd="0" x="42"/>
        <item sd="0" x="37"/>
        <item sd="0" x="7"/>
        <item sd="0" x="55"/>
        <item sd="0" x="57"/>
        <item sd="0" x="8"/>
        <item sd="0" x="59"/>
        <item x="13"/>
        <item sd="0" x="15"/>
        <item sd="0" x="49"/>
        <item x="25"/>
        <item sd="0" x="66"/>
        <item x="23"/>
        <item sd="0" x="54"/>
        <item sd="0" x="34"/>
        <item sd="0" x="18"/>
        <item sd="0" x="70"/>
        <item x="71"/>
        <item sd="0" x="0"/>
        <item x="56"/>
        <item x="12"/>
        <item sd="0" x="50"/>
        <item sd="0" x="22"/>
        <item x="69"/>
        <item sd="0" x="1"/>
        <item sd="0" x="48"/>
        <item x="72"/>
        <item sd="0" x="44"/>
        <item sd="0" x="30"/>
        <item sd="0" x="29"/>
        <item sd="0" x="10"/>
        <item x="64"/>
        <item sd="0" x="41"/>
        <item sd="0" x="27"/>
        <item sd="0" x="4"/>
        <item sd="0" x="9"/>
        <item sd="0" x="5"/>
        <item sd="0" x="26"/>
        <item sd="0" x="40"/>
        <item sd="0" x="21"/>
        <item sd="0" x="43"/>
        <item sd="0" x="65"/>
        <item sd="0" x="16"/>
        <item sd="0" x="68"/>
        <item sd="0" x="45"/>
        <item sd="0" x="19"/>
        <item sd="0" x="46"/>
        <item sd="0" x="31"/>
        <item sd="0" x="14"/>
        <item sd="0" x="62"/>
        <item sd="0" x="36"/>
      </items>
    </pivotField>
    <pivotField name="Épi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rição" axis="axisRow" compact="0" outline="0" multipleItemSelectionAllowed="1" showAll="0" sortType="ascending">
      <items>
        <item x="71"/>
        <item x="62"/>
        <item x="21"/>
        <item x="41"/>
        <item x="55"/>
        <item x="56"/>
        <item x="48"/>
        <item x="9"/>
        <item x="11"/>
        <item x="66"/>
        <item x="69"/>
        <item x="32"/>
        <item x="37"/>
        <item x="70"/>
        <item x="27"/>
        <item x="33"/>
        <item x="50"/>
        <item x="31"/>
        <item x="29"/>
        <item x="20"/>
        <item x="45"/>
        <item x="39"/>
        <item x="60"/>
        <item x="6"/>
        <item x="49"/>
        <item x="3"/>
        <item x="61"/>
        <item x="28"/>
        <item x="10"/>
        <item x="51"/>
        <item x="1"/>
        <item x="46"/>
        <item x="2"/>
        <item x="36"/>
        <item x="23"/>
        <item x="8"/>
        <item x="13"/>
        <item x="57"/>
        <item x="64"/>
        <item x="58"/>
        <item x="17"/>
        <item x="40"/>
        <item x="54"/>
        <item x="12"/>
        <item x="0"/>
        <item x="16"/>
        <item x="42"/>
        <item x="65"/>
        <item x="43"/>
        <item x="63"/>
        <item x="22"/>
        <item x="52"/>
        <item x="19"/>
        <item x="44"/>
        <item x="30"/>
        <item x="26"/>
        <item x="4"/>
        <item x="67"/>
        <item x="68"/>
        <item x="18"/>
        <item x="14"/>
        <item x="59"/>
        <item x="34"/>
        <item x="35"/>
        <item x="7"/>
        <item x="53"/>
        <item x="24"/>
        <item x="15"/>
        <item x="47"/>
        <item x="25"/>
        <item x="38"/>
        <item x="5"/>
        <item t="default"/>
      </items>
    </pivotField>
  </pivotFields>
  <rowFields>
    <field x="3"/>
    <field x="1"/>
    <field x="0"/>
    <field x="5"/>
  </row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4.38"/>
    <col customWidth="1" min="3" max="3" width="23.25"/>
    <col customWidth="1" min="5" max="5" width="20.25"/>
    <col customWidth="1" min="6" max="6" width="22.0"/>
    <col customWidth="1" min="7" max="7" width="77.38"/>
    <col customWidth="1" min="8" max="8" width="10.5"/>
    <col customWidth="1" min="9" max="9" width="3.88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  <c r="H1" s="1"/>
      <c r="I1" s="1"/>
    </row>
    <row r="2">
      <c r="A2" s="1"/>
      <c r="B2" s="5" t="s">
        <v>2</v>
      </c>
      <c r="C2" s="5" t="s">
        <v>3</v>
      </c>
      <c r="D2" s="5" t="s">
        <v>4</v>
      </c>
      <c r="E2" s="5" t="s">
        <v>1</v>
      </c>
      <c r="F2" s="5" t="s">
        <v>5</v>
      </c>
      <c r="G2" s="6" t="s">
        <v>6</v>
      </c>
      <c r="H2" s="1"/>
      <c r="I2" s="1"/>
    </row>
    <row r="3">
      <c r="A3" s="1"/>
      <c r="B3" s="7" t="str">
        <f>IFERROR(__xludf.DUMMYFUNCTION("query(IMPORTRANGE(cd_planilha, ""Armas do jogo!B3:H""), ""Where Col7 = TRUE"")"),"Anel estrelado")</f>
        <v>Anel estrelado</v>
      </c>
      <c r="C3" s="8" t="str">
        <f>IFERROR(__xludf.DUMMYFUNCTION("""COMPUTED_VALUE"""),"Anel")</f>
        <v>Anel</v>
      </c>
      <c r="D3" s="1">
        <f>IFERROR(__xludf.DUMMYFUNCTION("""COMPUTED_VALUE"""),8.0)</f>
        <v>8</v>
      </c>
      <c r="E3" s="1" t="str">
        <f>IFERROR(__xludf.DUMMYFUNCTION("""COMPUTED_VALUE"""),"Cone-gélido")</f>
        <v>Cone-gélido</v>
      </c>
      <c r="F3" s="8" t="str">
        <f>IFERROR(__xludf.DUMMYFUNCTION("""COMPUTED_VALUE"""),"Épico")</f>
        <v>Épico</v>
      </c>
      <c r="G3" s="1" t="str">
        <f>IFERROR(__xludf.DUMMYFUNCTION("""COMPUTED_VALUE"""),"Aumenta a força em 40%")</f>
        <v>Aumenta a força em 40%</v>
      </c>
      <c r="H3" s="1" t="b">
        <f>IFERROR(__xludf.DUMMYFUNCTION("""COMPUTED_VALUE"""),TRUE)</f>
        <v>1</v>
      </c>
      <c r="I3" s="1"/>
    </row>
    <row r="4">
      <c r="A4" s="1"/>
      <c r="B4" s="1" t="str">
        <f>IFERROR(__xludf.DUMMYFUNCTION("""COMPUTED_VALUE"""),"Interesseiro")</f>
        <v>Interesseiro</v>
      </c>
      <c r="C4" s="8" t="str">
        <f>IFERROR(__xludf.DUMMYFUNCTION("""COMPUTED_VALUE"""),"Anel")</f>
        <v>Anel</v>
      </c>
      <c r="D4" s="1">
        <f>IFERROR(__xludf.DUMMYFUNCTION("""COMPUTED_VALUE"""),12.0)</f>
        <v>12</v>
      </c>
      <c r="E4" s="1" t="str">
        <f>IFERROR(__xludf.DUMMYFUNCTION("""COMPUTED_VALUE"""),"Ganancioso 1")</f>
        <v>Ganancioso 1</v>
      </c>
      <c r="F4" s="8" t="str">
        <f>IFERROR(__xludf.DUMMYFUNCTION("""COMPUTED_VALUE"""),"Impecável")</f>
        <v>Impecável</v>
      </c>
      <c r="G4" s="1" t="str">
        <f>IFERROR(__xludf.DUMMYFUNCTION("""COMPUTED_VALUE"""),"Encontra mais 50% de ouro durante as missões")</f>
        <v>Encontra mais 50% de ouro durante as missões</v>
      </c>
      <c r="H4" s="9" t="b">
        <f>IFERROR(__xludf.DUMMYFUNCTION("""COMPUTED_VALUE"""),TRUE)</f>
        <v>1</v>
      </c>
      <c r="I4" s="10"/>
    </row>
    <row r="5">
      <c r="A5" s="1"/>
      <c r="B5" s="1" t="str">
        <f>IFERROR(__xludf.DUMMYFUNCTION("""COMPUTED_VALUE"""),"Anel ferradura")</f>
        <v>Anel ferradura</v>
      </c>
      <c r="C5" s="11" t="str">
        <f>IFERROR(__xludf.DUMMYFUNCTION("""COMPUTED_VALUE"""),"Anel")</f>
        <v>Anel</v>
      </c>
      <c r="D5" s="12">
        <f>IFERROR(__xludf.DUMMYFUNCTION("""COMPUTED_VALUE"""),20.0)</f>
        <v>20</v>
      </c>
      <c r="E5" s="12" t="str">
        <f>IFERROR(__xludf.DUMMYFUNCTION("""COMPUTED_VALUE"""),"Líder 1")</f>
        <v>Líder 1</v>
      </c>
      <c r="F5" s="11" t="str">
        <f>IFERROR(__xludf.DUMMYFUNCTION("""COMPUTED_VALUE"""),"Impecável")</f>
        <v>Impecável</v>
      </c>
      <c r="G5" s="12" t="str">
        <f>IFERROR(__xludf.DUMMYFUNCTION("""COMPUTED_VALUE"""),"Aumenta o número de companheiros em +1")</f>
        <v>Aumenta o número de companheiros em +1</v>
      </c>
      <c r="H5" s="9" t="b">
        <f>IFERROR(__xludf.DUMMYFUNCTION("""COMPUTED_VALUE"""),TRUE)</f>
        <v>1</v>
      </c>
      <c r="I5" s="12"/>
    </row>
    <row r="6">
      <c r="A6" s="1"/>
      <c r="B6" s="1" t="str">
        <f>IFERROR(__xludf.DUMMYFUNCTION("""COMPUTED_VALUE"""),"Perseguindo a lua")</f>
        <v>Perseguindo a lua</v>
      </c>
      <c r="C6" s="11" t="str">
        <f>IFERROR(__xludf.DUMMYFUNCTION("""COMPUTED_VALUE"""),"Anel")</f>
        <v>Anel</v>
      </c>
      <c r="D6" s="12">
        <f>IFERROR(__xludf.DUMMYFUNCTION("""COMPUTED_VALUE"""),22.0)</f>
        <v>22</v>
      </c>
      <c r="E6" s="12" t="str">
        <f>IFERROR(__xludf.DUMMYFUNCTION("""COMPUTED_VALUE"""),"Caça-tesouros 1")</f>
        <v>Caça-tesouros 1</v>
      </c>
      <c r="F6" s="11" t="str">
        <f>IFERROR(__xludf.DUMMYFUNCTION("""COMPUTED_VALUE"""),"Impecável")</f>
        <v>Impecável</v>
      </c>
      <c r="G6" s="12" t="str">
        <f>IFERROR(__xludf.DUMMYFUNCTION("""COMPUTED_VALUE"""),"Aumenta o número máximo de artefatos e itens de raid encontrados em +2")</f>
        <v>Aumenta o número máximo de artefatos e itens de raid encontrados em +2</v>
      </c>
      <c r="H6" s="9" t="b">
        <f>IFERROR(__xludf.DUMMYFUNCTION("""COMPUTED_VALUE"""),TRUE)</f>
        <v>1</v>
      </c>
      <c r="I6" s="12"/>
    </row>
    <row r="7">
      <c r="A7" s="1"/>
      <c r="B7" s="1" t="str">
        <f>IFERROR(__xludf.DUMMYFUNCTION("""COMPUTED_VALUE"""),"Anel do Cruzado")</f>
        <v>Anel do Cruzado</v>
      </c>
      <c r="C7" s="11" t="str">
        <f>IFERROR(__xludf.DUMMYFUNCTION("""COMPUTED_VALUE"""),"Anel")</f>
        <v>Anel</v>
      </c>
      <c r="D7" s="12">
        <f>IFERROR(__xludf.DUMMYFUNCTION("""COMPUTED_VALUE"""),25.0)</f>
        <v>25</v>
      </c>
      <c r="E7" s="12" t="str">
        <f>IFERROR(__xludf.DUMMYFUNCTION("""COMPUTED_VALUE"""),"Companheiro de Guerra 1")</f>
        <v>Companheiro de Guerra 1</v>
      </c>
      <c r="F7" s="11" t="str">
        <f>IFERROR(__xludf.DUMMYFUNCTION("""COMPUTED_VALUE"""),"Épico")</f>
        <v>Épico</v>
      </c>
      <c r="G7" s="12" t="str">
        <f>IFERROR(__xludf.DUMMYFUNCTION("""COMPUTED_VALUE"""),"Aumenta a taxa de sobrevivência de membros masculinos do grupo em 5%")</f>
        <v>Aumenta a taxa de sobrevivência de membros masculinos do grupo em 5%</v>
      </c>
      <c r="H7" s="9" t="b">
        <f>IFERROR(__xludf.DUMMYFUNCTION("""COMPUTED_VALUE"""),TRUE)</f>
        <v>1</v>
      </c>
      <c r="I7" s="10"/>
    </row>
    <row r="8">
      <c r="A8" s="1"/>
      <c r="B8" s="1" t="str">
        <f>IFERROR(__xludf.DUMMYFUNCTION("""COMPUTED_VALUE"""),"Dragão sinete")</f>
        <v>Dragão sinete</v>
      </c>
      <c r="C8" s="11" t="str">
        <f>IFERROR(__xludf.DUMMYFUNCTION("""COMPUTED_VALUE"""),"Anel")</f>
        <v>Anel</v>
      </c>
      <c r="D8" s="12">
        <f>IFERROR(__xludf.DUMMYFUNCTION("""COMPUTED_VALUE"""),26.0)</f>
        <v>26</v>
      </c>
      <c r="E8" s="12" t="str">
        <f>IFERROR(__xludf.DUMMYFUNCTION("""COMPUTED_VALUE"""),"Resistente 2")</f>
        <v>Resistente 2</v>
      </c>
      <c r="F8" s="11" t="str">
        <f>IFERROR(__xludf.DUMMYFUNCTION("""COMPUTED_VALUE"""),"Impecável")</f>
        <v>Impecável</v>
      </c>
      <c r="G8" s="12" t="str">
        <f>IFERROR(__xludf.DUMMYFUNCTION("""COMPUTED_VALUE"""),"Obtém pelo menos 50% de experiência quando ferido e a missão é bem sucedida")</f>
        <v>Obtém pelo menos 50% de experiência quando ferido e a missão é bem sucedida</v>
      </c>
      <c r="H8" s="9" t="b">
        <f>IFERROR(__xludf.DUMMYFUNCTION("""COMPUTED_VALUE"""),TRUE)</f>
        <v>1</v>
      </c>
      <c r="I8" s="10"/>
    </row>
    <row r="9">
      <c r="A9" s="1"/>
      <c r="B9" s="1" t="str">
        <f>IFERROR(__xludf.DUMMYFUNCTION("""COMPUTED_VALUE"""),"Anel de reza")</f>
        <v>Anel de reza</v>
      </c>
      <c r="C9" s="11" t="str">
        <f>IFERROR(__xludf.DUMMYFUNCTION("""COMPUTED_VALUE"""),"Anel")</f>
        <v>Anel</v>
      </c>
      <c r="D9" s="12">
        <f>IFERROR(__xludf.DUMMYFUNCTION("""COMPUTED_VALUE"""),27.0)</f>
        <v>27</v>
      </c>
      <c r="E9" s="12" t="str">
        <f>IFERROR(__xludf.DUMMYFUNCTION("""COMPUTED_VALUE"""),"Reviver 1")</f>
        <v>Reviver 1</v>
      </c>
      <c r="F9" s="11" t="str">
        <f>IFERROR(__xludf.DUMMYFUNCTION("""COMPUTED_VALUE"""),"Impecável")</f>
        <v>Impecável</v>
      </c>
      <c r="G9" s="12" t="str">
        <f>IFERROR(__xludf.DUMMYFUNCTION("""COMPUTED_VALUE"""),"Revive um companheiro derrotado 5% das vezes")</f>
        <v>Revive um companheiro derrotado 5% das vezes</v>
      </c>
      <c r="H9" s="9" t="b">
        <f>IFERROR(__xludf.DUMMYFUNCTION("""COMPUTED_VALUE"""),TRUE)</f>
        <v>1</v>
      </c>
      <c r="I9" s="10"/>
    </row>
    <row r="10">
      <c r="A10" s="1"/>
      <c r="B10" s="1" t="str">
        <f>IFERROR(__xludf.DUMMYFUNCTION("""COMPUTED_VALUE"""),"Marca Divina")</f>
        <v>Marca Divina</v>
      </c>
      <c r="C10" s="11" t="str">
        <f>IFERROR(__xludf.DUMMYFUNCTION("""COMPUTED_VALUE"""),"Anel")</f>
        <v>Anel</v>
      </c>
      <c r="D10" s="12">
        <f>IFERROR(__xludf.DUMMYFUNCTION("""COMPUTED_VALUE"""),34.0)</f>
        <v>34</v>
      </c>
      <c r="E10" s="12" t="str">
        <f>IFERROR(__xludf.DUMMYFUNCTION("""COMPUTED_VALUE"""),"Amazona 1")</f>
        <v>Amazona 1</v>
      </c>
      <c r="F10" s="11" t="str">
        <f>IFERROR(__xludf.DUMMYFUNCTION("""COMPUTED_VALUE"""),"Épico")</f>
        <v>Épico</v>
      </c>
      <c r="G10" s="12" t="str">
        <f>IFERROR(__xludf.DUMMYFUNCTION("""COMPUTED_VALUE"""),"Aumenta a taxa de sobrevivência de membros femininos do grupo em 5%")</f>
        <v>Aumenta a taxa de sobrevivência de membros femininos do grupo em 5%</v>
      </c>
      <c r="H10" s="9" t="b">
        <f>IFERROR(__xludf.DUMMYFUNCTION("""COMPUTED_VALUE"""),TRUE)</f>
        <v>1</v>
      </c>
      <c r="I10" s="10"/>
    </row>
    <row r="11">
      <c r="A11" s="1"/>
      <c r="B11" s="1" t="str">
        <f>IFERROR(__xludf.DUMMYFUNCTION("""COMPUTED_VALUE"""),"Anel real")</f>
        <v>Anel real</v>
      </c>
      <c r="C11" s="11" t="str">
        <f>IFERROR(__xludf.DUMMYFUNCTION("""COMPUTED_VALUE"""),"Anel")</f>
        <v>Anel</v>
      </c>
      <c r="D11" s="12">
        <f>IFERROR(__xludf.DUMMYFUNCTION("""COMPUTED_VALUE"""),36.0)</f>
        <v>36</v>
      </c>
      <c r="E11" s="12" t="str">
        <f>IFERROR(__xludf.DUMMYFUNCTION("""COMPUTED_VALUE"""),"Líder 1")</f>
        <v>Líder 1</v>
      </c>
      <c r="F11" s="11" t="str">
        <f>IFERROR(__xludf.DUMMYFUNCTION("""COMPUTED_VALUE"""),"Lendário")</f>
        <v>Lendário</v>
      </c>
      <c r="G11" s="12" t="str">
        <f>IFERROR(__xludf.DUMMYFUNCTION("""COMPUTED_VALUE"""),"Aumenta o número de companheiros em +1")</f>
        <v>Aumenta o número de companheiros em +1</v>
      </c>
      <c r="H11" s="9" t="b">
        <f>IFERROR(__xludf.DUMMYFUNCTION("""COMPUTED_VALUE"""),TRUE)</f>
        <v>1</v>
      </c>
      <c r="I11" s="10"/>
    </row>
    <row r="12">
      <c r="A12" s="1"/>
      <c r="B12" s="1" t="str">
        <f>IFERROR(__xludf.DUMMYFUNCTION("""COMPUTED_VALUE"""),"Oráculo")</f>
        <v>Oráculo</v>
      </c>
      <c r="C12" s="11" t="str">
        <f>IFERROR(__xludf.DUMMYFUNCTION("""COMPUTED_VALUE"""),"Anel")</f>
        <v>Anel</v>
      </c>
      <c r="D12" s="12">
        <f>IFERROR(__xludf.DUMMYFUNCTION("""COMPUTED_VALUE"""),39.0)</f>
        <v>39</v>
      </c>
      <c r="E12" s="12" t="str">
        <f>IFERROR(__xludf.DUMMYFUNCTION("""COMPUTED_VALUE"""),"Reviver 1")</f>
        <v>Reviver 1</v>
      </c>
      <c r="F12" s="11" t="str">
        <f>IFERROR(__xludf.DUMMYFUNCTION("""COMPUTED_VALUE"""),"Lendário")</f>
        <v>Lendário</v>
      </c>
      <c r="G12" s="12" t="str">
        <f>IFERROR(__xludf.DUMMYFUNCTION("""COMPUTED_VALUE"""),"Revive um companheiro derrotado 5% das vezes")</f>
        <v>Revive um companheiro derrotado 5% das vezes</v>
      </c>
      <c r="H12" s="9" t="b">
        <f>IFERROR(__xludf.DUMMYFUNCTION("""COMPUTED_VALUE"""),TRUE)</f>
        <v>1</v>
      </c>
      <c r="I12" s="10"/>
    </row>
    <row r="13">
      <c r="A13" s="1"/>
      <c r="B13" s="1" t="str">
        <f>IFERROR(__xludf.DUMMYFUNCTION("""COMPUTED_VALUE"""),"Anel Místico")</f>
        <v>Anel Místico</v>
      </c>
      <c r="C13" s="11" t="str">
        <f>IFERROR(__xludf.DUMMYFUNCTION("""COMPUTED_VALUE"""),"Anel")</f>
        <v>Anel</v>
      </c>
      <c r="D13" s="12">
        <f>IFERROR(__xludf.DUMMYFUNCTION("""COMPUTED_VALUE"""),40.0)</f>
        <v>40</v>
      </c>
      <c r="E13" s="12" t="str">
        <f>IFERROR(__xludf.DUMMYFUNCTION("""COMPUTED_VALUE"""),"Curandeiro 2")</f>
        <v>Curandeiro 2</v>
      </c>
      <c r="F13" s="11" t="str">
        <f>IFERROR(__xludf.DUMMYFUNCTION("""COMPUTED_VALUE"""),"Lendário")</f>
        <v>Lendário</v>
      </c>
      <c r="G13" s="12" t="str">
        <f>IFERROR(__xludf.DUMMYFUNCTION("""COMPUTED_VALUE"""),"Reduz o tempo de cura de companheiros em 25%")</f>
        <v>Reduz o tempo de cura de companheiros em 25%</v>
      </c>
      <c r="H13" s="9" t="b">
        <f>IFERROR(__xludf.DUMMYFUNCTION("""COMPUTED_VALUE"""),TRUE)</f>
        <v>1</v>
      </c>
      <c r="I13" s="10"/>
    </row>
    <row r="14">
      <c r="A14" s="1"/>
      <c r="B14" s="1" t="str">
        <f>IFERROR(__xludf.DUMMYFUNCTION("""COMPUTED_VALUE"""),"Anel Grotesco")</f>
        <v>Anel Grotesco</v>
      </c>
      <c r="C14" s="11" t="str">
        <f>IFERROR(__xludf.DUMMYFUNCTION("""COMPUTED_VALUE"""),"Anel")</f>
        <v>Anel</v>
      </c>
      <c r="D14" s="12">
        <f>IFERROR(__xludf.DUMMYFUNCTION("""COMPUTED_VALUE"""),43.0)</f>
        <v>43</v>
      </c>
      <c r="E14" s="12" t="str">
        <f>IFERROR(__xludf.DUMMYFUNCTION("""COMPUTED_VALUE"""),"Detectar segredo")</f>
        <v>Detectar segredo</v>
      </c>
      <c r="F14" s="11" t="str">
        <f>IFERROR(__xludf.DUMMYFUNCTION("""COMPUTED_VALUE"""),"Épico")</f>
        <v>Épico</v>
      </c>
      <c r="G14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14" s="9" t="b">
        <f>IFERROR(__xludf.DUMMYFUNCTION("""COMPUTED_VALUE"""),TRUE)</f>
        <v>1</v>
      </c>
      <c r="I14" s="10"/>
    </row>
    <row r="15">
      <c r="A15" s="1"/>
      <c r="B15" s="1" t="str">
        <f>IFERROR(__xludf.DUMMYFUNCTION("""COMPUTED_VALUE"""),"Anel Azulado")</f>
        <v>Anel Azulado</v>
      </c>
      <c r="C15" s="11" t="str">
        <f>IFERROR(__xludf.DUMMYFUNCTION("""COMPUTED_VALUE"""),"Anel")</f>
        <v>Anel</v>
      </c>
      <c r="D15" s="12">
        <f>IFERROR(__xludf.DUMMYFUNCTION("""COMPUTED_VALUE"""),45.0)</f>
        <v>45</v>
      </c>
      <c r="E15" s="12" t="str">
        <f>IFERROR(__xludf.DUMMYFUNCTION("""COMPUTED_VALUE"""),"Revide")</f>
        <v>Revide</v>
      </c>
      <c r="F15" s="11" t="str">
        <f>IFERROR(__xludf.DUMMYFUNCTION("""COMPUTED_VALUE"""),"Lendário")</f>
        <v>Lendário</v>
      </c>
      <c r="G15" s="12" t="str">
        <f>IFERROR(__xludf.DUMMYFUNCTION("""COMPUTED_VALUE"""),"Aumenta a força do equipamento em 20%")</f>
        <v>Aumenta a força do equipamento em 20%</v>
      </c>
      <c r="H15" s="9" t="b">
        <f>IFERROR(__xludf.DUMMYFUNCTION("""COMPUTED_VALUE"""),TRUE)</f>
        <v>1</v>
      </c>
      <c r="I15" s="10"/>
    </row>
    <row r="16">
      <c r="A16" s="10"/>
      <c r="B16" s="10" t="str">
        <f>IFERROR(__xludf.DUMMYFUNCTION("""COMPUTED_VALUE"""),"Anel de casamento")</f>
        <v>Anel de casamento</v>
      </c>
      <c r="C16" s="11" t="str">
        <f>IFERROR(__xludf.DUMMYFUNCTION("""COMPUTED_VALUE"""),"Anel")</f>
        <v>Anel</v>
      </c>
      <c r="D16" s="12">
        <f>IFERROR(__xludf.DUMMYFUNCTION("""COMPUTED_VALUE"""),46.0)</f>
        <v>46</v>
      </c>
      <c r="E16" s="12" t="str">
        <f>IFERROR(__xludf.DUMMYFUNCTION("""COMPUTED_VALUE"""),"Protetor 2")</f>
        <v>Protetor 2</v>
      </c>
      <c r="F16" s="11" t="str">
        <f>IFERROR(__xludf.DUMMYFUNCTION("""COMPUTED_VALUE"""),"Lendário")</f>
        <v>Lendário</v>
      </c>
      <c r="G16" s="12" t="str">
        <f>IFERROR(__xludf.DUMMYFUNCTION("""COMPUTED_VALUE"""),"Aumenta a taxa de sobrevivência do grupo em 5%")</f>
        <v>Aumenta a taxa de sobrevivência do grupo em 5%</v>
      </c>
      <c r="H16" s="9" t="b">
        <f>IFERROR(__xludf.DUMMYFUNCTION("""COMPUTED_VALUE"""),TRUE)</f>
        <v>1</v>
      </c>
      <c r="I16" s="10"/>
    </row>
    <row r="17">
      <c r="A17" s="10"/>
      <c r="B17" s="10" t="str">
        <f>IFERROR(__xludf.DUMMYFUNCTION("""COMPUTED_VALUE"""),"Círculo de antimagia")</f>
        <v>Círculo de antimagia</v>
      </c>
      <c r="C17" s="11" t="str">
        <f>IFERROR(__xludf.DUMMYFUNCTION("""COMPUTED_VALUE"""),"Anel")</f>
        <v>Anel</v>
      </c>
      <c r="D17" s="12">
        <f>IFERROR(__xludf.DUMMYFUNCTION("""COMPUTED_VALUE"""),50.0)</f>
        <v>50</v>
      </c>
      <c r="E17" s="12" t="str">
        <f>IFERROR(__xludf.DUMMYFUNCTION("""COMPUTED_VALUE"""),"Armadura do Mago")</f>
        <v>Armadura do Mago</v>
      </c>
      <c r="F17" s="11" t="str">
        <f>IFERROR(__xludf.DUMMYFUNCTION("""COMPUTED_VALUE"""),"Épico")</f>
        <v>Épico</v>
      </c>
      <c r="G17" s="12" t="str">
        <f>IFERROR(__xludf.DUMMYFUNCTION("""COMPUTED_VALUE"""),"Aumenta a força do equipamento em 25%")</f>
        <v>Aumenta a força do equipamento em 25%</v>
      </c>
      <c r="H17" s="9" t="b">
        <f>IFERROR(__xludf.DUMMYFUNCTION("""COMPUTED_VALUE"""),TRUE)</f>
        <v>1</v>
      </c>
      <c r="I17" s="10"/>
    </row>
    <row r="18">
      <c r="A18" s="10"/>
      <c r="B18" s="10" t="str">
        <f>IFERROR(__xludf.DUMMYFUNCTION("""COMPUTED_VALUE"""),"Anel de Midas")</f>
        <v>Anel de Midas</v>
      </c>
      <c r="C18" s="11" t="str">
        <f>IFERROR(__xludf.DUMMYFUNCTION("""COMPUTED_VALUE"""),"Anel")</f>
        <v>Anel</v>
      </c>
      <c r="D18" s="12">
        <f>IFERROR(__xludf.DUMMYFUNCTION("""COMPUTED_VALUE"""),53.0)</f>
        <v>53</v>
      </c>
      <c r="E18" s="12" t="str">
        <f>IFERROR(__xludf.DUMMYFUNCTION("""COMPUTED_VALUE"""),"Ganancioso 3")</f>
        <v>Ganancioso 3</v>
      </c>
      <c r="F18" s="11" t="str">
        <f>IFERROR(__xludf.DUMMYFUNCTION("""COMPUTED_VALUE"""),"Mítico")</f>
        <v>Mítico</v>
      </c>
      <c r="G18" s="12" t="str">
        <f>IFERROR(__xludf.DUMMYFUNCTION("""COMPUTED_VALUE"""),"Encontra mais 200% de ouro durante as missões")</f>
        <v>Encontra mais 200% de ouro durante as missões</v>
      </c>
      <c r="H18" s="9" t="b">
        <f>IFERROR(__xludf.DUMMYFUNCTION("""COMPUTED_VALUE"""),TRUE)</f>
        <v>1</v>
      </c>
      <c r="I18" s="10"/>
    </row>
    <row r="19">
      <c r="A19" s="10"/>
      <c r="B19" s="10" t="str">
        <f>IFERROR(__xludf.DUMMYFUNCTION("""COMPUTED_VALUE"""),"Anel do Conhecimento")</f>
        <v>Anel do Conhecimento</v>
      </c>
      <c r="C19" s="11" t="str">
        <f>IFERROR(__xludf.DUMMYFUNCTION("""COMPUTED_VALUE"""),"Anel")</f>
        <v>Anel</v>
      </c>
      <c r="D19" s="12">
        <f>IFERROR(__xludf.DUMMYFUNCTION("""COMPUTED_VALUE"""),58.0)</f>
        <v>58</v>
      </c>
      <c r="E19" s="12" t="str">
        <f>IFERROR(__xludf.DUMMYFUNCTION("""COMPUTED_VALUE"""),"Encontrar mágica")</f>
        <v>Encontrar mágica</v>
      </c>
      <c r="F19" s="11" t="str">
        <f>IFERROR(__xludf.DUMMYFUNCTION("""COMPUTED_VALUE"""),"Mítico")</f>
        <v>Mítico</v>
      </c>
      <c r="G19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19" s="9" t="b">
        <f>IFERROR(__xludf.DUMMYFUNCTION("""COMPUTED_VALUE"""),TRUE)</f>
        <v>1</v>
      </c>
      <c r="I19" s="10"/>
    </row>
    <row r="20">
      <c r="A20" s="10"/>
      <c r="B20" s="10" t="str">
        <f>IFERROR(__xludf.DUMMYFUNCTION("""COMPUTED_VALUE"""),"Poedor do Sol")</f>
        <v>Poedor do Sol</v>
      </c>
      <c r="C20" s="11" t="str">
        <f>IFERROR(__xludf.DUMMYFUNCTION("""COMPUTED_VALUE"""),"Arco")</f>
        <v>Arco</v>
      </c>
      <c r="D20" s="12">
        <f>IFERROR(__xludf.DUMMYFUNCTION("""COMPUTED_VALUE"""),6.0)</f>
        <v>6</v>
      </c>
      <c r="E20" s="12" t="str">
        <f>IFERROR(__xludf.DUMMYFUNCTION("""COMPUTED_VALUE"""),"Velocista 1")</f>
        <v>Velocista 1</v>
      </c>
      <c r="F20" s="11" t="str">
        <f>IFERROR(__xludf.DUMMYFUNCTION("""COMPUTED_VALUE"""),"Lendário")</f>
        <v>Lendário</v>
      </c>
      <c r="G20" s="12" t="str">
        <f>IFERROR(__xludf.DUMMYFUNCTION("""COMPUTED_VALUE"""),"Reduz a duração da missão em 10%")</f>
        <v>Reduz a duração da missão em 10%</v>
      </c>
      <c r="H20" s="9" t="b">
        <f>IFERROR(__xludf.DUMMYFUNCTION("""COMPUTED_VALUE"""),TRUE)</f>
        <v>1</v>
      </c>
      <c r="I20" s="10"/>
    </row>
    <row r="21">
      <c r="A21" s="10"/>
      <c r="B21" s="10" t="str">
        <f>IFERROR(__xludf.DUMMYFUNCTION("""COMPUTED_VALUE"""),"Olho de falcão")</f>
        <v>Olho de falcão</v>
      </c>
      <c r="C21" s="11" t="str">
        <f>IFERROR(__xludf.DUMMYFUNCTION("""COMPUTED_VALUE"""),"Arco")</f>
        <v>Arco</v>
      </c>
      <c r="D21" s="12">
        <f>IFERROR(__xludf.DUMMYFUNCTION("""COMPUTED_VALUE"""),8.0)</f>
        <v>8</v>
      </c>
      <c r="E21" s="12" t="str">
        <f>IFERROR(__xludf.DUMMYFUNCTION("""COMPUTED_VALUE"""),"Energético 1")</f>
        <v>Energético 1</v>
      </c>
      <c r="F21" s="11" t="str">
        <f>IFERROR(__xludf.DUMMYFUNCTION("""COMPUTED_VALUE"""),"Impecável")</f>
        <v>Impecável</v>
      </c>
      <c r="G21" s="12" t="str">
        <f>IFERROR(__xludf.DUMMYFUNCTION("""COMPUTED_VALUE"""),"Reduz o tempo de espera depois da missão em 50%")</f>
        <v>Reduz o tempo de espera depois da missão em 50%</v>
      </c>
      <c r="H21" s="9" t="b">
        <f>IFERROR(__xludf.DUMMYFUNCTION("""COMPUTED_VALUE"""),TRUE)</f>
        <v>1</v>
      </c>
      <c r="I21" s="10"/>
    </row>
    <row r="22">
      <c r="A22" s="10"/>
      <c r="B22" s="10" t="str">
        <f>IFERROR(__xludf.DUMMYFUNCTION("""COMPUTED_VALUE"""),"Autocarregador")</f>
        <v>Autocarregador</v>
      </c>
      <c r="C22" s="11" t="str">
        <f>IFERROR(__xludf.DUMMYFUNCTION("""COMPUTED_VALUE"""),"Arco")</f>
        <v>Arco</v>
      </c>
      <c r="D22" s="12">
        <f>IFERROR(__xludf.DUMMYFUNCTION("""COMPUTED_VALUE"""),18.0)</f>
        <v>18</v>
      </c>
      <c r="E22" s="12" t="str">
        <f>IFERROR(__xludf.DUMMYFUNCTION("""COMPUTED_VALUE"""),"Sortudo 1")</f>
        <v>Sortudo 1</v>
      </c>
      <c r="F22" s="11" t="str">
        <f>IFERROR(__xludf.DUMMYFUNCTION("""COMPUTED_VALUE"""),"Impecável")</f>
        <v>Impecável</v>
      </c>
      <c r="G22" s="12" t="str">
        <f>IFERROR(__xludf.DUMMYFUNCTION("""COMPUTED_VALUE"""),"Evita ferimentos 10% das vezes")</f>
        <v>Evita ferimentos 10% das vezes</v>
      </c>
      <c r="H22" s="9" t="b">
        <f>IFERROR(__xludf.DUMMYFUNCTION("""COMPUTED_VALUE"""),TRUE)</f>
        <v>1</v>
      </c>
      <c r="I22" s="10"/>
    </row>
    <row r="23">
      <c r="A23" s="10"/>
      <c r="B23" s="10" t="str">
        <f>IFERROR(__xludf.DUMMYFUNCTION("""COMPUTED_VALUE"""),"Olho de águia")</f>
        <v>Olho de águia</v>
      </c>
      <c r="C23" s="11" t="str">
        <f>IFERROR(__xludf.DUMMYFUNCTION("""COMPUTED_VALUE"""),"Arco")</f>
        <v>Arco</v>
      </c>
      <c r="D23" s="12">
        <f>IFERROR(__xludf.DUMMYFUNCTION("""COMPUTED_VALUE"""),21.0)</f>
        <v>21</v>
      </c>
      <c r="E23" s="12" t="str">
        <f>IFERROR(__xludf.DUMMYFUNCTION("""COMPUTED_VALUE"""),"Cuidadoso 1")</f>
        <v>Cuidadoso 1</v>
      </c>
      <c r="F23" s="11" t="str">
        <f>IFERROR(__xludf.DUMMYFUNCTION("""COMPUTED_VALUE"""),"Épico")</f>
        <v>Épico</v>
      </c>
      <c r="G23" s="12" t="str">
        <f>IFERROR(__xludf.DUMMYFUNCTION("""COMPUTED_VALUE"""),"Diminui a chance de quebra de equipamento em 15% das vezes")</f>
        <v>Diminui a chance de quebra de equipamento em 15% das vezes</v>
      </c>
      <c r="H23" s="9" t="b">
        <f>IFERROR(__xludf.DUMMYFUNCTION("""COMPUTED_VALUE"""),TRUE)</f>
        <v>1</v>
      </c>
      <c r="I23" s="10"/>
    </row>
    <row r="24">
      <c r="A24" s="10"/>
      <c r="B24" s="10" t="str">
        <f>IFERROR(__xludf.DUMMYFUNCTION("""COMPUTED_VALUE"""),"Evelyn")</f>
        <v>Evelyn</v>
      </c>
      <c r="C24" s="11" t="str">
        <f>IFERROR(__xludf.DUMMYFUNCTION("""COMPUTED_VALUE"""),"Arco")</f>
        <v>Arco</v>
      </c>
      <c r="D24" s="12">
        <f>IFERROR(__xludf.DUMMYFUNCTION("""COMPUTED_VALUE"""),35.0)</f>
        <v>35</v>
      </c>
      <c r="E24" s="12" t="str">
        <f>IFERROR(__xludf.DUMMYFUNCTION("""COMPUTED_VALUE"""),"Caça-tesouros 1")</f>
        <v>Caça-tesouros 1</v>
      </c>
      <c r="F24" s="11" t="str">
        <f>IFERROR(__xludf.DUMMYFUNCTION("""COMPUTED_VALUE"""),"Épico")</f>
        <v>Épico</v>
      </c>
      <c r="G24" s="12" t="str">
        <f>IFERROR(__xludf.DUMMYFUNCTION("""COMPUTED_VALUE"""),"Aumenta o número máximo de artefatos e itens de raid encontrados em +2")</f>
        <v>Aumenta o número máximo de artefatos e itens de raid encontrados em +2</v>
      </c>
      <c r="H24" s="9" t="b">
        <f>IFERROR(__xludf.DUMMYFUNCTION("""COMPUTED_VALUE"""),TRUE)</f>
        <v>1</v>
      </c>
      <c r="I24" s="10"/>
    </row>
    <row r="25">
      <c r="A25" s="10"/>
      <c r="B25" s="10" t="str">
        <f>IFERROR(__xludf.DUMMYFUNCTION("""COMPUTED_VALUE"""),"Olho de dragão")</f>
        <v>Olho de dragão</v>
      </c>
      <c r="C25" s="11" t="str">
        <f>IFERROR(__xludf.DUMMYFUNCTION("""COMPUTED_VALUE"""),"Arco")</f>
        <v>Arco</v>
      </c>
      <c r="D25" s="12">
        <f>IFERROR(__xludf.DUMMYFUNCTION("""COMPUTED_VALUE"""),37.0)</f>
        <v>37</v>
      </c>
      <c r="E25" s="12" t="str">
        <f>IFERROR(__xludf.DUMMYFUNCTION("""COMPUTED_VALUE"""),"Fornecedor 1")</f>
        <v>Fornecedor 1</v>
      </c>
      <c r="F25" s="11" t="str">
        <f>IFERROR(__xludf.DUMMYFUNCTION("""COMPUTED_VALUE"""),"Lendário")</f>
        <v>Lendário</v>
      </c>
      <c r="G25" s="12" t="str">
        <f>IFERROR(__xludf.DUMMYFUNCTION("""COMPUTED_VALUE"""),"Reduz a chance de companheiros quebrarem o equipamento em 5%")</f>
        <v>Reduz a chance de companheiros quebrarem o equipamento em 5%</v>
      </c>
      <c r="H25" s="9" t="b">
        <f>IFERROR(__xludf.DUMMYFUNCTION("""COMPUTED_VALUE"""),TRUE)</f>
        <v>1</v>
      </c>
      <c r="I25" s="10"/>
    </row>
    <row r="26">
      <c r="A26" s="10"/>
      <c r="B26" s="10" t="str">
        <f>IFERROR(__xludf.DUMMYFUNCTION("""COMPUTED_VALUE"""),"Besta de adamantium")</f>
        <v>Besta de adamantium</v>
      </c>
      <c r="C26" s="11" t="str">
        <f>IFERROR(__xludf.DUMMYFUNCTION("""COMPUTED_VALUE"""),"Arco")</f>
        <v>Arco</v>
      </c>
      <c r="D26" s="12">
        <f>IFERROR(__xludf.DUMMYFUNCTION("""COMPUTED_VALUE"""),39.0)</f>
        <v>39</v>
      </c>
      <c r="E26" s="12" t="str">
        <f>IFERROR(__xludf.DUMMYFUNCTION("""COMPUTED_VALUE"""),"Suporte 1")</f>
        <v>Suporte 1</v>
      </c>
      <c r="F26" s="11" t="str">
        <f>IFERROR(__xludf.DUMMYFUNCTION("""COMPUTED_VALUE"""),"Lendário")</f>
        <v>Lendário</v>
      </c>
      <c r="G26" s="12" t="str">
        <f>IFERROR(__xludf.DUMMYFUNCTION("""COMPUTED_VALUE"""),"Impede que o equipamento de um companheiro se quebre 1 vez")</f>
        <v>Impede que o equipamento de um companheiro se quebre 1 vez</v>
      </c>
      <c r="H26" s="9" t="b">
        <f>IFERROR(__xludf.DUMMYFUNCTION("""COMPUTED_VALUE"""),TRUE)</f>
        <v>1</v>
      </c>
      <c r="I26" s="10"/>
    </row>
    <row r="27">
      <c r="A27" s="10"/>
      <c r="B27" s="10" t="str">
        <f>IFERROR(__xludf.DUMMYFUNCTION("""COMPUTED_VALUE"""),"Besta de repetição")</f>
        <v>Besta de repetição</v>
      </c>
      <c r="C27" s="11" t="str">
        <f>IFERROR(__xludf.DUMMYFUNCTION("""COMPUTED_VALUE"""),"Arco")</f>
        <v>Arco</v>
      </c>
      <c r="D27" s="12">
        <f>IFERROR(__xludf.DUMMYFUNCTION("""COMPUTED_VALUE"""),42.0)</f>
        <v>42</v>
      </c>
      <c r="E27" s="12" t="str">
        <f>IFERROR(__xludf.DUMMYFUNCTION("""COMPUTED_VALUE"""),"Berserker")</f>
        <v>Berserker</v>
      </c>
      <c r="F27" s="11" t="str">
        <f>IFERROR(__xludf.DUMMYFUNCTION("""COMPUTED_VALUE"""),"Mítico")</f>
        <v>Mítico</v>
      </c>
      <c r="G27" s="12" t="str">
        <f>IFERROR(__xludf.DUMMYFUNCTION("""COMPUTED_VALUE"""),"Aumenta a força em 35%")</f>
        <v>Aumenta a força em 35%</v>
      </c>
      <c r="H27" s="9" t="b">
        <f>IFERROR(__xludf.DUMMYFUNCTION("""COMPUTED_VALUE"""),TRUE)</f>
        <v>1</v>
      </c>
      <c r="I27" s="10"/>
    </row>
    <row r="28">
      <c r="A28" s="10"/>
      <c r="B28" s="10" t="str">
        <f>IFERROR(__xludf.DUMMYFUNCTION("""COMPUTED_VALUE"""),"Arco dos elfos")</f>
        <v>Arco dos elfos</v>
      </c>
      <c r="C28" s="11" t="str">
        <f>IFERROR(__xludf.DUMMYFUNCTION("""COMPUTED_VALUE"""),"Arco")</f>
        <v>Arco</v>
      </c>
      <c r="D28" s="12">
        <f>IFERROR(__xludf.DUMMYFUNCTION("""COMPUTED_VALUE"""),43.0)</f>
        <v>43</v>
      </c>
      <c r="E28" s="12" t="str">
        <f>IFERROR(__xludf.DUMMYFUNCTION("""COMPUTED_VALUE"""),"Detectar segredo")</f>
        <v>Detectar segredo</v>
      </c>
      <c r="F28" s="11" t="str">
        <f>IFERROR(__xludf.DUMMYFUNCTION("""COMPUTED_VALUE"""),"Mítico")</f>
        <v>Mítico</v>
      </c>
      <c r="G28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28" s="9" t="b">
        <f>IFERROR(__xludf.DUMMYFUNCTION("""COMPUTED_VALUE"""),TRUE)</f>
        <v>1</v>
      </c>
      <c r="I28" s="10"/>
    </row>
    <row r="29">
      <c r="A29" s="10"/>
      <c r="B29" s="10" t="str">
        <f>IFERROR(__xludf.DUMMYFUNCTION("""COMPUTED_VALUE"""),"Arco do deus do sol")</f>
        <v>Arco do deus do sol</v>
      </c>
      <c r="C29" s="11" t="str">
        <f>IFERROR(__xludf.DUMMYFUNCTION("""COMPUTED_VALUE"""),"Arco")</f>
        <v>Arco</v>
      </c>
      <c r="D29" s="12">
        <f>IFERROR(__xludf.DUMMYFUNCTION("""COMPUTED_VALUE"""),45.0)</f>
        <v>45</v>
      </c>
      <c r="E29" s="12" t="str">
        <f>IFERROR(__xludf.DUMMYFUNCTION("""COMPUTED_VALUE"""),"Sábio 1")</f>
        <v>Sábio 1</v>
      </c>
      <c r="F29" s="11" t="str">
        <f>IFERROR(__xludf.DUMMYFUNCTION("""COMPUTED_VALUE"""),"Mítico")</f>
        <v>Mítico</v>
      </c>
      <c r="G29" s="12" t="str">
        <f>IFERROR(__xludf.DUMMYFUNCTION("""COMPUTED_VALUE"""),"25% de bônus de experiência")</f>
        <v>25% de bônus de experiência</v>
      </c>
      <c r="H29" s="9" t="b">
        <f>IFERROR(__xludf.DUMMYFUNCTION("""COMPUTED_VALUE"""),TRUE)</f>
        <v>1</v>
      </c>
      <c r="I29" s="10"/>
    </row>
    <row r="30">
      <c r="A30" s="10"/>
      <c r="B30" s="10" t="str">
        <f>IFERROR(__xludf.DUMMYFUNCTION("""COMPUTED_VALUE"""),"Fura-Vento")</f>
        <v>Fura-Vento</v>
      </c>
      <c r="C30" s="11" t="str">
        <f>IFERROR(__xludf.DUMMYFUNCTION("""COMPUTED_VALUE"""),"Arco")</f>
        <v>Arco</v>
      </c>
      <c r="D30" s="12">
        <f>IFERROR(__xludf.DUMMYFUNCTION("""COMPUTED_VALUE"""),48.0)</f>
        <v>48</v>
      </c>
      <c r="E30" s="12" t="str">
        <f>IFERROR(__xludf.DUMMYFUNCTION("""COMPUTED_VALUE"""),"Gangster 2")</f>
        <v>Gangster 2</v>
      </c>
      <c r="F30" s="11" t="str">
        <f>IFERROR(__xludf.DUMMYFUNCTION("""COMPUTED_VALUE"""),"Lendário")</f>
        <v>Lendário</v>
      </c>
      <c r="G30" s="12" t="str">
        <f>IFERROR(__xludf.DUMMYFUNCTION("""COMPUTED_VALUE"""),"Aumenta a força do equipamento em 25%")</f>
        <v>Aumenta a força do equipamento em 25%</v>
      </c>
      <c r="H30" s="9" t="b">
        <f>IFERROR(__xludf.DUMMYFUNCTION("""COMPUTED_VALUE"""),TRUE)</f>
        <v>1</v>
      </c>
      <c r="I30" s="10"/>
    </row>
    <row r="31">
      <c r="A31" s="10"/>
      <c r="B31" s="10" t="str">
        <f>IFERROR(__xludf.DUMMYFUNCTION("""COMPUTED_VALUE"""),"Assassino licantropo")</f>
        <v>Assassino licantropo</v>
      </c>
      <c r="C31" s="11" t="str">
        <f>IFERROR(__xludf.DUMMYFUNCTION("""COMPUTED_VALUE"""),"Arco")</f>
        <v>Arco</v>
      </c>
      <c r="D31" s="12">
        <f>IFERROR(__xludf.DUMMYFUNCTION("""COMPUTED_VALUE"""),50.0)</f>
        <v>50</v>
      </c>
      <c r="E31" s="12" t="str">
        <f>IFERROR(__xludf.DUMMYFUNCTION("""COMPUTED_VALUE"""),"Detectar segredo")</f>
        <v>Detectar segredo</v>
      </c>
      <c r="F31" s="11" t="str">
        <f>IFERROR(__xludf.DUMMYFUNCTION("""COMPUTED_VALUE"""),"Mítico")</f>
        <v>Mítico</v>
      </c>
      <c r="G31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31" s="9" t="b">
        <f>IFERROR(__xludf.DUMMYFUNCTION("""COMPUTED_VALUE"""),TRUE)</f>
        <v>1</v>
      </c>
      <c r="I31" s="10"/>
    </row>
    <row r="32">
      <c r="A32" s="10"/>
      <c r="B32" s="10" t="str">
        <f>IFERROR(__xludf.DUMMYFUNCTION("""COMPUTED_VALUE"""),"Arco de Artemisa")</f>
        <v>Arco de Artemisa</v>
      </c>
      <c r="C32" s="11" t="str">
        <f>IFERROR(__xludf.DUMMYFUNCTION("""COMPUTED_VALUE"""),"Arco")</f>
        <v>Arco</v>
      </c>
      <c r="D32" s="12">
        <f>IFERROR(__xludf.DUMMYFUNCTION("""COMPUTED_VALUE"""),54.0)</f>
        <v>54</v>
      </c>
      <c r="E32" s="12" t="str">
        <f>IFERROR(__xludf.DUMMYFUNCTION("""COMPUTED_VALUE"""),"Engenhoso 2")</f>
        <v>Engenhoso 2</v>
      </c>
      <c r="F32" s="11" t="str">
        <f>IFERROR(__xludf.DUMMYFUNCTION("""COMPUTED_VALUE"""),"Mítico")</f>
        <v>Mítico</v>
      </c>
      <c r="G32" s="12" t="str">
        <f>IFERROR(__xludf.DUMMYFUNCTION("""COMPUTED_VALUE"""),"Impede que 2 peças de equipamento se quebre durante a missão")</f>
        <v>Impede que 2 peças de equipamento se quebre durante a missão</v>
      </c>
      <c r="H32" s="9" t="b">
        <f>IFERROR(__xludf.DUMMYFUNCTION("""COMPUTED_VALUE"""),TRUE)</f>
        <v>1</v>
      </c>
      <c r="I32" s="10"/>
    </row>
    <row r="33">
      <c r="A33" s="10"/>
      <c r="B33" s="10" t="str">
        <f>IFERROR(__xludf.DUMMYFUNCTION("""COMPUTED_VALUE"""),"Meteoros")</f>
        <v>Meteoros</v>
      </c>
      <c r="C33" s="11" t="str">
        <f>IFERROR(__xludf.DUMMYFUNCTION("""COMPUTED_VALUE"""),"Arco")</f>
        <v>Arco</v>
      </c>
      <c r="D33" s="12">
        <f>IFERROR(__xludf.DUMMYFUNCTION("""COMPUTED_VALUE"""),55.0)</f>
        <v>55</v>
      </c>
      <c r="E33" s="12" t="str">
        <f>IFERROR(__xludf.DUMMYFUNCTION("""COMPUTED_VALUE"""),"Caça-tesouros 3")</f>
        <v>Caça-tesouros 3</v>
      </c>
      <c r="F33" s="11" t="str">
        <f>IFERROR(__xludf.DUMMYFUNCTION("""COMPUTED_VALUE"""),"Épico")</f>
        <v>Épico</v>
      </c>
      <c r="G33" s="12" t="str">
        <f>IFERROR(__xludf.DUMMYFUNCTION("""COMPUTED_VALUE"""),"Aumenta o número máximo de artefatos e itens de raid encontrados em +6")</f>
        <v>Aumenta o número máximo de artefatos e itens de raid encontrados em +6</v>
      </c>
      <c r="H33" s="9" t="b">
        <f>IFERROR(__xludf.DUMMYFUNCTION("""COMPUTED_VALUE"""),TRUE)</f>
        <v>1</v>
      </c>
      <c r="I33" s="10"/>
    </row>
    <row r="34">
      <c r="A34" s="10"/>
      <c r="B34" s="10" t="str">
        <f>IFERROR(__xludf.DUMMYFUNCTION("""COMPUTED_VALUE"""),"Fúria da Natureza")</f>
        <v>Fúria da Natureza</v>
      </c>
      <c r="C34" s="11" t="str">
        <f>IFERROR(__xludf.DUMMYFUNCTION("""COMPUTED_VALUE"""),"Arco")</f>
        <v>Arco</v>
      </c>
      <c r="D34" s="12">
        <f>IFERROR(__xludf.DUMMYFUNCTION("""COMPUTED_VALUE"""),56.0)</f>
        <v>56</v>
      </c>
      <c r="E34" s="12" t="str">
        <f>IFERROR(__xludf.DUMMYFUNCTION("""COMPUTED_VALUE"""),"Energético 3")</f>
        <v>Energético 3</v>
      </c>
      <c r="F34" s="11" t="str">
        <f>IFERROR(__xludf.DUMMYFUNCTION("""COMPUTED_VALUE"""),"Épico")</f>
        <v>Épico</v>
      </c>
      <c r="G34" s="12" t="str">
        <f>IFERROR(__xludf.DUMMYFUNCTION("""COMPUTED_VALUE"""),"Reduz o tempo de espera depois da missão em 100%")</f>
        <v>Reduz o tempo de espera depois da missão em 100%</v>
      </c>
      <c r="H34" s="9" t="b">
        <f>IFERROR(__xludf.DUMMYFUNCTION("""COMPUTED_VALUE"""),TRUE)</f>
        <v>1</v>
      </c>
      <c r="I34" s="10"/>
    </row>
    <row r="35">
      <c r="A35" s="10"/>
      <c r="B35" s="10" t="str">
        <f>IFERROR(__xludf.DUMMYFUNCTION("""COMPUTED_VALUE"""),"Armadura Lunar")</f>
        <v>Armadura Lunar</v>
      </c>
      <c r="C35" s="11" t="str">
        <f>IFERROR(__xludf.DUMMYFUNCTION("""COMPUTED_VALUE"""),"Armadura")</f>
        <v>Armadura</v>
      </c>
      <c r="D35" s="12">
        <f>IFERROR(__xludf.DUMMYFUNCTION("""COMPUTED_VALUE"""),10.0)</f>
        <v>10</v>
      </c>
      <c r="E35" s="12" t="str">
        <f>IFERROR(__xludf.DUMMYFUNCTION("""COMPUTED_VALUE"""),"Caça-tesouros 1")</f>
        <v>Caça-tesouros 1</v>
      </c>
      <c r="F35" s="11" t="str">
        <f>IFERROR(__xludf.DUMMYFUNCTION("""COMPUTED_VALUE"""),"Impecável")</f>
        <v>Impecável</v>
      </c>
      <c r="G35" s="12" t="str">
        <f>IFERROR(__xludf.DUMMYFUNCTION("""COMPUTED_VALUE"""),"Aumenta o número máximo de artefatos e itens de raid encontrados em +2")</f>
        <v>Aumenta o número máximo de artefatos e itens de raid encontrados em +2</v>
      </c>
      <c r="H35" s="9" t="b">
        <f>IFERROR(__xludf.DUMMYFUNCTION("""COMPUTED_VALUE"""),TRUE)</f>
        <v>1</v>
      </c>
      <c r="I35" s="10"/>
    </row>
    <row r="36">
      <c r="A36" s="10"/>
      <c r="B36" s="10" t="str">
        <f>IFERROR(__xludf.DUMMYFUNCTION("""COMPUTED_VALUE"""),"Armadura Nobre")</f>
        <v>Armadura Nobre</v>
      </c>
      <c r="C36" s="11" t="str">
        <f>IFERROR(__xludf.DUMMYFUNCTION("""COMPUTED_VALUE"""),"Armadura")</f>
        <v>Armadura</v>
      </c>
      <c r="D36" s="12">
        <f>IFERROR(__xludf.DUMMYFUNCTION("""COMPUTED_VALUE"""),18.0)</f>
        <v>18</v>
      </c>
      <c r="E36" s="12" t="str">
        <f>IFERROR(__xludf.DUMMYFUNCTION("""COMPUTED_VALUE"""),"Suporte 1")</f>
        <v>Suporte 1</v>
      </c>
      <c r="F36" s="11" t="str">
        <f>IFERROR(__xludf.DUMMYFUNCTION("""COMPUTED_VALUE"""),"Impecável")</f>
        <v>Impecável</v>
      </c>
      <c r="G36" s="12" t="str">
        <f>IFERROR(__xludf.DUMMYFUNCTION("""COMPUTED_VALUE"""),"Impede que o equipamento de um companheiro se quebre 1 vez")</f>
        <v>Impede que o equipamento de um companheiro se quebre 1 vez</v>
      </c>
      <c r="H36" s="9" t="b">
        <f>IFERROR(__xludf.DUMMYFUNCTION("""COMPUTED_VALUE"""),TRUE)</f>
        <v>1</v>
      </c>
      <c r="I36" s="10"/>
    </row>
    <row r="37">
      <c r="A37" s="10"/>
      <c r="B37" s="10" t="str">
        <f>IFERROR(__xludf.DUMMYFUNCTION("""COMPUTED_VALUE"""),"Correio de Honra")</f>
        <v>Correio de Honra</v>
      </c>
      <c r="C37" s="11" t="str">
        <f>IFERROR(__xludf.DUMMYFUNCTION("""COMPUTED_VALUE"""),"Armadura")</f>
        <v>Armadura</v>
      </c>
      <c r="D37" s="12">
        <f>IFERROR(__xludf.DUMMYFUNCTION("""COMPUTED_VALUE"""),24.0)</f>
        <v>24</v>
      </c>
      <c r="E37" s="12" t="str">
        <f>IFERROR(__xludf.DUMMYFUNCTION("""COMPUTED_VALUE"""),"Reviver 2")</f>
        <v>Reviver 2</v>
      </c>
      <c r="F37" s="11" t="str">
        <f>IFERROR(__xludf.DUMMYFUNCTION("""COMPUTED_VALUE"""),"Lendário")</f>
        <v>Lendário</v>
      </c>
      <c r="G37" s="12" t="str">
        <f>IFERROR(__xludf.DUMMYFUNCTION("""COMPUTED_VALUE"""),"Revive um companheiro derrotado 10% das vezes")</f>
        <v>Revive um companheiro derrotado 10% das vezes</v>
      </c>
      <c r="H37" s="9" t="b">
        <f>IFERROR(__xludf.DUMMYFUNCTION("""COMPUTED_VALUE"""),TRUE)</f>
        <v>1</v>
      </c>
      <c r="I37" s="10"/>
    </row>
    <row r="38">
      <c r="A38" s="10"/>
      <c r="B38" s="10" t="str">
        <f>IFERROR(__xludf.DUMMYFUNCTION("""COMPUTED_VALUE"""),"Armadura do Caos")</f>
        <v>Armadura do Caos</v>
      </c>
      <c r="C38" s="11" t="str">
        <f>IFERROR(__xludf.DUMMYFUNCTION("""COMPUTED_VALUE"""),"Armadura")</f>
        <v>Armadura</v>
      </c>
      <c r="D38" s="12">
        <f>IFERROR(__xludf.DUMMYFUNCTION("""COMPUTED_VALUE"""),25.0)</f>
        <v>25</v>
      </c>
      <c r="E38" s="12" t="str">
        <f>IFERROR(__xludf.DUMMYFUNCTION("""COMPUTED_VALUE"""),"Resistente 1")</f>
        <v>Resistente 1</v>
      </c>
      <c r="F38" s="11" t="str">
        <f>IFERROR(__xludf.DUMMYFUNCTION("""COMPUTED_VALUE"""),"Épico")</f>
        <v>Épico</v>
      </c>
      <c r="G38" s="12" t="str">
        <f>IFERROR(__xludf.DUMMYFUNCTION("""COMPUTED_VALUE"""),"Obtém pelo menos 25% de experiência quando ferido e a missão é bem sucedida")</f>
        <v>Obtém pelo menos 25% de experiência quando ferido e a missão é bem sucedida</v>
      </c>
      <c r="H38" s="9" t="b">
        <f>IFERROR(__xludf.DUMMYFUNCTION("""COMPUTED_VALUE"""),TRUE)</f>
        <v>1</v>
      </c>
      <c r="I38" s="10"/>
    </row>
    <row r="39">
      <c r="A39" s="10"/>
      <c r="B39" s="10" t="str">
        <f>IFERROR(__xludf.DUMMYFUNCTION("""COMPUTED_VALUE"""),"Malha Eldritch")</f>
        <v>Malha Eldritch</v>
      </c>
      <c r="C39" s="11" t="str">
        <f>IFERROR(__xludf.DUMMYFUNCTION("""COMPUTED_VALUE"""),"Armadura")</f>
        <v>Armadura</v>
      </c>
      <c r="D39" s="12">
        <f>IFERROR(__xludf.DUMMYFUNCTION("""COMPUTED_VALUE"""),35.0)</f>
        <v>35</v>
      </c>
      <c r="E39" s="12" t="str">
        <f>IFERROR(__xludf.DUMMYFUNCTION("""COMPUTED_VALUE"""),"Sortudo 1")</f>
        <v>Sortudo 1</v>
      </c>
      <c r="F39" s="11" t="str">
        <f>IFERROR(__xludf.DUMMYFUNCTION("""COMPUTED_VALUE"""),"Épico")</f>
        <v>Épico</v>
      </c>
      <c r="G39" s="12" t="str">
        <f>IFERROR(__xludf.DUMMYFUNCTION("""COMPUTED_VALUE"""),"Evita ferimentos 10% das vezes")</f>
        <v>Evita ferimentos 10% das vezes</v>
      </c>
      <c r="H39" s="9" t="b">
        <f>IFERROR(__xludf.DUMMYFUNCTION("""COMPUTED_VALUE"""),TRUE)</f>
        <v>1</v>
      </c>
      <c r="I39" s="10"/>
    </row>
    <row r="40">
      <c r="A40" s="10"/>
      <c r="B40" s="10" t="str">
        <f>IFERROR(__xludf.DUMMYFUNCTION("""COMPUTED_VALUE"""),"Fortaleza de Gaia")</f>
        <v>Fortaleza de Gaia</v>
      </c>
      <c r="C40" s="11" t="str">
        <f>IFERROR(__xludf.DUMMYFUNCTION("""COMPUTED_VALUE"""),"Armadura")</f>
        <v>Armadura</v>
      </c>
      <c r="D40" s="12">
        <f>IFERROR(__xludf.DUMMYFUNCTION("""COMPUTED_VALUE"""),38.0)</f>
        <v>38</v>
      </c>
      <c r="E40" s="12" t="str">
        <f>IFERROR(__xludf.DUMMYFUNCTION("""COMPUTED_VALUE"""),"Comandante 1")</f>
        <v>Comandante 1</v>
      </c>
      <c r="F40" s="11" t="str">
        <f>IFERROR(__xludf.DUMMYFUNCTION("""COMPUTED_VALUE"""),"Lendário")</f>
        <v>Lendário</v>
      </c>
      <c r="G40" s="12" t="str">
        <f>IFERROR(__xludf.DUMMYFUNCTION("""COMPUTED_VALUE"""),"Aumenta a força dos guerreiros do grupo em 15%")</f>
        <v>Aumenta a força dos guerreiros do grupo em 15%</v>
      </c>
      <c r="H40" s="9" t="b">
        <f>IFERROR(__xludf.DUMMYFUNCTION("""COMPUTED_VALUE"""),TRUE)</f>
        <v>1</v>
      </c>
      <c r="I40" s="10"/>
    </row>
    <row r="41">
      <c r="A41" s="10"/>
      <c r="B41" s="10" t="str">
        <f>IFERROR(__xludf.DUMMYFUNCTION("""COMPUTED_VALUE"""),"Armadura Dragônica")</f>
        <v>Armadura Dragônica</v>
      </c>
      <c r="C41" s="11" t="str">
        <f>IFERROR(__xludf.DUMMYFUNCTION("""COMPUTED_VALUE"""),"Armadura")</f>
        <v>Armadura</v>
      </c>
      <c r="D41" s="12">
        <f>IFERROR(__xludf.DUMMYFUNCTION("""COMPUTED_VALUE"""),39.0)</f>
        <v>39</v>
      </c>
      <c r="E41" s="12" t="str">
        <f>IFERROR(__xludf.DUMMYFUNCTION("""COMPUTED_VALUE"""),"Protetor 1")</f>
        <v>Protetor 1</v>
      </c>
      <c r="F41" s="11" t="str">
        <f>IFERROR(__xludf.DUMMYFUNCTION("""COMPUTED_VALUE"""),"Lendário")</f>
        <v>Lendário</v>
      </c>
      <c r="G41" s="12" t="str">
        <f>IFERROR(__xludf.DUMMYFUNCTION("""COMPUTED_VALUE"""),"Aumenta a taxa de sobrevivência do grupo em 2%")</f>
        <v>Aumenta a taxa de sobrevivência do grupo em 2%</v>
      </c>
      <c r="H41" s="9" t="b">
        <f>IFERROR(__xludf.DUMMYFUNCTION("""COMPUTED_VALUE"""),TRUE)</f>
        <v>1</v>
      </c>
      <c r="I41" s="10"/>
    </row>
    <row r="42">
      <c r="A42" s="10"/>
      <c r="B42" s="10" t="str">
        <f>IFERROR(__xludf.DUMMYFUNCTION("""COMPUTED_VALUE"""),"Malha da Terra")</f>
        <v>Malha da Terra</v>
      </c>
      <c r="C42" s="11" t="str">
        <f>IFERROR(__xludf.DUMMYFUNCTION("""COMPUTED_VALUE"""),"Armadura")</f>
        <v>Armadura</v>
      </c>
      <c r="D42" s="12">
        <f>IFERROR(__xludf.DUMMYFUNCTION("""COMPUTED_VALUE"""),46.0)</f>
        <v>46</v>
      </c>
      <c r="E42" s="12" t="str">
        <f>IFERROR(__xludf.DUMMYFUNCTION("""COMPUTED_VALUE"""),"Pele de pedra")</f>
        <v>Pele de pedra</v>
      </c>
      <c r="F42" s="11" t="str">
        <f>IFERROR(__xludf.DUMMYFUNCTION("""COMPUTED_VALUE"""),"Lendário")</f>
        <v>Lendário</v>
      </c>
      <c r="G42" s="12" t="str">
        <f>IFERROR(__xludf.DUMMYFUNCTION("""COMPUTED_VALUE"""),"Aumenta a força em 30%")</f>
        <v>Aumenta a força em 30%</v>
      </c>
      <c r="H42" s="9" t="b">
        <f>IFERROR(__xludf.DUMMYFUNCTION("""COMPUTED_VALUE"""),TRUE)</f>
        <v>1</v>
      </c>
      <c r="I42" s="10"/>
    </row>
    <row r="43">
      <c r="A43" s="10"/>
      <c r="B43" s="10" t="str">
        <f>IFERROR(__xludf.DUMMYFUNCTION("""COMPUTED_VALUE"""),"Armadura do Oráculo")</f>
        <v>Armadura do Oráculo</v>
      </c>
      <c r="C43" s="11" t="str">
        <f>IFERROR(__xludf.DUMMYFUNCTION("""COMPUTED_VALUE"""),"Armadura")</f>
        <v>Armadura</v>
      </c>
      <c r="D43" s="12">
        <f>IFERROR(__xludf.DUMMYFUNCTION("""COMPUTED_VALUE"""),49.0)</f>
        <v>49</v>
      </c>
      <c r="E43" s="12" t="str">
        <f>IFERROR(__xludf.DUMMYFUNCTION("""COMPUTED_VALUE"""),"Armadura do Mago")</f>
        <v>Armadura do Mago</v>
      </c>
      <c r="F43" s="11" t="str">
        <f>IFERROR(__xludf.DUMMYFUNCTION("""COMPUTED_VALUE"""),"Épico")</f>
        <v>Épico</v>
      </c>
      <c r="G43" s="12" t="str">
        <f>IFERROR(__xludf.DUMMYFUNCTION("""COMPUTED_VALUE"""),"Aumenta a força do equipamento em 25%")</f>
        <v>Aumenta a força do equipamento em 25%</v>
      </c>
      <c r="H43" s="9" t="b">
        <f>IFERROR(__xludf.DUMMYFUNCTION("""COMPUTED_VALUE"""),TRUE)</f>
        <v>1</v>
      </c>
      <c r="I43" s="10"/>
    </row>
    <row r="44">
      <c r="A44" s="10"/>
      <c r="B44" s="10" t="str">
        <f>IFERROR(__xludf.DUMMYFUNCTION("""COMPUTED_VALUE"""),"Malha negra")</f>
        <v>Malha negra</v>
      </c>
      <c r="C44" s="11" t="str">
        <f>IFERROR(__xludf.DUMMYFUNCTION("""COMPUTED_VALUE"""),"Armadura")</f>
        <v>Armadura</v>
      </c>
      <c r="D44" s="12">
        <f>IFERROR(__xludf.DUMMYFUNCTION("""COMPUTED_VALUE"""),53.0)</f>
        <v>53</v>
      </c>
      <c r="E44" s="12" t="str">
        <f>IFERROR(__xludf.DUMMYFUNCTION("""COMPUTED_VALUE"""),"Protetor 2")</f>
        <v>Protetor 2</v>
      </c>
      <c r="F44" s="11" t="str">
        <f>IFERROR(__xludf.DUMMYFUNCTION("""COMPUTED_VALUE"""),"Mítico")</f>
        <v>Mítico</v>
      </c>
      <c r="G44" s="12" t="str">
        <f>IFERROR(__xludf.DUMMYFUNCTION("""COMPUTED_VALUE"""),"Aumenta a taxa de sobrevivência do grupo em 5%")</f>
        <v>Aumenta a taxa de sobrevivência do grupo em 5%</v>
      </c>
      <c r="H44" s="9" t="b">
        <f>IFERROR(__xludf.DUMMYFUNCTION("""COMPUTED_VALUE"""),TRUE)</f>
        <v>1</v>
      </c>
      <c r="I44" s="10"/>
    </row>
    <row r="45">
      <c r="A45" s="10"/>
      <c r="B45" s="10" t="str">
        <f>IFERROR(__xludf.DUMMYFUNCTION("""COMPUTED_VALUE"""),"Wyvern Plate")</f>
        <v>Wyvern Plate</v>
      </c>
      <c r="C45" s="11" t="str">
        <f>IFERROR(__xludf.DUMMYFUNCTION("""COMPUTED_VALUE"""),"Armadura")</f>
        <v>Armadura</v>
      </c>
      <c r="D45" s="12">
        <f>IFERROR(__xludf.DUMMYFUNCTION("""COMPUTED_VALUE"""),58.0)</f>
        <v>58</v>
      </c>
      <c r="E45" s="12" t="str">
        <f>IFERROR(__xludf.DUMMYFUNCTION("""COMPUTED_VALUE"""),"Suporte 3")</f>
        <v>Suporte 3</v>
      </c>
      <c r="F45" s="11" t="str">
        <f>IFERROR(__xludf.DUMMYFUNCTION("""COMPUTED_VALUE"""),"Mítico")</f>
        <v>Mítico</v>
      </c>
      <c r="G45" s="12" t="str">
        <f>IFERROR(__xludf.DUMMYFUNCTION("""COMPUTED_VALUE"""),"Impede que o equipamento de um companheiro se quebre 3 vezes")</f>
        <v>Impede que o equipamento de um companheiro se quebre 3 vezes</v>
      </c>
      <c r="H45" s="9" t="b">
        <f>IFERROR(__xludf.DUMMYFUNCTION("""COMPUTED_VALUE"""),TRUE)</f>
        <v>1</v>
      </c>
      <c r="I45" s="10"/>
    </row>
    <row r="46">
      <c r="A46" s="10"/>
      <c r="B46" s="10" t="str">
        <f>IFERROR(__xludf.DUMMYFUNCTION("""COMPUTED_VALUE"""),"Botas da Lua")</f>
        <v>Botas da Lua</v>
      </c>
      <c r="C46" s="11" t="str">
        <f>IFERROR(__xludf.DUMMYFUNCTION("""COMPUTED_VALUE"""),"Botas")</f>
        <v>Botas</v>
      </c>
      <c r="D46" s="12">
        <f>IFERROR(__xludf.DUMMYFUNCTION("""COMPUTED_VALUE"""),9.0)</f>
        <v>9</v>
      </c>
      <c r="E46" s="12" t="str">
        <f>IFERROR(__xludf.DUMMYFUNCTION("""COMPUTED_VALUE"""),"Energético 1")</f>
        <v>Energético 1</v>
      </c>
      <c r="F46" s="11" t="str">
        <f>IFERROR(__xludf.DUMMYFUNCTION("""COMPUTED_VALUE"""),"Impecável")</f>
        <v>Impecável</v>
      </c>
      <c r="G46" s="12" t="str">
        <f>IFERROR(__xludf.DUMMYFUNCTION("""COMPUTED_VALUE"""),"Reduz o tempo de espera depois da missão em 50%")</f>
        <v>Reduz o tempo de espera depois da missão em 50%</v>
      </c>
      <c r="H46" s="9" t="b">
        <f>IFERROR(__xludf.DUMMYFUNCTION("""COMPUTED_VALUE"""),TRUE)</f>
        <v>1</v>
      </c>
      <c r="I46" s="10"/>
    </row>
    <row r="47">
      <c r="A47" s="10"/>
      <c r="B47" s="10" t="str">
        <f>IFERROR(__xludf.DUMMYFUNCTION("""COMPUTED_VALUE"""),"Botas do leão")</f>
        <v>Botas do leão</v>
      </c>
      <c r="C47" s="11" t="str">
        <f>IFERROR(__xludf.DUMMYFUNCTION("""COMPUTED_VALUE"""),"Botas")</f>
        <v>Botas</v>
      </c>
      <c r="D47" s="12">
        <f>IFERROR(__xludf.DUMMYFUNCTION("""COMPUTED_VALUE"""),12.0)</f>
        <v>12</v>
      </c>
      <c r="E47" s="12" t="str">
        <f>IFERROR(__xludf.DUMMYFUNCTION("""COMPUTED_VALUE"""),"Líder 1")</f>
        <v>Líder 1</v>
      </c>
      <c r="F47" s="11" t="str">
        <f>IFERROR(__xludf.DUMMYFUNCTION("""COMPUTED_VALUE"""),"Lendário")</f>
        <v>Lendário</v>
      </c>
      <c r="G47" s="12" t="str">
        <f>IFERROR(__xludf.DUMMYFUNCTION("""COMPUTED_VALUE"""),"Aumenta o número de companheiros em +1")</f>
        <v>Aumenta o número de companheiros em +1</v>
      </c>
      <c r="H47" s="9" t="b">
        <f>IFERROR(__xludf.DUMMYFUNCTION("""COMPUTED_VALUE"""),TRUE)</f>
        <v>1</v>
      </c>
      <c r="I47" s="10"/>
    </row>
    <row r="48">
      <c r="A48" s="10"/>
      <c r="B48" s="10" t="str">
        <f>IFERROR(__xludf.DUMMYFUNCTION("""COMPUTED_VALUE"""),"Botas do Aventureiro")</f>
        <v>Botas do Aventureiro</v>
      </c>
      <c r="C48" s="11" t="str">
        <f>IFERROR(__xludf.DUMMYFUNCTION("""COMPUTED_VALUE"""),"Botas")</f>
        <v>Botas</v>
      </c>
      <c r="D48" s="12">
        <f>IFERROR(__xludf.DUMMYFUNCTION("""COMPUTED_VALUE"""),24.0)</f>
        <v>24</v>
      </c>
      <c r="E48" s="12" t="str">
        <f>IFERROR(__xludf.DUMMYFUNCTION("""COMPUTED_VALUE"""),"Velocista 1")</f>
        <v>Velocista 1</v>
      </c>
      <c r="F48" s="11" t="str">
        <f>IFERROR(__xludf.DUMMYFUNCTION("""COMPUTED_VALUE"""),"Épico")</f>
        <v>Épico</v>
      </c>
      <c r="G48" s="12" t="str">
        <f>IFERROR(__xludf.DUMMYFUNCTION("""COMPUTED_VALUE"""),"Reduz a duração da missão em 10%")</f>
        <v>Reduz a duração da missão em 10%</v>
      </c>
      <c r="H48" s="9" t="b">
        <f>IFERROR(__xludf.DUMMYFUNCTION("""COMPUTED_VALUE"""),TRUE)</f>
        <v>1</v>
      </c>
      <c r="I48" s="10"/>
    </row>
    <row r="49">
      <c r="A49" s="10"/>
      <c r="B49" s="10" t="str">
        <f>IFERROR(__xludf.DUMMYFUNCTION("""COMPUTED_VALUE"""),"Grevas da chama")</f>
        <v>Grevas da chama</v>
      </c>
      <c r="C49" s="11" t="str">
        <f>IFERROR(__xludf.DUMMYFUNCTION("""COMPUTED_VALUE"""),"Botas")</f>
        <v>Botas</v>
      </c>
      <c r="D49" s="12">
        <f>IFERROR(__xludf.DUMMYFUNCTION("""COMPUTED_VALUE"""),27.0)</f>
        <v>27</v>
      </c>
      <c r="E49" s="12" t="str">
        <f>IFERROR(__xludf.DUMMYFUNCTION("""COMPUTED_VALUE"""),"Bola de fogo")</f>
        <v>Bola de fogo</v>
      </c>
      <c r="F49" s="11" t="str">
        <f>IFERROR(__xludf.DUMMYFUNCTION("""COMPUTED_VALUE"""),"Épico")</f>
        <v>Épico</v>
      </c>
      <c r="G49" s="12" t="str">
        <f>IFERROR(__xludf.DUMMYFUNCTION("""COMPUTED_VALUE"""),"Aumenta a força em 25%")</f>
        <v>Aumenta a força em 25%</v>
      </c>
      <c r="H49" s="9" t="b">
        <f>IFERROR(__xludf.DUMMYFUNCTION("""COMPUTED_VALUE"""),TRUE)</f>
        <v>1</v>
      </c>
      <c r="I49" s="10"/>
    </row>
    <row r="50">
      <c r="A50" s="10"/>
      <c r="B50" s="10" t="str">
        <f>IFERROR(__xludf.DUMMYFUNCTION("""COMPUTED_VALUE"""),"Calçados mágicos")</f>
        <v>Calçados mágicos</v>
      </c>
      <c r="C50" s="11" t="str">
        <f>IFERROR(__xludf.DUMMYFUNCTION("""COMPUTED_VALUE"""),"Botas")</f>
        <v>Botas</v>
      </c>
      <c r="D50" s="12">
        <f>IFERROR(__xludf.DUMMYFUNCTION("""COMPUTED_VALUE"""),30.0)</f>
        <v>30</v>
      </c>
      <c r="E50" s="12" t="str">
        <f>IFERROR(__xludf.DUMMYFUNCTION("""COMPUTED_VALUE"""),"Arquimago 1")</f>
        <v>Arquimago 1</v>
      </c>
      <c r="F50" s="11" t="str">
        <f>IFERROR(__xludf.DUMMYFUNCTION("""COMPUTED_VALUE"""),"Épico")</f>
        <v>Épico</v>
      </c>
      <c r="G50" s="12" t="str">
        <f>IFERROR(__xludf.DUMMYFUNCTION("""COMPUTED_VALUE"""),"Aumenta a força dos feiticeiros do grupo em 10%")</f>
        <v>Aumenta a força dos feiticeiros do grupo em 10%</v>
      </c>
      <c r="H50" s="9" t="b">
        <f>IFERROR(__xludf.DUMMYFUNCTION("""COMPUTED_VALUE"""),TRUE)</f>
        <v>1</v>
      </c>
      <c r="I50" s="10"/>
    </row>
    <row r="51">
      <c r="A51" s="10"/>
      <c r="B51" s="10" t="str">
        <f>IFERROR(__xludf.DUMMYFUNCTION("""COMPUTED_VALUE"""),"Pisa-em-crânios")</f>
        <v>Pisa-em-crânios</v>
      </c>
      <c r="C51" s="11" t="str">
        <f>IFERROR(__xludf.DUMMYFUNCTION("""COMPUTED_VALUE"""),"Botas")</f>
        <v>Botas</v>
      </c>
      <c r="D51" s="12">
        <f>IFERROR(__xludf.DUMMYFUNCTION("""COMPUTED_VALUE"""),38.0)</f>
        <v>38</v>
      </c>
      <c r="E51" s="12" t="str">
        <f>IFERROR(__xludf.DUMMYFUNCTION("""COMPUTED_VALUE"""),"Esmagar")</f>
        <v>Esmagar</v>
      </c>
      <c r="F51" s="11" t="str">
        <f>IFERROR(__xludf.DUMMYFUNCTION("""COMPUTED_VALUE"""),"Lendário")</f>
        <v>Lendário</v>
      </c>
      <c r="G51" s="12" t="str">
        <f>IFERROR(__xludf.DUMMYFUNCTION("""COMPUTED_VALUE"""),"Aumenta a força em 25%")</f>
        <v>Aumenta a força em 25%</v>
      </c>
      <c r="H51" s="9" t="b">
        <f>IFERROR(__xludf.DUMMYFUNCTION("""COMPUTED_VALUE"""),TRUE)</f>
        <v>1</v>
      </c>
      <c r="I51" s="10"/>
    </row>
    <row r="52">
      <c r="A52" s="10"/>
      <c r="B52" s="10" t="str">
        <f>IFERROR(__xludf.DUMMYFUNCTION("""COMPUTED_VALUE"""),"Grevas Dracônicas")</f>
        <v>Grevas Dracônicas</v>
      </c>
      <c r="C52" s="11" t="str">
        <f>IFERROR(__xludf.DUMMYFUNCTION("""COMPUTED_VALUE"""),"Botas")</f>
        <v>Botas</v>
      </c>
      <c r="D52" s="12">
        <f>IFERROR(__xludf.DUMMYFUNCTION("""COMPUTED_VALUE"""),39.0)</f>
        <v>39</v>
      </c>
      <c r="E52" s="12" t="str">
        <f>IFERROR(__xludf.DUMMYFUNCTION("""COMPUTED_VALUE"""),"Protetor 1")</f>
        <v>Protetor 1</v>
      </c>
      <c r="F52" s="11" t="str">
        <f>IFERROR(__xludf.DUMMYFUNCTION("""COMPUTED_VALUE"""),"Lendário")</f>
        <v>Lendário</v>
      </c>
      <c r="G52" s="12" t="str">
        <f>IFERROR(__xludf.DUMMYFUNCTION("""COMPUTED_VALUE"""),"Aumenta a taxa de sobrevivência do grupo em 2%")</f>
        <v>Aumenta a taxa de sobrevivência do grupo em 2%</v>
      </c>
      <c r="H52" s="9" t="b">
        <f>IFERROR(__xludf.DUMMYFUNCTION("""COMPUTED_VALUE"""),TRUE)</f>
        <v>1</v>
      </c>
      <c r="I52" s="10"/>
    </row>
    <row r="53">
      <c r="A53" s="10"/>
      <c r="B53" s="10" t="str">
        <f>IFERROR(__xludf.DUMMYFUNCTION("""COMPUTED_VALUE"""),"Os Aflitos da Guerra de Kratos")</f>
        <v>Os Aflitos da Guerra de Kratos</v>
      </c>
      <c r="C53" s="11" t="str">
        <f>IFERROR(__xludf.DUMMYFUNCTION("""COMPUTED_VALUE"""),"Botas")</f>
        <v>Botas</v>
      </c>
      <c r="D53" s="12">
        <f>IFERROR(__xludf.DUMMYFUNCTION("""COMPUTED_VALUE"""),41.0)</f>
        <v>41</v>
      </c>
      <c r="E53" s="12" t="str">
        <f>IFERROR(__xludf.DUMMYFUNCTION("""COMPUTED_VALUE"""),"Reviver 2")</f>
        <v>Reviver 2</v>
      </c>
      <c r="F53" s="11" t="str">
        <f>IFERROR(__xludf.DUMMYFUNCTION("""COMPUTED_VALUE"""),"Lendário")</f>
        <v>Lendário</v>
      </c>
      <c r="G53" s="12" t="str">
        <f>IFERROR(__xludf.DUMMYFUNCTION("""COMPUTED_VALUE"""),"Revive um companheiro derrotado 10% das vezes")</f>
        <v>Revive um companheiro derrotado 10% das vezes</v>
      </c>
      <c r="H53" s="9" t="b">
        <f>IFERROR(__xludf.DUMMYFUNCTION("""COMPUTED_VALUE"""),TRUE)</f>
        <v>1</v>
      </c>
      <c r="I53" s="10"/>
    </row>
    <row r="54">
      <c r="A54" s="10"/>
      <c r="B54" s="10" t="str">
        <f>IFERROR(__xludf.DUMMYFUNCTION("""COMPUTED_VALUE"""),"Grevas de obsidiana")</f>
        <v>Grevas de obsidiana</v>
      </c>
      <c r="C54" s="11" t="str">
        <f>IFERROR(__xludf.DUMMYFUNCTION("""COMPUTED_VALUE"""),"Botas")</f>
        <v>Botas</v>
      </c>
      <c r="D54" s="12">
        <f>IFERROR(__xludf.DUMMYFUNCTION("""COMPUTED_VALUE"""),47.0)</f>
        <v>47</v>
      </c>
      <c r="E54" s="12" t="str">
        <f>IFERROR(__xludf.DUMMYFUNCTION("""COMPUTED_VALUE"""),"Comandante 2")</f>
        <v>Comandante 2</v>
      </c>
      <c r="F54" s="11" t="str">
        <f>IFERROR(__xludf.DUMMYFUNCTION("""COMPUTED_VALUE"""),"Lendário")</f>
        <v>Lendário</v>
      </c>
      <c r="G54" s="12" t="str">
        <f>IFERROR(__xludf.DUMMYFUNCTION("""COMPUTED_VALUE"""),"Aumenta a força dos guerreiros do grupo em 25%")</f>
        <v>Aumenta a força dos guerreiros do grupo em 25%</v>
      </c>
      <c r="H54" s="9" t="b">
        <f>IFERROR(__xludf.DUMMYFUNCTION("""COMPUTED_VALUE"""),TRUE)</f>
        <v>1</v>
      </c>
      <c r="I54" s="10"/>
    </row>
    <row r="55">
      <c r="A55" s="10"/>
      <c r="B55" s="10" t="str">
        <f>IFERROR(__xludf.DUMMYFUNCTION("""COMPUTED_VALUE"""),"Pés do titã")</f>
        <v>Pés do titã</v>
      </c>
      <c r="C55" s="11" t="str">
        <f>IFERROR(__xludf.DUMMYFUNCTION("""COMPUTED_VALUE"""),"Botas")</f>
        <v>Botas</v>
      </c>
      <c r="D55" s="12">
        <f>IFERROR(__xludf.DUMMYFUNCTION("""COMPUTED_VALUE"""),50.0)</f>
        <v>50</v>
      </c>
      <c r="E55" s="12" t="str">
        <f>IFERROR(__xludf.DUMMYFUNCTION("""COMPUTED_VALUE"""),"Esmagar")</f>
        <v>Esmagar</v>
      </c>
      <c r="F55" s="11" t="str">
        <f>IFERROR(__xludf.DUMMYFUNCTION("""COMPUTED_VALUE"""),"Mítico")</f>
        <v>Mítico</v>
      </c>
      <c r="G55" s="12" t="str">
        <f>IFERROR(__xludf.DUMMYFUNCTION("""COMPUTED_VALUE"""),"Aumenta a força em 25%")</f>
        <v>Aumenta a força em 25%</v>
      </c>
      <c r="H55" s="9" t="b">
        <f>IFERROR(__xludf.DUMMYFUNCTION("""COMPUTED_VALUE"""),TRUE)</f>
        <v>1</v>
      </c>
      <c r="I55" s="10"/>
    </row>
    <row r="56">
      <c r="A56" s="10"/>
      <c r="B56" s="10" t="str">
        <f>IFERROR(__xludf.DUMMYFUNCTION("""COMPUTED_VALUE"""),"Botas selvagens")</f>
        <v>Botas selvagens</v>
      </c>
      <c r="C56" s="11" t="str">
        <f>IFERROR(__xludf.DUMMYFUNCTION("""COMPUTED_VALUE"""),"Botas")</f>
        <v>Botas</v>
      </c>
      <c r="D56" s="12">
        <f>IFERROR(__xludf.DUMMYFUNCTION("""COMPUTED_VALUE"""),52.0)</f>
        <v>52</v>
      </c>
      <c r="E56" s="12" t="str">
        <f>IFERROR(__xludf.DUMMYFUNCTION("""COMPUTED_VALUE"""),"Detectar segredo")</f>
        <v>Detectar segredo</v>
      </c>
      <c r="F56" s="11" t="str">
        <f>IFERROR(__xludf.DUMMYFUNCTION("""COMPUTED_VALUE"""),"Mítico")</f>
        <v>Mítico</v>
      </c>
      <c r="G56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56" s="9" t="b">
        <f>IFERROR(__xludf.DUMMYFUNCTION("""COMPUTED_VALUE"""),TRUE)</f>
        <v>1</v>
      </c>
      <c r="I56" s="10"/>
    </row>
    <row r="57">
      <c r="A57" s="10"/>
      <c r="B57" s="10" t="str">
        <f>IFERROR(__xludf.DUMMYFUNCTION("""COMPUTED_VALUE"""),"Starfrost Skates")</f>
        <v>Starfrost Skates</v>
      </c>
      <c r="C57" s="11" t="str">
        <f>IFERROR(__xludf.DUMMYFUNCTION("""COMPUTED_VALUE"""),"Botas")</f>
        <v>Botas</v>
      </c>
      <c r="D57" s="12">
        <f>IFERROR(__xludf.DUMMYFUNCTION("""COMPUTED_VALUE"""),54.0)</f>
        <v>54</v>
      </c>
      <c r="E57" s="12" t="str">
        <f>IFERROR(__xludf.DUMMYFUNCTION("""COMPUTED_VALUE"""),"Encontrar mágica")</f>
        <v>Encontrar mágica</v>
      </c>
      <c r="F57" s="11" t="str">
        <f>IFERROR(__xludf.DUMMYFUNCTION("""COMPUTED_VALUE"""),"Mítico")</f>
        <v>Mítico</v>
      </c>
      <c r="G57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57" s="9" t="b">
        <f>IFERROR(__xludf.DUMMYFUNCTION("""COMPUTED_VALUE"""),TRUE)</f>
        <v>1</v>
      </c>
      <c r="I57" s="10"/>
    </row>
    <row r="58">
      <c r="A58" s="10"/>
      <c r="B58" s="10" t="str">
        <f>IFERROR(__xludf.DUMMYFUNCTION("""COMPUTED_VALUE"""),"Proto-skate")</f>
        <v>Proto-skate</v>
      </c>
      <c r="C58" s="11" t="str">
        <f>IFERROR(__xludf.DUMMYFUNCTION("""COMPUTED_VALUE"""),"Botas")</f>
        <v>Botas</v>
      </c>
      <c r="D58" s="12">
        <f>IFERROR(__xludf.DUMMYFUNCTION("""COMPUTED_VALUE"""),54.0)</f>
        <v>54</v>
      </c>
      <c r="E58" s="12" t="str">
        <f>IFERROR(__xludf.DUMMYFUNCTION("""COMPUTED_VALUE"""),"Velocista 3")</f>
        <v>Velocista 3</v>
      </c>
      <c r="F58" s="11" t="str">
        <f>IFERROR(__xludf.DUMMYFUNCTION("""COMPUTED_VALUE"""),"Mítico")</f>
        <v>Mítico</v>
      </c>
      <c r="G58" s="12" t="str">
        <f>IFERROR(__xludf.DUMMYFUNCTION("""COMPUTED_VALUE"""),"Reduz a duração da missão em 50%")</f>
        <v>Reduz a duração da missão em 50%</v>
      </c>
      <c r="H58" s="9" t="b">
        <f>IFERROR(__xludf.DUMMYFUNCTION("""COMPUTED_VALUE"""),TRUE)</f>
        <v>1</v>
      </c>
      <c r="I58" s="10"/>
    </row>
    <row r="59">
      <c r="A59" s="10"/>
      <c r="B59" s="10" t="str">
        <f>IFERROR(__xludf.DUMMYFUNCTION("""COMPUTED_VALUE"""),"Cajado do bispo")</f>
        <v>Cajado do bispo</v>
      </c>
      <c r="C59" s="11" t="str">
        <f>IFERROR(__xludf.DUMMYFUNCTION("""COMPUTED_VALUE"""),"Cajado")</f>
        <v>Cajado</v>
      </c>
      <c r="D59" s="12">
        <f>IFERROR(__xludf.DUMMYFUNCTION("""COMPUTED_VALUE"""),9.0)</f>
        <v>9</v>
      </c>
      <c r="E59" s="12" t="str">
        <f>IFERROR(__xludf.DUMMYFUNCTION("""COMPUTED_VALUE"""),"Arquimago 1")</f>
        <v>Arquimago 1</v>
      </c>
      <c r="F59" s="11" t="str">
        <f>IFERROR(__xludf.DUMMYFUNCTION("""COMPUTED_VALUE"""),"Impecável")</f>
        <v>Impecável</v>
      </c>
      <c r="G59" s="12" t="str">
        <f>IFERROR(__xludf.DUMMYFUNCTION("""COMPUTED_VALUE"""),"Aumenta a força dos feiticeiros do grupo em 10%")</f>
        <v>Aumenta a força dos feiticeiros do grupo em 10%</v>
      </c>
      <c r="H59" s="9" t="b">
        <f>IFERROR(__xludf.DUMMYFUNCTION("""COMPUTED_VALUE"""),TRUE)</f>
        <v>1</v>
      </c>
      <c r="I59" s="10"/>
    </row>
    <row r="60">
      <c r="A60" s="10"/>
      <c r="B60" s="10" t="str">
        <f>IFERROR(__xludf.DUMMYFUNCTION("""COMPUTED_VALUE"""),"Begala do faraó")</f>
        <v>Begala do faraó</v>
      </c>
      <c r="C60" s="11" t="str">
        <f>IFERROR(__xludf.DUMMYFUNCTION("""COMPUTED_VALUE"""),"Cajado")</f>
        <v>Cajado</v>
      </c>
      <c r="D60" s="12">
        <f>IFERROR(__xludf.DUMMYFUNCTION("""COMPUTED_VALUE"""),16.0)</f>
        <v>16</v>
      </c>
      <c r="E60" s="12" t="str">
        <f>IFERROR(__xludf.DUMMYFUNCTION("""COMPUTED_VALUE"""),"Líder 1")</f>
        <v>Líder 1</v>
      </c>
      <c r="F60" s="11" t="str">
        <f>IFERROR(__xludf.DUMMYFUNCTION("""COMPUTED_VALUE"""),"Impecável")</f>
        <v>Impecável</v>
      </c>
      <c r="G60" s="12" t="str">
        <f>IFERROR(__xludf.DUMMYFUNCTION("""COMPUTED_VALUE"""),"Aumenta o número de companheiros em +1")</f>
        <v>Aumenta o número de companheiros em +1</v>
      </c>
      <c r="H60" s="9" t="b">
        <f>IFERROR(__xludf.DUMMYFUNCTION("""COMPUTED_VALUE"""),TRUE)</f>
        <v>1</v>
      </c>
      <c r="I60" s="10"/>
    </row>
    <row r="61">
      <c r="A61" s="10"/>
      <c r="B61" s="10" t="str">
        <f>IFERROR(__xludf.DUMMYFUNCTION("""COMPUTED_VALUE"""),"Cetro Lunar")</f>
        <v>Cetro Lunar</v>
      </c>
      <c r="C61" s="11" t="str">
        <f>IFERROR(__xludf.DUMMYFUNCTION("""COMPUTED_VALUE"""),"Cajado")</f>
        <v>Cajado</v>
      </c>
      <c r="D61" s="12">
        <f>IFERROR(__xludf.DUMMYFUNCTION("""COMPUTED_VALUE"""),17.0)</f>
        <v>17</v>
      </c>
      <c r="E61" s="12" t="str">
        <f>IFERROR(__xludf.DUMMYFUNCTION("""COMPUTED_VALUE"""),"Curandeiro 1")</f>
        <v>Curandeiro 1</v>
      </c>
      <c r="F61" s="11" t="str">
        <f>IFERROR(__xludf.DUMMYFUNCTION("""COMPUTED_VALUE"""),"Impecável")</f>
        <v>Impecável</v>
      </c>
      <c r="G61" s="12" t="str">
        <f>IFERROR(__xludf.DUMMYFUNCTION("""COMPUTED_VALUE"""),"Reduz o tempo de cura de companheiros em 10%")</f>
        <v>Reduz o tempo de cura de companheiros em 10%</v>
      </c>
      <c r="H61" s="9" t="b">
        <f>IFERROR(__xludf.DUMMYFUNCTION("""COMPUTED_VALUE"""),TRUE)</f>
        <v>1</v>
      </c>
      <c r="I61" s="10"/>
    </row>
    <row r="62">
      <c r="A62" s="10"/>
      <c r="B62" s="10" t="str">
        <f>IFERROR(__xludf.DUMMYFUNCTION("""COMPUTED_VALUE"""),"Líquido apanhador de inseto")</f>
        <v>Líquido apanhador de inseto</v>
      </c>
      <c r="C62" s="11" t="str">
        <f>IFERROR(__xludf.DUMMYFUNCTION("""COMPUTED_VALUE"""),"Cajado")</f>
        <v>Cajado</v>
      </c>
      <c r="D62" s="12">
        <f>IFERROR(__xludf.DUMMYFUNCTION("""COMPUTED_VALUE"""),21.0)</f>
        <v>21</v>
      </c>
      <c r="E62" s="12" t="str">
        <f>IFERROR(__xludf.DUMMYFUNCTION("""COMPUTED_VALUE"""),"Energético 3")</f>
        <v>Energético 3</v>
      </c>
      <c r="F62" s="11" t="str">
        <f>IFERROR(__xludf.DUMMYFUNCTION("""COMPUTED_VALUE"""),"Épico")</f>
        <v>Épico</v>
      </c>
      <c r="G62" s="12" t="str">
        <f>IFERROR(__xludf.DUMMYFUNCTION("""COMPUTED_VALUE"""),"Reduz o tempo de espera depois da missão em 100%")</f>
        <v>Reduz o tempo de espera depois da missão em 100%</v>
      </c>
      <c r="H62" s="9" t="b">
        <f>IFERROR(__xludf.DUMMYFUNCTION("""COMPUTED_VALUE"""),TRUE)</f>
        <v>1</v>
      </c>
      <c r="I62" s="10"/>
    </row>
    <row r="63">
      <c r="A63" s="10"/>
      <c r="B63" s="10" t="str">
        <f>IFERROR(__xludf.DUMMYFUNCTION("""COMPUTED_VALUE"""),"Cetro Sagrado")</f>
        <v>Cetro Sagrado</v>
      </c>
      <c r="C63" s="11" t="str">
        <f>IFERROR(__xludf.DUMMYFUNCTION("""COMPUTED_VALUE"""),"Cajado")</f>
        <v>Cajado</v>
      </c>
      <c r="D63" s="12">
        <f>IFERROR(__xludf.DUMMYFUNCTION("""COMPUTED_VALUE"""),28.0)</f>
        <v>28</v>
      </c>
      <c r="E63" s="12" t="str">
        <f>IFERROR(__xludf.DUMMYFUNCTION("""COMPUTED_VALUE"""),"Reviver 1")</f>
        <v>Reviver 1</v>
      </c>
      <c r="F63" s="11" t="str">
        <f>IFERROR(__xludf.DUMMYFUNCTION("""COMPUTED_VALUE"""),"Épico")</f>
        <v>Épico</v>
      </c>
      <c r="G63" s="12" t="str">
        <f>IFERROR(__xludf.DUMMYFUNCTION("""COMPUTED_VALUE"""),"Revive um companheiro derrotado 5% das vezes")</f>
        <v>Revive um companheiro derrotado 5% das vezes</v>
      </c>
      <c r="H63" s="9" t="b">
        <f>IFERROR(__xludf.DUMMYFUNCTION("""COMPUTED_VALUE"""),TRUE)</f>
        <v>1</v>
      </c>
      <c r="I63" s="10"/>
    </row>
    <row r="64">
      <c r="A64" s="10"/>
      <c r="B64" s="10" t="str">
        <f>IFERROR(__xludf.DUMMYFUNCTION("""COMPUTED_VALUE"""),"Varinha Estelar")</f>
        <v>Varinha Estelar</v>
      </c>
      <c r="C64" s="11" t="str">
        <f>IFERROR(__xludf.DUMMYFUNCTION("""COMPUTED_VALUE"""),"Cajado")</f>
        <v>Cajado</v>
      </c>
      <c r="D64" s="12">
        <f>IFERROR(__xludf.DUMMYFUNCTION("""COMPUTED_VALUE"""),35.0)</f>
        <v>35</v>
      </c>
      <c r="E64" s="12" t="str">
        <f>IFERROR(__xludf.DUMMYFUNCTION("""COMPUTED_VALUE"""),"Arquimago 1")</f>
        <v>Arquimago 1</v>
      </c>
      <c r="F64" s="11" t="str">
        <f>IFERROR(__xludf.DUMMYFUNCTION("""COMPUTED_VALUE"""),"Épico")</f>
        <v>Épico</v>
      </c>
      <c r="G64" s="12" t="str">
        <f>IFERROR(__xludf.DUMMYFUNCTION("""COMPUTED_VALUE"""),"Aumenta a força dos feiticeiros do grupo em 10%")</f>
        <v>Aumenta a força dos feiticeiros do grupo em 10%</v>
      </c>
      <c r="H64" s="9" t="b">
        <f>IFERROR(__xludf.DUMMYFUNCTION("""COMPUTED_VALUE"""),TRUE)</f>
        <v>1</v>
      </c>
      <c r="I64" s="10"/>
    </row>
    <row r="65">
      <c r="A65" s="10"/>
      <c r="B65" s="10" t="str">
        <f>IFERROR(__xludf.DUMMYFUNCTION("""COMPUTED_VALUE"""),"Varinha Imperial")</f>
        <v>Varinha Imperial</v>
      </c>
      <c r="C65" s="11" t="str">
        <f>IFERROR(__xludf.DUMMYFUNCTION("""COMPUTED_VALUE"""),"Cajado")</f>
        <v>Cajado</v>
      </c>
      <c r="D65" s="12">
        <f>IFERROR(__xludf.DUMMYFUNCTION("""COMPUTED_VALUE"""),38.0)</f>
        <v>38</v>
      </c>
      <c r="E65" s="12" t="str">
        <f>IFERROR(__xludf.DUMMYFUNCTION("""COMPUTED_VALUE"""),"Arquimago 1")</f>
        <v>Arquimago 1</v>
      </c>
      <c r="F65" s="11" t="str">
        <f>IFERROR(__xludf.DUMMYFUNCTION("""COMPUTED_VALUE"""),"Lendário")</f>
        <v>Lendário</v>
      </c>
      <c r="G65" s="12" t="str">
        <f>IFERROR(__xludf.DUMMYFUNCTION("""COMPUTED_VALUE"""),"Aumenta a força dos feiticeiros do grupo em 10%")</f>
        <v>Aumenta a força dos feiticeiros do grupo em 10%</v>
      </c>
      <c r="H65" s="9" t="b">
        <f>IFERROR(__xludf.DUMMYFUNCTION("""COMPUTED_VALUE"""),TRUE)</f>
        <v>1</v>
      </c>
      <c r="I65" s="10"/>
    </row>
    <row r="66">
      <c r="A66" s="10"/>
      <c r="B66" s="10" t="str">
        <f>IFERROR(__xludf.DUMMYFUNCTION("""COMPUTED_VALUE"""),"Rei-Sol")</f>
        <v>Rei-Sol</v>
      </c>
      <c r="C66" s="11" t="str">
        <f>IFERROR(__xludf.DUMMYFUNCTION("""COMPUTED_VALUE"""),"Cajado")</f>
        <v>Cajado</v>
      </c>
      <c r="D66" s="12">
        <f>IFERROR(__xludf.DUMMYFUNCTION("""COMPUTED_VALUE"""),41.0)</f>
        <v>41</v>
      </c>
      <c r="E66" s="12" t="str">
        <f>IFERROR(__xludf.DUMMYFUNCTION("""COMPUTED_VALUE"""),"Bola de fogo")</f>
        <v>Bola de fogo</v>
      </c>
      <c r="F66" s="11" t="str">
        <f>IFERROR(__xludf.DUMMYFUNCTION("""COMPUTED_VALUE"""),"Lendário")</f>
        <v>Lendário</v>
      </c>
      <c r="G66" s="12" t="str">
        <f>IFERROR(__xludf.DUMMYFUNCTION("""COMPUTED_VALUE"""),"Aumenta a força em 25%")</f>
        <v>Aumenta a força em 25%</v>
      </c>
      <c r="H66" s="9" t="b">
        <f>IFERROR(__xludf.DUMMYFUNCTION("""COMPUTED_VALUE"""),TRUE)</f>
        <v>1</v>
      </c>
      <c r="I66" s="10"/>
    </row>
    <row r="67">
      <c r="A67" s="10"/>
      <c r="B67" s="10" t="str">
        <f>IFERROR(__xludf.DUMMYFUNCTION("""COMPUTED_VALUE"""),"Montagem das fadas")</f>
        <v>Montagem das fadas</v>
      </c>
      <c r="C67" s="11" t="str">
        <f>IFERROR(__xludf.DUMMYFUNCTION("""COMPUTED_VALUE"""),"Cajado")</f>
        <v>Cajado</v>
      </c>
      <c r="D67" s="12">
        <f>IFERROR(__xludf.DUMMYFUNCTION("""COMPUTED_VALUE"""),42.0)</f>
        <v>42</v>
      </c>
      <c r="E67" s="12" t="str">
        <f>IFERROR(__xludf.DUMMYFUNCTION("""COMPUTED_VALUE"""),"Caça-tesouros 2")</f>
        <v>Caça-tesouros 2</v>
      </c>
      <c r="F67" s="11" t="str">
        <f>IFERROR(__xludf.DUMMYFUNCTION("""COMPUTED_VALUE"""),"Lendário")</f>
        <v>Lendário</v>
      </c>
      <c r="G67" s="12" t="str">
        <f>IFERROR(__xludf.DUMMYFUNCTION("""COMPUTED_VALUE"""),"Aumenta o número máximo de artefatos e itens de raid encontrados em +4")</f>
        <v>Aumenta o número máximo de artefatos e itens de raid encontrados em +4</v>
      </c>
      <c r="H67" s="9" t="b">
        <f>IFERROR(__xludf.DUMMYFUNCTION("""COMPUTED_VALUE"""),TRUE)</f>
        <v>1</v>
      </c>
      <c r="I67" s="10"/>
    </row>
    <row r="68">
      <c r="A68" s="10"/>
      <c r="B68" s="10" t="str">
        <f>IFERROR(__xludf.DUMMYFUNCTION("""COMPUTED_VALUE"""),"Guardião das almas")</f>
        <v>Guardião das almas</v>
      </c>
      <c r="C68" s="11" t="str">
        <f>IFERROR(__xludf.DUMMYFUNCTION("""COMPUTED_VALUE"""),"Cajado")</f>
        <v>Cajado</v>
      </c>
      <c r="D68" s="12">
        <f>IFERROR(__xludf.DUMMYFUNCTION("""COMPUTED_VALUE"""),45.0)</f>
        <v>45</v>
      </c>
      <c r="E68" s="12" t="str">
        <f>IFERROR(__xludf.DUMMYFUNCTION("""COMPUTED_VALUE"""),"Reviver 2")</f>
        <v>Reviver 2</v>
      </c>
      <c r="F68" s="11" t="str">
        <f>IFERROR(__xludf.DUMMYFUNCTION("""COMPUTED_VALUE"""),"Épico")</f>
        <v>Épico</v>
      </c>
      <c r="G68" s="12" t="str">
        <f>IFERROR(__xludf.DUMMYFUNCTION("""COMPUTED_VALUE"""),"Revive um companheiro derrotado 10% das vezes")</f>
        <v>Revive um companheiro derrotado 10% das vezes</v>
      </c>
      <c r="H68" s="9" t="b">
        <f>IFERROR(__xludf.DUMMYFUNCTION("""COMPUTED_VALUE"""),TRUE)</f>
        <v>1</v>
      </c>
      <c r="I68" s="10"/>
    </row>
    <row r="69">
      <c r="A69" s="10"/>
      <c r="B69" s="10" t="str">
        <f>IFERROR(__xludf.DUMMYFUNCTION("""COMPUTED_VALUE"""),"Varinha estilhaçada")</f>
        <v>Varinha estilhaçada</v>
      </c>
      <c r="C69" s="8" t="str">
        <f>IFERROR(__xludf.DUMMYFUNCTION("""COMPUTED_VALUE"""),"Cajado")</f>
        <v>Cajado</v>
      </c>
      <c r="D69" s="1">
        <f>IFERROR(__xludf.DUMMYFUNCTION("""COMPUTED_VALUE"""),50.0)</f>
        <v>50</v>
      </c>
      <c r="E69" s="1" t="str">
        <f>IFERROR(__xludf.DUMMYFUNCTION("""COMPUTED_VALUE"""),"Arquimago 2")</f>
        <v>Arquimago 2</v>
      </c>
      <c r="F69" s="8" t="str">
        <f>IFERROR(__xludf.DUMMYFUNCTION("""COMPUTED_VALUE"""),"Mítico")</f>
        <v>Mítico</v>
      </c>
      <c r="G69" s="1" t="str">
        <f>IFERROR(__xludf.DUMMYFUNCTION("""COMPUTED_VALUE"""),"Aumenta a força dos feiticeiros do grupo em 20%")</f>
        <v>Aumenta a força dos feiticeiros do grupo em 20%</v>
      </c>
      <c r="H69" s="9" t="b">
        <f>IFERROR(__xludf.DUMMYFUNCTION("""COMPUTED_VALUE"""),TRUE)</f>
        <v>1</v>
      </c>
      <c r="I69" s="10"/>
    </row>
    <row r="70">
      <c r="A70" s="10"/>
      <c r="B70" s="10" t="str">
        <f>IFERROR(__xludf.DUMMYFUNCTION("""COMPUTED_VALUE"""),"Cajado necormante")</f>
        <v>Cajado necormante</v>
      </c>
      <c r="C70" s="8" t="str">
        <f>IFERROR(__xludf.DUMMYFUNCTION("""COMPUTED_VALUE"""),"Cajado")</f>
        <v>Cajado</v>
      </c>
      <c r="D70" s="1">
        <f>IFERROR(__xludf.DUMMYFUNCTION("""COMPUTED_VALUE"""),53.0)</f>
        <v>53</v>
      </c>
      <c r="E70" s="1" t="str">
        <f>IFERROR(__xludf.DUMMYFUNCTION("""COMPUTED_VALUE"""),"Reviver 3")</f>
        <v>Reviver 3</v>
      </c>
      <c r="F70" s="8" t="str">
        <f>IFERROR(__xludf.DUMMYFUNCTION("""COMPUTED_VALUE"""),"Mítico")</f>
        <v>Mítico</v>
      </c>
      <c r="G70" s="1" t="str">
        <f>IFERROR(__xludf.DUMMYFUNCTION("""COMPUTED_VALUE"""),"Revive um companheiro derrotado 15% das vezes")</f>
        <v>Revive um companheiro derrotado 15% das vezes</v>
      </c>
      <c r="H70" s="9" t="b">
        <f>IFERROR(__xludf.DUMMYFUNCTION("""COMPUTED_VALUE"""),TRUE)</f>
        <v>1</v>
      </c>
      <c r="I70" s="10"/>
    </row>
    <row r="71">
      <c r="A71" s="10"/>
      <c r="B71" s="10" t="str">
        <f>IFERROR(__xludf.DUMMYFUNCTION("""COMPUTED_VALUE"""),"Luna")</f>
        <v>Luna</v>
      </c>
      <c r="C71" s="8" t="str">
        <f>IFERROR(__xludf.DUMMYFUNCTION("""COMPUTED_VALUE"""),"Cajado")</f>
        <v>Cajado</v>
      </c>
      <c r="D71" s="1">
        <f>IFERROR(__xludf.DUMMYFUNCTION("""COMPUTED_VALUE"""),55.0)</f>
        <v>55</v>
      </c>
      <c r="E71" s="1" t="str">
        <f>IFERROR(__xludf.DUMMYFUNCTION("""COMPUTED_VALUE"""),"Reviver 3")</f>
        <v>Reviver 3</v>
      </c>
      <c r="F71" s="8" t="str">
        <f>IFERROR(__xludf.DUMMYFUNCTION("""COMPUTED_VALUE"""),"Épico")</f>
        <v>Épico</v>
      </c>
      <c r="G71" s="1" t="str">
        <f>IFERROR(__xludf.DUMMYFUNCTION("""COMPUTED_VALUE"""),"Revive um companheiro derrotado 15% das vezes")</f>
        <v>Revive um companheiro derrotado 15% das vezes</v>
      </c>
      <c r="H71" s="9" t="b">
        <f>IFERROR(__xludf.DUMMYFUNCTION("""COMPUTED_VALUE"""),TRUE)</f>
        <v>1</v>
      </c>
      <c r="I71" s="10"/>
    </row>
    <row r="72">
      <c r="A72" s="10"/>
      <c r="B72" s="10" t="str">
        <f>IFERROR(__xludf.DUMMYFUNCTION("""COMPUTED_VALUE"""),"Cetro da Pixie")</f>
        <v>Cetro da Pixie</v>
      </c>
      <c r="C72" s="8" t="str">
        <f>IFERROR(__xludf.DUMMYFUNCTION("""COMPUTED_VALUE"""),"Cajado")</f>
        <v>Cajado</v>
      </c>
      <c r="D72" s="1">
        <f>IFERROR(__xludf.DUMMYFUNCTION("""COMPUTED_VALUE"""),58.0)</f>
        <v>58</v>
      </c>
      <c r="E72" s="1" t="str">
        <f>IFERROR(__xludf.DUMMYFUNCTION("""COMPUTED_VALUE"""),"Encontrar mágica")</f>
        <v>Encontrar mágica</v>
      </c>
      <c r="F72" s="8" t="str">
        <f>IFERROR(__xludf.DUMMYFUNCTION("""COMPUTED_VALUE"""),"Épico")</f>
        <v>Épico</v>
      </c>
      <c r="G72" s="1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72" s="9" t="b">
        <f>IFERROR(__xludf.DUMMYFUNCTION("""COMPUTED_VALUE"""),TRUE)</f>
        <v>1</v>
      </c>
      <c r="I72" s="10"/>
    </row>
    <row r="73">
      <c r="A73" s="10"/>
      <c r="B73" s="10" t="str">
        <f>IFERROR(__xludf.DUMMYFUNCTION("""COMPUTED_VALUE"""),"Capuz de Robin")</f>
        <v>Capuz de Robin</v>
      </c>
      <c r="C73" s="11" t="str">
        <f>IFERROR(__xludf.DUMMYFUNCTION("""COMPUTED_VALUE"""),"Chapéu")</f>
        <v>Chapéu</v>
      </c>
      <c r="D73" s="12">
        <f>IFERROR(__xludf.DUMMYFUNCTION("""COMPUTED_VALUE"""),8.0)</f>
        <v>8</v>
      </c>
      <c r="E73" s="12" t="str">
        <f>IFERROR(__xludf.DUMMYFUNCTION("""COMPUTED_VALUE"""),"Caça-tesouros 1")</f>
        <v>Caça-tesouros 1</v>
      </c>
      <c r="F73" s="11" t="str">
        <f>IFERROR(__xludf.DUMMYFUNCTION("""COMPUTED_VALUE"""),"Impecável")</f>
        <v>Impecável</v>
      </c>
      <c r="G73" s="12" t="str">
        <f>IFERROR(__xludf.DUMMYFUNCTION("""COMPUTED_VALUE"""),"Aumenta o número máximo de artefatos e itens de raid encontrados em +2")</f>
        <v>Aumenta o número máximo de artefatos e itens de raid encontrados em +2</v>
      </c>
      <c r="H73" s="9" t="b">
        <f>IFERROR(__xludf.DUMMYFUNCTION("""COMPUTED_VALUE"""),TRUE)</f>
        <v>1</v>
      </c>
      <c r="I73" s="10"/>
    </row>
    <row r="74">
      <c r="A74" s="10"/>
      <c r="B74" s="10" t="str">
        <f>IFERROR(__xludf.DUMMYFUNCTION("""COMPUTED_VALUE"""),"Coroa Dourada")</f>
        <v>Coroa Dourada</v>
      </c>
      <c r="C74" s="8" t="str">
        <f>IFERROR(__xludf.DUMMYFUNCTION("""COMPUTED_VALUE"""),"Chapéu")</f>
        <v>Chapéu</v>
      </c>
      <c r="D74" s="1">
        <f>IFERROR(__xludf.DUMMYFUNCTION("""COMPUTED_VALUE"""),25.0)</f>
        <v>25</v>
      </c>
      <c r="E74" s="1" t="str">
        <f>IFERROR(__xludf.DUMMYFUNCTION("""COMPUTED_VALUE"""),"Ganancioso 1")</f>
        <v>Ganancioso 1</v>
      </c>
      <c r="F74" s="8" t="str">
        <f>IFERROR(__xludf.DUMMYFUNCTION("""COMPUTED_VALUE"""),"Ótimo")</f>
        <v>Ótimo</v>
      </c>
      <c r="G74" s="1" t="str">
        <f>IFERROR(__xludf.DUMMYFUNCTION("""COMPUTED_VALUE"""),"Encontra mais 50% de ouro durante as missões")</f>
        <v>Encontra mais 50% de ouro durante as missões</v>
      </c>
      <c r="H74" s="9" t="b">
        <f>IFERROR(__xludf.DUMMYFUNCTION("""COMPUTED_VALUE"""),TRUE)</f>
        <v>1</v>
      </c>
      <c r="I74" s="10"/>
    </row>
    <row r="75">
      <c r="A75" s="10"/>
      <c r="B75" s="10" t="str">
        <f>IFERROR(__xludf.DUMMYFUNCTION("""COMPUTED_VALUE"""),"Coifa Sábia ")</f>
        <v>Coifa Sábia </v>
      </c>
      <c r="C75" s="11" t="str">
        <f>IFERROR(__xludf.DUMMYFUNCTION("""COMPUTED_VALUE"""),"Chapéu")</f>
        <v>Chapéu</v>
      </c>
      <c r="D75" s="12">
        <f>IFERROR(__xludf.DUMMYFUNCTION("""COMPUTED_VALUE"""),27.0)</f>
        <v>27</v>
      </c>
      <c r="E75" s="12" t="str">
        <f>IFERROR(__xludf.DUMMYFUNCTION("""COMPUTED_VALUE"""),"Sábio 1")</f>
        <v>Sábio 1</v>
      </c>
      <c r="F75" s="11" t="str">
        <f>IFERROR(__xludf.DUMMYFUNCTION("""COMPUTED_VALUE"""),"Épico")</f>
        <v>Épico</v>
      </c>
      <c r="G75" s="12" t="str">
        <f>IFERROR(__xludf.DUMMYFUNCTION("""COMPUTED_VALUE"""),"25% de bônus de experiência")</f>
        <v>25% de bônus de experiência</v>
      </c>
      <c r="H75" s="9" t="b">
        <f>IFERROR(__xludf.DUMMYFUNCTION("""COMPUTED_VALUE"""),TRUE)</f>
        <v>1</v>
      </c>
      <c r="I75" s="10"/>
    </row>
    <row r="76">
      <c r="A76" s="10"/>
      <c r="B76" s="10" t="str">
        <f>IFERROR(__xludf.DUMMYFUNCTION("""COMPUTED_VALUE"""),"Tiara Rúnica")</f>
        <v>Tiara Rúnica</v>
      </c>
      <c r="C76" s="8" t="str">
        <f>IFERROR(__xludf.DUMMYFUNCTION("""COMPUTED_VALUE"""),"Chapéu")</f>
        <v>Chapéu</v>
      </c>
      <c r="D76" s="1">
        <f>IFERROR(__xludf.DUMMYFUNCTION("""COMPUTED_VALUE"""),34.0)</f>
        <v>34</v>
      </c>
      <c r="E76" s="1" t="str">
        <f>IFERROR(__xludf.DUMMYFUNCTION("""COMPUTED_VALUE"""),"Arquimago 1")</f>
        <v>Arquimago 1</v>
      </c>
      <c r="F76" s="8" t="str">
        <f>IFERROR(__xludf.DUMMYFUNCTION("""COMPUTED_VALUE"""),"Épico")</f>
        <v>Épico</v>
      </c>
      <c r="G76" s="1" t="str">
        <f>IFERROR(__xludf.DUMMYFUNCTION("""COMPUTED_VALUE"""),"Aumenta a força dos feiticeiros do grupo em 10%")</f>
        <v>Aumenta a força dos feiticeiros do grupo em 10%</v>
      </c>
      <c r="H76" s="9" t="b">
        <f>IFERROR(__xludf.DUMMYFUNCTION("""COMPUTED_VALUE"""),TRUE)</f>
        <v>1</v>
      </c>
      <c r="I76" s="10"/>
    </row>
    <row r="77">
      <c r="A77" s="10"/>
      <c r="B77" s="10" t="str">
        <f>IFERROR(__xludf.DUMMYFUNCTION("""COMPUTED_VALUE"""),"Coroa do trovão")</f>
        <v>Coroa do trovão</v>
      </c>
      <c r="C77" s="8" t="str">
        <f>IFERROR(__xludf.DUMMYFUNCTION("""COMPUTED_VALUE"""),"Chapéu")</f>
        <v>Chapéu</v>
      </c>
      <c r="D77" s="1">
        <f>IFERROR(__xludf.DUMMYFUNCTION("""COMPUTED_VALUE"""),36.0)</f>
        <v>36</v>
      </c>
      <c r="E77" s="1" t="str">
        <f>IFERROR(__xludf.DUMMYFUNCTION("""COMPUTED_VALUE"""),"Raio elétrico")</f>
        <v>Raio elétrico</v>
      </c>
      <c r="F77" s="8" t="str">
        <f>IFERROR(__xludf.DUMMYFUNCTION("""COMPUTED_VALUE"""),"Lendário")</f>
        <v>Lendário</v>
      </c>
      <c r="G77" s="1" t="str">
        <f>IFERROR(__xludf.DUMMYFUNCTION("""COMPUTED_VALUE"""),"Aumenta a força em 50%")</f>
        <v>Aumenta a força em 50%</v>
      </c>
      <c r="H77" s="9" t="b">
        <f>IFERROR(__xludf.DUMMYFUNCTION("""COMPUTED_VALUE"""),TRUE)</f>
        <v>1</v>
      </c>
      <c r="I77" s="10"/>
    </row>
    <row r="78">
      <c r="A78" s="10"/>
      <c r="B78" s="10" t="str">
        <f>IFERROR(__xludf.DUMMYFUNCTION("""COMPUTED_VALUE"""),"Acessório cobra")</f>
        <v>Acessório cobra</v>
      </c>
      <c r="C78" s="8" t="str">
        <f>IFERROR(__xludf.DUMMYFUNCTION("""COMPUTED_VALUE"""),"Chapéu")</f>
        <v>Chapéu</v>
      </c>
      <c r="D78" s="1">
        <f>IFERROR(__xludf.DUMMYFUNCTION("""COMPUTED_VALUE"""),37.0)</f>
        <v>37</v>
      </c>
      <c r="E78" s="1" t="str">
        <f>IFERROR(__xludf.DUMMYFUNCTION("""COMPUTED_VALUE"""),"Cuidadoso 2")</f>
        <v>Cuidadoso 2</v>
      </c>
      <c r="F78" s="8" t="str">
        <f>IFERROR(__xludf.DUMMYFUNCTION("""COMPUTED_VALUE"""),"Épico")</f>
        <v>Épico</v>
      </c>
      <c r="G78" s="1" t="str">
        <f>IFERROR(__xludf.DUMMYFUNCTION("""COMPUTED_VALUE"""),"Diminui a chance de quebra de equipamento em 30% das vezes")</f>
        <v>Diminui a chance de quebra de equipamento em 30% das vezes</v>
      </c>
      <c r="H78" s="9" t="b">
        <f>IFERROR(__xludf.DUMMYFUNCTION("""COMPUTED_VALUE"""),TRUE)</f>
        <v>1</v>
      </c>
      <c r="I78" s="10"/>
    </row>
    <row r="79">
      <c r="A79" s="10"/>
      <c r="B79" s="10" t="str">
        <f>IFERROR(__xludf.DUMMYFUNCTION("""COMPUTED_VALUE"""),"Face demoníaca")</f>
        <v>Face demoníaca</v>
      </c>
      <c r="C79" s="8" t="str">
        <f>IFERROR(__xludf.DUMMYFUNCTION("""COMPUTED_VALUE"""),"Chapéu")</f>
        <v>Chapéu</v>
      </c>
      <c r="D79" s="1">
        <f>IFERROR(__xludf.DUMMYFUNCTION("""COMPUTED_VALUE"""),39.0)</f>
        <v>39</v>
      </c>
      <c r="E79" s="1" t="str">
        <f>IFERROR(__xludf.DUMMYFUNCTION("""COMPUTED_VALUE"""),"Bola de fogo")</f>
        <v>Bola de fogo</v>
      </c>
      <c r="F79" s="8" t="str">
        <f>IFERROR(__xludf.DUMMYFUNCTION("""COMPUTED_VALUE"""),"Lendário")</f>
        <v>Lendário</v>
      </c>
      <c r="G79" s="1" t="str">
        <f>IFERROR(__xludf.DUMMYFUNCTION("""COMPUTED_VALUE"""),"Aumenta a força em 25%")</f>
        <v>Aumenta a força em 25%</v>
      </c>
      <c r="H79" s="9" t="b">
        <f>IFERROR(__xludf.DUMMYFUNCTION("""COMPUTED_VALUE"""),TRUE)</f>
        <v>1</v>
      </c>
      <c r="I79" s="10"/>
    </row>
    <row r="80">
      <c r="A80" s="10"/>
      <c r="B80" s="10" t="str">
        <f>IFERROR(__xludf.DUMMYFUNCTION("""COMPUTED_VALUE"""),"Diadema Condenado")</f>
        <v>Diadema Condenado</v>
      </c>
      <c r="C80" s="8" t="str">
        <f>IFERROR(__xludf.DUMMYFUNCTION("""COMPUTED_VALUE"""),"Chapéu")</f>
        <v>Chapéu</v>
      </c>
      <c r="D80" s="1">
        <f>IFERROR(__xludf.DUMMYFUNCTION("""COMPUTED_VALUE"""),43.0)</f>
        <v>43</v>
      </c>
      <c r="E80" s="1" t="str">
        <f>IFERROR(__xludf.DUMMYFUNCTION("""COMPUTED_VALUE"""),"Sábio 2")</f>
        <v>Sábio 2</v>
      </c>
      <c r="F80" s="8" t="str">
        <f>IFERROR(__xludf.DUMMYFUNCTION("""COMPUTED_VALUE"""),"Épico")</f>
        <v>Épico</v>
      </c>
      <c r="G80" s="1" t="str">
        <f>IFERROR(__xludf.DUMMYFUNCTION("""COMPUTED_VALUE"""),"50% de bônus de experiência")</f>
        <v>50% de bônus de experiência</v>
      </c>
      <c r="H80" s="9" t="b">
        <f>IFERROR(__xludf.DUMMYFUNCTION("""COMPUTED_VALUE"""),TRUE)</f>
        <v>1</v>
      </c>
      <c r="I80" s="10"/>
    </row>
    <row r="81">
      <c r="A81" s="10"/>
      <c r="B81" s="10" t="str">
        <f>IFERROR(__xludf.DUMMYFUNCTION("""COMPUTED_VALUE"""),"Medley Floral")</f>
        <v>Medley Floral</v>
      </c>
      <c r="C81" s="8" t="str">
        <f>IFERROR(__xludf.DUMMYFUNCTION("""COMPUTED_VALUE"""),"Chapéu")</f>
        <v>Chapéu</v>
      </c>
      <c r="D81" s="1">
        <f>IFERROR(__xludf.DUMMYFUNCTION("""COMPUTED_VALUE"""),45.0)</f>
        <v>45</v>
      </c>
      <c r="E81" s="1" t="str">
        <f>IFERROR(__xludf.DUMMYFUNCTION("""COMPUTED_VALUE"""),"Gangster 2")</f>
        <v>Gangster 2</v>
      </c>
      <c r="F81" s="8" t="str">
        <f>IFERROR(__xludf.DUMMYFUNCTION("""COMPUTED_VALUE"""),"Impecável")</f>
        <v>Impecável</v>
      </c>
      <c r="G81" s="1" t="str">
        <f>IFERROR(__xludf.DUMMYFUNCTION("""COMPUTED_VALUE"""),"Aumenta a força do equipamento em 25%")</f>
        <v>Aumenta a força do equipamento em 25%</v>
      </c>
      <c r="H81" s="9" t="b">
        <f>IFERROR(__xludf.DUMMYFUNCTION("""COMPUTED_VALUE"""),TRUE)</f>
        <v>1</v>
      </c>
      <c r="I81" s="10"/>
    </row>
    <row r="82">
      <c r="A82" s="10"/>
      <c r="B82" s="10" t="str">
        <f>IFERROR(__xludf.DUMMYFUNCTION("""COMPUTED_VALUE"""),"Capuz do cultista")</f>
        <v>Capuz do cultista</v>
      </c>
      <c r="C82" s="11" t="str">
        <f>IFERROR(__xludf.DUMMYFUNCTION("""COMPUTED_VALUE"""),"Chapéu")</f>
        <v>Chapéu</v>
      </c>
      <c r="D82" s="12">
        <f>IFERROR(__xludf.DUMMYFUNCTION("""COMPUTED_VALUE"""),47.0)</f>
        <v>47</v>
      </c>
      <c r="E82" s="12" t="str">
        <f>IFERROR(__xludf.DUMMYFUNCTION("""COMPUTED_VALUE"""),"Passo das Sombras")</f>
        <v>Passo das Sombras</v>
      </c>
      <c r="F82" s="11" t="str">
        <f>IFERROR(__xludf.DUMMYFUNCTION("""COMPUTED_VALUE"""),"Mítico")</f>
        <v>Mítico</v>
      </c>
      <c r="G82" s="12" t="str">
        <f>IFERROR(__xludf.DUMMYFUNCTION("""COMPUTED_VALUE"""),"Evita ferimentos 15% das vezes")</f>
        <v>Evita ferimentos 15% das vezes</v>
      </c>
      <c r="H82" s="9" t="b">
        <f>IFERROR(__xludf.DUMMYFUNCTION("""COMPUTED_VALUE"""),TRUE)</f>
        <v>1</v>
      </c>
      <c r="I82" s="10"/>
    </row>
    <row r="83">
      <c r="A83" s="10"/>
      <c r="B83" s="10" t="str">
        <f>IFERROR(__xludf.DUMMYFUNCTION("""COMPUTED_VALUE"""),"Chapéu Ártico")</f>
        <v>Chapéu Ártico</v>
      </c>
      <c r="C83" s="11" t="str">
        <f>IFERROR(__xludf.DUMMYFUNCTION("""COMPUTED_VALUE"""),"Chapéu")</f>
        <v>Chapéu</v>
      </c>
      <c r="D83" s="12">
        <f>IFERROR(__xludf.DUMMYFUNCTION("""COMPUTED_VALUE"""),49.0)</f>
        <v>49</v>
      </c>
      <c r="E83" s="12" t="str">
        <f>IFERROR(__xludf.DUMMYFUNCTION("""COMPUTED_VALUE"""),"Reviver 3")</f>
        <v>Reviver 3</v>
      </c>
      <c r="F83" s="11" t="str">
        <f>IFERROR(__xludf.DUMMYFUNCTION("""COMPUTED_VALUE"""),"Lendário")</f>
        <v>Lendário</v>
      </c>
      <c r="G83" s="12" t="str">
        <f>IFERROR(__xludf.DUMMYFUNCTION("""COMPUTED_VALUE"""),"Revive um companheiro derrotado 15% das vezes")</f>
        <v>Revive um companheiro derrotado 15% das vezes</v>
      </c>
      <c r="H83" s="9" t="b">
        <f>IFERROR(__xludf.DUMMYFUNCTION("""COMPUTED_VALUE"""),TRUE)</f>
        <v>1</v>
      </c>
      <c r="I83" s="10"/>
    </row>
    <row r="84">
      <c r="A84" s="10"/>
      <c r="B84" s="10" t="str">
        <f>IFERROR(__xludf.DUMMYFUNCTION("""COMPUTED_VALUE"""),"Tiara real")</f>
        <v>Tiara real</v>
      </c>
      <c r="C84" s="11" t="str">
        <f>IFERROR(__xludf.DUMMYFUNCTION("""COMPUTED_VALUE"""),"Chapéu")</f>
        <v>Chapéu</v>
      </c>
      <c r="D84" s="12">
        <f>IFERROR(__xludf.DUMMYFUNCTION("""COMPUTED_VALUE"""),50.0)</f>
        <v>50</v>
      </c>
      <c r="E84" s="12" t="str">
        <f>IFERROR(__xludf.DUMMYFUNCTION("""COMPUTED_VALUE"""),"Ganancioso 3")</f>
        <v>Ganancioso 3</v>
      </c>
      <c r="F84" s="11" t="str">
        <f>IFERROR(__xludf.DUMMYFUNCTION("""COMPUTED_VALUE"""),"Lendário")</f>
        <v>Lendário</v>
      </c>
      <c r="G84" s="12" t="str">
        <f>IFERROR(__xludf.DUMMYFUNCTION("""COMPUTED_VALUE"""),"Encontra mais 200% de ouro durante as missões")</f>
        <v>Encontra mais 200% de ouro durante as missões</v>
      </c>
      <c r="H84" s="9" t="b">
        <f>IFERROR(__xludf.DUMMYFUNCTION("""COMPUTED_VALUE"""),TRUE)</f>
        <v>1</v>
      </c>
      <c r="I84" s="10"/>
    </row>
    <row r="85">
      <c r="A85" s="10"/>
      <c r="B85" s="10" t="str">
        <f>IFERROR(__xludf.DUMMYFUNCTION("""COMPUTED_VALUE"""),"Coroa do subterrâneo")</f>
        <v>Coroa do subterrâneo</v>
      </c>
      <c r="C85" s="11" t="str">
        <f>IFERROR(__xludf.DUMMYFUNCTION("""COMPUTED_VALUE"""),"Chapéu")</f>
        <v>Chapéu</v>
      </c>
      <c r="D85" s="12">
        <f>IFERROR(__xludf.DUMMYFUNCTION("""COMPUTED_VALUE"""),53.0)</f>
        <v>53</v>
      </c>
      <c r="E85" s="12" t="str">
        <f>IFERROR(__xludf.DUMMYFUNCTION("""COMPUTED_VALUE"""),"Sortudo 3")</f>
        <v>Sortudo 3</v>
      </c>
      <c r="F85" s="11" t="str">
        <f>IFERROR(__xludf.DUMMYFUNCTION("""COMPUTED_VALUE"""),"Mítico")</f>
        <v>Mítico</v>
      </c>
      <c r="G85" s="12" t="str">
        <f>IFERROR(__xludf.DUMMYFUNCTION("""COMPUTED_VALUE"""),"Evita ferimentos 30% das vezes")</f>
        <v>Evita ferimentos 30% das vezes</v>
      </c>
      <c r="H85" s="9" t="b">
        <f>IFERROR(__xludf.DUMMYFUNCTION("""COMPUTED_VALUE"""),TRUE)</f>
        <v>1</v>
      </c>
      <c r="I85" s="10"/>
    </row>
    <row r="86">
      <c r="A86" s="10"/>
      <c r="B86" s="10" t="str">
        <f>IFERROR(__xludf.DUMMYFUNCTION("""COMPUTED_VALUE"""),"Chapéu Carangueijo")</f>
        <v>Chapéu Carangueijo</v>
      </c>
      <c r="C86" s="11" t="str">
        <f>IFERROR(__xludf.DUMMYFUNCTION("""COMPUTED_VALUE"""),"Chapéu")</f>
        <v>Chapéu</v>
      </c>
      <c r="D86" s="12">
        <f>IFERROR(__xludf.DUMMYFUNCTION("""COMPUTED_VALUE"""),55.0)</f>
        <v>55</v>
      </c>
      <c r="E86" s="12" t="str">
        <f>IFERROR(__xludf.DUMMYFUNCTION("""COMPUTED_VALUE"""),"Encontrar mágica")</f>
        <v>Encontrar mágica</v>
      </c>
      <c r="F86" s="11" t="str">
        <f>IFERROR(__xludf.DUMMYFUNCTION("""COMPUTED_VALUE"""),"Mítico")</f>
        <v>Mítico</v>
      </c>
      <c r="G86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86" s="9" t="b">
        <f>IFERROR(__xludf.DUMMYFUNCTION("""COMPUTED_VALUE"""),TRUE)</f>
        <v>1</v>
      </c>
      <c r="I86" s="10"/>
    </row>
    <row r="87">
      <c r="A87" s="10"/>
      <c r="B87" s="10" t="str">
        <f>IFERROR(__xludf.DUMMYFUNCTION("""COMPUTED_VALUE"""),"Capô de Guerra")</f>
        <v>Capô de Guerra</v>
      </c>
      <c r="C87" s="11" t="str">
        <f>IFERROR(__xludf.DUMMYFUNCTION("""COMPUTED_VALUE"""),"Chapéu")</f>
        <v>Chapéu</v>
      </c>
      <c r="D87" s="12">
        <f>IFERROR(__xludf.DUMMYFUNCTION("""COMPUTED_VALUE"""),56.0)</f>
        <v>56</v>
      </c>
      <c r="E87" s="12" t="str">
        <f>IFERROR(__xludf.DUMMYFUNCTION("""COMPUTED_VALUE"""),"Suporte 3")</f>
        <v>Suporte 3</v>
      </c>
      <c r="F87" s="11" t="str">
        <f>IFERROR(__xludf.DUMMYFUNCTION("""COMPUTED_VALUE"""),"Lendário")</f>
        <v>Lendário</v>
      </c>
      <c r="G87" s="12" t="str">
        <f>IFERROR(__xludf.DUMMYFUNCTION("""COMPUTED_VALUE"""),"Impede que o equipamento de um companheiro se quebre 3 vezes")</f>
        <v>Impede que o equipamento de um companheiro se quebre 3 vezes</v>
      </c>
      <c r="H87" s="9" t="b">
        <f>IFERROR(__xludf.DUMMYFUNCTION("""COMPUTED_VALUE"""),TRUE)</f>
        <v>1</v>
      </c>
      <c r="I87" s="10"/>
    </row>
    <row r="88">
      <c r="A88" s="10"/>
      <c r="B88" s="10" t="str">
        <f>IFERROR(__xludf.DUMMYFUNCTION("""COMPUTED_VALUE"""),"Coifa da Lua")</f>
        <v>Coifa da Lua</v>
      </c>
      <c r="C88" s="11" t="str">
        <f>IFERROR(__xludf.DUMMYFUNCTION("""COMPUTED_VALUE"""),"Elmo")</f>
        <v>Elmo</v>
      </c>
      <c r="D88" s="12">
        <f>IFERROR(__xludf.DUMMYFUNCTION("""COMPUTED_VALUE"""),10.0)</f>
        <v>10</v>
      </c>
      <c r="E88" s="12" t="str">
        <f>IFERROR(__xludf.DUMMYFUNCTION("""COMPUTED_VALUE"""),"Sortudo 1")</f>
        <v>Sortudo 1</v>
      </c>
      <c r="F88" s="11" t="str">
        <f>IFERROR(__xludf.DUMMYFUNCTION("""COMPUTED_VALUE"""),"Impecável")</f>
        <v>Impecável</v>
      </c>
      <c r="G88" s="12" t="str">
        <f>IFERROR(__xludf.DUMMYFUNCTION("""COMPUTED_VALUE"""),"Evita ferimentos 10% das vezes")</f>
        <v>Evita ferimentos 10% das vezes</v>
      </c>
      <c r="H88" s="9" t="b">
        <f>IFERROR(__xludf.DUMMYFUNCTION("""COMPUTED_VALUE"""),TRUE)</f>
        <v>1</v>
      </c>
      <c r="I88" s="10"/>
    </row>
    <row r="89">
      <c r="A89" s="10"/>
      <c r="B89" s="10" t="str">
        <f>IFERROR(__xludf.DUMMYFUNCTION("""COMPUTED_VALUE"""),"Elmo do Paladino")</f>
        <v>Elmo do Paladino</v>
      </c>
      <c r="C89" s="11" t="str">
        <f>IFERROR(__xludf.DUMMYFUNCTION("""COMPUTED_VALUE"""),"Elmo")</f>
        <v>Elmo</v>
      </c>
      <c r="D89" s="12">
        <f>IFERROR(__xludf.DUMMYFUNCTION("""COMPUTED_VALUE"""),19.0)</f>
        <v>19</v>
      </c>
      <c r="E89" s="12" t="str">
        <f>IFERROR(__xludf.DUMMYFUNCTION("""COMPUTED_VALUE"""),"Protetor 1")</f>
        <v>Protetor 1</v>
      </c>
      <c r="F89" s="11" t="str">
        <f>IFERROR(__xludf.DUMMYFUNCTION("""COMPUTED_VALUE"""),"Impecável")</f>
        <v>Impecável</v>
      </c>
      <c r="G89" s="12" t="str">
        <f>IFERROR(__xludf.DUMMYFUNCTION("""COMPUTED_VALUE"""),"Aumenta a taxa de sobrevivência do grupo em 2%")</f>
        <v>Aumenta a taxa de sobrevivência do grupo em 2%</v>
      </c>
      <c r="H89" s="9" t="b">
        <f>IFERROR(__xludf.DUMMYFUNCTION("""COMPUTED_VALUE"""),TRUE)</f>
        <v>1</v>
      </c>
      <c r="I89" s="10"/>
    </row>
    <row r="90">
      <c r="A90" s="10"/>
      <c r="B90" s="10" t="str">
        <f>IFERROR(__xludf.DUMMYFUNCTION("""COMPUTED_VALUE"""),"Elmo Congelado")</f>
        <v>Elmo Congelado</v>
      </c>
      <c r="C90" s="11" t="str">
        <f>IFERROR(__xludf.DUMMYFUNCTION("""COMPUTED_VALUE"""),"Elmo")</f>
        <v>Elmo</v>
      </c>
      <c r="D90" s="12">
        <f>IFERROR(__xludf.DUMMYFUNCTION("""COMPUTED_VALUE"""),23.0)</f>
        <v>23</v>
      </c>
      <c r="E90" s="12" t="str">
        <f>IFERROR(__xludf.DUMMYFUNCTION("""COMPUTED_VALUE"""),"Protetor 1")</f>
        <v>Protetor 1</v>
      </c>
      <c r="F90" s="11" t="str">
        <f>IFERROR(__xludf.DUMMYFUNCTION("""COMPUTED_VALUE"""),"Épico")</f>
        <v>Épico</v>
      </c>
      <c r="G90" s="12" t="str">
        <f>IFERROR(__xludf.DUMMYFUNCTION("""COMPUTED_VALUE"""),"Aumenta a taxa de sobrevivência do grupo em 2%")</f>
        <v>Aumenta a taxa de sobrevivência do grupo em 2%</v>
      </c>
      <c r="H90" s="9" t="b">
        <f>IFERROR(__xludf.DUMMYFUNCTION("""COMPUTED_VALUE"""),TRUE)</f>
        <v>1</v>
      </c>
      <c r="I90" s="10"/>
    </row>
    <row r="91">
      <c r="A91" s="10"/>
      <c r="B91" s="10" t="str">
        <f>IFERROR(__xludf.DUMMYFUNCTION("""COMPUTED_VALUE"""),"Elmo do Aventureiro")</f>
        <v>Elmo do Aventureiro</v>
      </c>
      <c r="C91" s="11" t="str">
        <f>IFERROR(__xludf.DUMMYFUNCTION("""COMPUTED_VALUE"""),"Elmo")</f>
        <v>Elmo</v>
      </c>
      <c r="D91" s="12">
        <f>IFERROR(__xludf.DUMMYFUNCTION("""COMPUTED_VALUE"""),32.0)</f>
        <v>32</v>
      </c>
      <c r="E91" s="12" t="str">
        <f>IFERROR(__xludf.DUMMYFUNCTION("""COMPUTED_VALUE"""),"Reviver 2")</f>
        <v>Reviver 2</v>
      </c>
      <c r="F91" s="11" t="str">
        <f>IFERROR(__xludf.DUMMYFUNCTION("""COMPUTED_VALUE"""),"Lendário")</f>
        <v>Lendário</v>
      </c>
      <c r="G91" s="12" t="str">
        <f>IFERROR(__xludf.DUMMYFUNCTION("""COMPUTED_VALUE"""),"Revive um companheiro derrotado 10% das vezes")</f>
        <v>Revive um companheiro derrotado 10% das vezes</v>
      </c>
      <c r="H91" s="9" t="b">
        <f>IFERROR(__xludf.DUMMYFUNCTION("""COMPUTED_VALUE"""),TRUE)</f>
        <v>1</v>
      </c>
      <c r="I91" s="10"/>
    </row>
    <row r="92">
      <c r="A92" s="10"/>
      <c r="B92" s="10" t="str">
        <f>IFERROR(__xludf.DUMMYFUNCTION("""COMPUTED_VALUE"""),"Elmo da Fênix")</f>
        <v>Elmo da Fênix</v>
      </c>
      <c r="C92" s="11" t="str">
        <f>IFERROR(__xludf.DUMMYFUNCTION("""COMPUTED_VALUE"""),"Elmo")</f>
        <v>Elmo</v>
      </c>
      <c r="D92" s="12">
        <f>IFERROR(__xludf.DUMMYFUNCTION("""COMPUTED_VALUE"""),34.0)</f>
        <v>34</v>
      </c>
      <c r="E92" s="12" t="str">
        <f>IFERROR(__xludf.DUMMYFUNCTION("""COMPUTED_VALUE"""),"Velocista 1")</f>
        <v>Velocista 1</v>
      </c>
      <c r="F92" s="11" t="str">
        <f>IFERROR(__xludf.DUMMYFUNCTION("""COMPUTED_VALUE"""),"Lendário")</f>
        <v>Lendário</v>
      </c>
      <c r="G92" s="12" t="str">
        <f>IFERROR(__xludf.DUMMYFUNCTION("""COMPUTED_VALUE"""),"Reduz a duração da missão em 10%")</f>
        <v>Reduz a duração da missão em 10%</v>
      </c>
      <c r="H92" s="9" t="b">
        <f>IFERROR(__xludf.DUMMYFUNCTION("""COMPUTED_VALUE"""),TRUE)</f>
        <v>1</v>
      </c>
      <c r="I92" s="10"/>
    </row>
    <row r="93">
      <c r="A93" s="10"/>
      <c r="B93" s="10" t="str">
        <f>IFERROR(__xludf.DUMMYFUNCTION("""COMPUTED_VALUE"""),"Elmo de Guerra de Lu Bu")</f>
        <v>Elmo de Guerra de Lu Bu</v>
      </c>
      <c r="C93" s="11" t="str">
        <f>IFERROR(__xludf.DUMMYFUNCTION("""COMPUTED_VALUE"""),"Elmo")</f>
        <v>Elmo</v>
      </c>
      <c r="D93" s="12">
        <f>IFERROR(__xludf.DUMMYFUNCTION("""COMPUTED_VALUE"""),36.0)</f>
        <v>36</v>
      </c>
      <c r="E93" s="12" t="str">
        <f>IFERROR(__xludf.DUMMYFUNCTION("""COMPUTED_VALUE"""),"Comandante 2")</f>
        <v>Comandante 2</v>
      </c>
      <c r="F93" s="11" t="str">
        <f>IFERROR(__xludf.DUMMYFUNCTION("""COMPUTED_VALUE"""),"Mítico")</f>
        <v>Mítico</v>
      </c>
      <c r="G93" s="12" t="str">
        <f>IFERROR(__xludf.DUMMYFUNCTION("""COMPUTED_VALUE"""),"Aumenta a força dos guerreiros do grupo em 25%")</f>
        <v>Aumenta a força dos guerreiros do grupo em 25%</v>
      </c>
      <c r="H93" s="9" t="b">
        <f>IFERROR(__xludf.DUMMYFUNCTION("""COMPUTED_VALUE"""),TRUE)</f>
        <v>1</v>
      </c>
      <c r="I93" s="10"/>
    </row>
    <row r="94">
      <c r="A94" s="10"/>
      <c r="B94" s="10" t="str">
        <f>IFERROR(__xludf.DUMMYFUNCTION("""COMPUTED_VALUE"""),"Elmo de Escamas de Dragão")</f>
        <v>Elmo de Escamas de Dragão</v>
      </c>
      <c r="C94" s="11" t="str">
        <f>IFERROR(__xludf.DUMMYFUNCTION("""COMPUTED_VALUE"""),"Elmo")</f>
        <v>Elmo</v>
      </c>
      <c r="D94" s="12">
        <f>IFERROR(__xludf.DUMMYFUNCTION("""COMPUTED_VALUE"""),38.0)</f>
        <v>38</v>
      </c>
      <c r="E94" s="12" t="str">
        <f>IFERROR(__xludf.DUMMYFUNCTION("""COMPUTED_VALUE"""),"Companheiro de Guerra 1")</f>
        <v>Companheiro de Guerra 1</v>
      </c>
      <c r="F94" s="11" t="str">
        <f>IFERROR(__xludf.DUMMYFUNCTION("""COMPUTED_VALUE"""),"Lendário")</f>
        <v>Lendário</v>
      </c>
      <c r="G94" s="12" t="str">
        <f>IFERROR(__xludf.DUMMYFUNCTION("""COMPUTED_VALUE"""),"Aumenta a taxa de sobrevivência de membros masculinos do grupo em 5%")</f>
        <v>Aumenta a taxa de sobrevivência de membros masculinos do grupo em 5%</v>
      </c>
      <c r="H94" s="9" t="b">
        <f>IFERROR(__xludf.DUMMYFUNCTION("""COMPUTED_VALUE"""),TRUE)</f>
        <v>1</v>
      </c>
      <c r="I94" s="10"/>
    </row>
    <row r="95">
      <c r="A95" s="10"/>
      <c r="B95" s="10" t="str">
        <f>IFERROR(__xludf.DUMMYFUNCTION("""COMPUTED_VALUE"""),"Coroa de Korra")</f>
        <v>Coroa de Korra</v>
      </c>
      <c r="C95" s="11" t="str">
        <f>IFERROR(__xludf.DUMMYFUNCTION("""COMPUTED_VALUE"""),"Elmo")</f>
        <v>Elmo</v>
      </c>
      <c r="D95" s="12">
        <f>IFERROR(__xludf.DUMMYFUNCTION("""COMPUTED_VALUE"""),38.0)</f>
        <v>38</v>
      </c>
      <c r="E95" s="12" t="str">
        <f>IFERROR(__xludf.DUMMYFUNCTION("""COMPUTED_VALUE"""),"Suporte 2")</f>
        <v>Suporte 2</v>
      </c>
      <c r="F95" s="11" t="str">
        <f>IFERROR(__xludf.DUMMYFUNCTION("""COMPUTED_VALUE"""),"Épico")</f>
        <v>Épico</v>
      </c>
      <c r="G95" s="12" t="str">
        <f>IFERROR(__xludf.DUMMYFUNCTION("""COMPUTED_VALUE"""),"Impede que o equipamento de um companheiro se quebre 2 vezes")</f>
        <v>Impede que o equipamento de um companheiro se quebre 2 vezes</v>
      </c>
      <c r="H95" s="9" t="b">
        <f>IFERROR(__xludf.DUMMYFUNCTION("""COMPUTED_VALUE"""),TRUE)</f>
        <v>1</v>
      </c>
      <c r="I95" s="10"/>
    </row>
    <row r="96">
      <c r="A96" s="10"/>
      <c r="B96" s="10" t="str">
        <f>IFERROR(__xludf.DUMMYFUNCTION("""COMPUTED_VALUE"""),"Elmo de Adamantium")</f>
        <v>Elmo de Adamantium</v>
      </c>
      <c r="C96" s="11" t="str">
        <f>IFERROR(__xludf.DUMMYFUNCTION("""COMPUTED_VALUE"""),"Elmo")</f>
        <v>Elmo</v>
      </c>
      <c r="D96" s="12">
        <f>IFERROR(__xludf.DUMMYFUNCTION("""COMPUTED_VALUE"""),40.0)</f>
        <v>40</v>
      </c>
      <c r="E96" s="12" t="str">
        <f>IFERROR(__xludf.DUMMYFUNCTION("""COMPUTED_VALUE"""),"Energético 1")</f>
        <v>Energético 1</v>
      </c>
      <c r="F96" s="11" t="str">
        <f>IFERROR(__xludf.DUMMYFUNCTION("""COMPUTED_VALUE"""),"Lendário")</f>
        <v>Lendário</v>
      </c>
      <c r="G96" s="12" t="str">
        <f>IFERROR(__xludf.DUMMYFUNCTION("""COMPUTED_VALUE"""),"Reduz o tempo de espera depois da missão em 50%")</f>
        <v>Reduz o tempo de espera depois da missão em 50%</v>
      </c>
      <c r="H96" s="9" t="b">
        <f>IFERROR(__xludf.DUMMYFUNCTION("""COMPUTED_VALUE"""),TRUE)</f>
        <v>1</v>
      </c>
      <c r="I96" s="10"/>
    </row>
    <row r="97">
      <c r="A97" s="10"/>
      <c r="B97" s="10" t="str">
        <f>IFERROR(__xludf.DUMMYFUNCTION("""COMPUTED_VALUE"""),"Barbuta de Fogo-Gelo")</f>
        <v>Barbuta de Fogo-Gelo</v>
      </c>
      <c r="C97" s="11" t="str">
        <f>IFERROR(__xludf.DUMMYFUNCTION("""COMPUTED_VALUE"""),"Elmo")</f>
        <v>Elmo</v>
      </c>
      <c r="D97" s="12">
        <f>IFERROR(__xludf.DUMMYFUNCTION("""COMPUTED_VALUE"""),45.0)</f>
        <v>45</v>
      </c>
      <c r="E97" s="12" t="str">
        <f>IFERROR(__xludf.DUMMYFUNCTION("""COMPUTED_VALUE"""),"Cone-gélido")</f>
        <v>Cone-gélido</v>
      </c>
      <c r="F97" s="11" t="str">
        <f>IFERROR(__xludf.DUMMYFUNCTION("""COMPUTED_VALUE"""),"Lendário")</f>
        <v>Lendário</v>
      </c>
      <c r="G97" s="12" t="str">
        <f>IFERROR(__xludf.DUMMYFUNCTION("""COMPUTED_VALUE"""),"Aumenta a força em 40%")</f>
        <v>Aumenta a força em 40%</v>
      </c>
      <c r="H97" s="9" t="b">
        <f>IFERROR(__xludf.DUMMYFUNCTION("""COMPUTED_VALUE"""),TRUE)</f>
        <v>1</v>
      </c>
      <c r="I97" s="10"/>
    </row>
    <row r="98">
      <c r="A98" s="10"/>
      <c r="B98" s="10" t="str">
        <f>IFERROR(__xludf.DUMMYFUNCTION("""COMPUTED_VALUE"""),"Inteligência Artifical")</f>
        <v>Inteligência Artifical</v>
      </c>
      <c r="C98" s="11" t="str">
        <f>IFERROR(__xludf.DUMMYFUNCTION("""COMPUTED_VALUE"""),"Elmo")</f>
        <v>Elmo</v>
      </c>
      <c r="D98" s="12">
        <f>IFERROR(__xludf.DUMMYFUNCTION("""COMPUTED_VALUE"""),47.0)</f>
        <v>47</v>
      </c>
      <c r="E98" s="12" t="str">
        <f>IFERROR(__xludf.DUMMYFUNCTION("""COMPUTED_VALUE"""),"Líder 3")</f>
        <v>Líder 3</v>
      </c>
      <c r="F98" s="11" t="str">
        <f>IFERROR(__xludf.DUMMYFUNCTION("""COMPUTED_VALUE"""),"Lendário")</f>
        <v>Lendário</v>
      </c>
      <c r="G98" s="12" t="str">
        <f>IFERROR(__xludf.DUMMYFUNCTION("""COMPUTED_VALUE"""),"Aumenta o número de companheiros em +3")</f>
        <v>Aumenta o número de companheiros em +3</v>
      </c>
      <c r="H98" s="9" t="b">
        <f>IFERROR(__xludf.DUMMYFUNCTION("""COMPUTED_VALUE"""),TRUE)</f>
        <v>1</v>
      </c>
      <c r="I98" s="10"/>
    </row>
    <row r="99">
      <c r="A99" s="10"/>
      <c r="B99" s="10" t="str">
        <f>IFERROR(__xludf.DUMMYFUNCTION("""COMPUTED_VALUE"""),"Elmo de Jade")</f>
        <v>Elmo de Jade</v>
      </c>
      <c r="C99" s="11" t="str">
        <f>IFERROR(__xludf.DUMMYFUNCTION("""COMPUTED_VALUE"""),"Elmo")</f>
        <v>Elmo</v>
      </c>
      <c r="D99" s="12">
        <f>IFERROR(__xludf.DUMMYFUNCTION("""COMPUTED_VALUE"""),50.0)</f>
        <v>50</v>
      </c>
      <c r="E99" s="12" t="str">
        <f>IFERROR(__xludf.DUMMYFUNCTION("""COMPUTED_VALUE"""),"Pele de pedra")</f>
        <v>Pele de pedra</v>
      </c>
      <c r="F99" s="11" t="str">
        <f>IFERROR(__xludf.DUMMYFUNCTION("""COMPUTED_VALUE"""),"Mítico")</f>
        <v>Mítico</v>
      </c>
      <c r="G99" s="12" t="str">
        <f>IFERROR(__xludf.DUMMYFUNCTION("""COMPUTED_VALUE"""),"Aumenta a força em 30%")</f>
        <v>Aumenta a força em 30%</v>
      </c>
      <c r="H99" s="9" t="b">
        <f>IFERROR(__xludf.DUMMYFUNCTION("""COMPUTED_VALUE"""),TRUE)</f>
        <v>1</v>
      </c>
      <c r="I99" s="10"/>
    </row>
    <row r="100">
      <c r="A100" s="10"/>
      <c r="B100" s="10" t="str">
        <f>IFERROR(__xludf.DUMMYFUNCTION("""COMPUTED_VALUE"""),"Viper Headdress")</f>
        <v>Viper Headdress</v>
      </c>
      <c r="C100" s="11" t="str">
        <f>IFERROR(__xludf.DUMMYFUNCTION("""COMPUTED_VALUE"""),"Elmo")</f>
        <v>Elmo</v>
      </c>
      <c r="D100" s="12">
        <f>IFERROR(__xludf.DUMMYFUNCTION("""COMPUTED_VALUE"""),54.0)</f>
        <v>54</v>
      </c>
      <c r="E100" s="12" t="str">
        <f>IFERROR(__xludf.DUMMYFUNCTION("""COMPUTED_VALUE"""),"Suporte 3")</f>
        <v>Suporte 3</v>
      </c>
      <c r="F100" s="11" t="str">
        <f>IFERROR(__xludf.DUMMYFUNCTION("""COMPUTED_VALUE"""),"Mítico")</f>
        <v>Mítico</v>
      </c>
      <c r="G100" s="12" t="str">
        <f>IFERROR(__xludf.DUMMYFUNCTION("""COMPUTED_VALUE"""),"Impede que o equipamento de um companheiro se quebre 3 vezes")</f>
        <v>Impede que o equipamento de um companheiro se quebre 3 vezes</v>
      </c>
      <c r="H100" s="9" t="b">
        <f>IFERROR(__xludf.DUMMYFUNCTION("""COMPUTED_VALUE"""),TRUE)</f>
        <v>1</v>
      </c>
      <c r="I100" s="10"/>
    </row>
    <row r="101">
      <c r="A101" s="10"/>
      <c r="B101" s="10" t="str">
        <f>IFERROR(__xludf.DUMMYFUNCTION("""COMPUTED_VALUE"""),"Coroa Serrilhada")</f>
        <v>Coroa Serrilhada</v>
      </c>
      <c r="C101" s="11" t="str">
        <f>IFERROR(__xludf.DUMMYFUNCTION("""COMPUTED_VALUE"""),"Elmo")</f>
        <v>Elmo</v>
      </c>
      <c r="D101" s="12">
        <f>IFERROR(__xludf.DUMMYFUNCTION("""COMPUTED_VALUE"""),55.0)</f>
        <v>55</v>
      </c>
      <c r="E101" s="12" t="str">
        <f>IFERROR(__xludf.DUMMYFUNCTION("""COMPUTED_VALUE"""),"Energético 2")</f>
        <v>Energético 2</v>
      </c>
      <c r="F101" s="11" t="str">
        <f>IFERROR(__xludf.DUMMYFUNCTION("""COMPUTED_VALUE"""),"Mítico")</f>
        <v>Mítico</v>
      </c>
      <c r="G101" s="12" t="str">
        <f>IFERROR(__xludf.DUMMYFUNCTION("""COMPUTED_VALUE"""),"Reduz o tempo de espera depois da missão em 75%")</f>
        <v>Reduz o tempo de espera depois da missão em 75%</v>
      </c>
      <c r="H101" s="9" t="b">
        <f>IFERROR(__xludf.DUMMYFUNCTION("""COMPUTED_VALUE"""),TRUE)</f>
        <v>1</v>
      </c>
      <c r="I101" s="10"/>
    </row>
    <row r="102">
      <c r="A102" s="10"/>
      <c r="B102" s="10" t="str">
        <f>IFERROR(__xludf.DUMMYFUNCTION("""COMPUTED_VALUE"""),"Pó Colorido")</f>
        <v>Pó Colorido</v>
      </c>
      <c r="C102" s="11" t="str">
        <f>IFERROR(__xludf.DUMMYFUNCTION("""COMPUTED_VALUE"""),"Erva")</f>
        <v>Erva</v>
      </c>
      <c r="D102" s="12">
        <f>IFERROR(__xludf.DUMMYFUNCTION("""COMPUTED_VALUE"""),8.0)</f>
        <v>8</v>
      </c>
      <c r="E102" s="12" t="str">
        <f>IFERROR(__xludf.DUMMYFUNCTION("""COMPUTED_VALUE"""),"Energético 1")</f>
        <v>Energético 1</v>
      </c>
      <c r="F102" s="11" t="str">
        <f>IFERROR(__xludf.DUMMYFUNCTION("""COMPUTED_VALUE"""),"Impecável")</f>
        <v>Impecável</v>
      </c>
      <c r="G102" s="12" t="str">
        <f>IFERROR(__xludf.DUMMYFUNCTION("""COMPUTED_VALUE"""),"Reduz o tempo de espera depois da missão em 50%")</f>
        <v>Reduz o tempo de espera depois da missão em 50%</v>
      </c>
      <c r="H102" s="9" t="b">
        <f>IFERROR(__xludf.DUMMYFUNCTION("""COMPUTED_VALUE"""),TRUE)</f>
        <v>1</v>
      </c>
      <c r="I102" s="10"/>
    </row>
    <row r="103">
      <c r="A103" s="10"/>
      <c r="B103" s="10" t="str">
        <f>IFERROR(__xludf.DUMMYFUNCTION("""COMPUTED_VALUE"""),"Semente Rápida")</f>
        <v>Semente Rápida</v>
      </c>
      <c r="C103" s="11" t="str">
        <f>IFERROR(__xludf.DUMMYFUNCTION("""COMPUTED_VALUE"""),"Erva")</f>
        <v>Erva</v>
      </c>
      <c r="D103" s="12">
        <f>IFERROR(__xludf.DUMMYFUNCTION("""COMPUTED_VALUE"""),23.0)</f>
        <v>23</v>
      </c>
      <c r="E103" s="12" t="str">
        <f>IFERROR(__xludf.DUMMYFUNCTION("""COMPUTED_VALUE"""),"Gangster 1")</f>
        <v>Gangster 1</v>
      </c>
      <c r="F103" s="11" t="str">
        <f>IFERROR(__xludf.DUMMYFUNCTION("""COMPUTED_VALUE"""),"Impecável")</f>
        <v>Impecável</v>
      </c>
      <c r="G103" s="12" t="str">
        <f>IFERROR(__xludf.DUMMYFUNCTION("""COMPUTED_VALUE"""),"Aumenta a força do equipamento em 10%")</f>
        <v>Aumenta a força do equipamento em 10%</v>
      </c>
      <c r="H103" s="9" t="b">
        <f>IFERROR(__xludf.DUMMYFUNCTION("""COMPUTED_VALUE"""),TRUE)</f>
        <v>1</v>
      </c>
      <c r="I103" s="10"/>
    </row>
    <row r="104">
      <c r="A104" s="10"/>
      <c r="B104" s="10" t="str">
        <f>IFERROR(__xludf.DUMMYFUNCTION("""COMPUTED_VALUE"""),"Chá Revitalizador ")</f>
        <v>Chá Revitalizador </v>
      </c>
      <c r="C104" s="11" t="str">
        <f>IFERROR(__xludf.DUMMYFUNCTION("""COMPUTED_VALUE"""),"Erva")</f>
        <v>Erva</v>
      </c>
      <c r="D104" s="12">
        <f>IFERROR(__xludf.DUMMYFUNCTION("""COMPUTED_VALUE"""),26.0)</f>
        <v>26</v>
      </c>
      <c r="E104" s="12" t="str">
        <f>IFERROR(__xludf.DUMMYFUNCTION("""COMPUTED_VALUE"""),"Curandeiro 1")</f>
        <v>Curandeiro 1</v>
      </c>
      <c r="F104" s="11" t="str">
        <f>IFERROR(__xludf.DUMMYFUNCTION("""COMPUTED_VALUE"""),"Épico")</f>
        <v>Épico</v>
      </c>
      <c r="G104" s="12" t="str">
        <f>IFERROR(__xludf.DUMMYFUNCTION("""COMPUTED_VALUE"""),"Reduz o tempo de cura de companheiros em 10%")</f>
        <v>Reduz o tempo de cura de companheiros em 10%</v>
      </c>
      <c r="H104" s="9" t="b">
        <f>IFERROR(__xludf.DUMMYFUNCTION("""COMPUTED_VALUE"""),TRUE)</f>
        <v>1</v>
      </c>
      <c r="I104" s="10"/>
    </row>
    <row r="105">
      <c r="A105" s="10"/>
      <c r="B105" s="10" t="str">
        <f>IFERROR(__xludf.DUMMYFUNCTION("""COMPUTED_VALUE"""),"Semente forte")</f>
        <v>Semente forte</v>
      </c>
      <c r="C105" s="11" t="str">
        <f>IFERROR(__xludf.DUMMYFUNCTION("""COMPUTED_VALUE"""),"Erva")</f>
        <v>Erva</v>
      </c>
      <c r="D105" s="12">
        <f>IFERROR(__xludf.DUMMYFUNCTION("""COMPUTED_VALUE"""),34.0)</f>
        <v>34</v>
      </c>
      <c r="E105" s="12" t="str">
        <f>IFERROR(__xludf.DUMMYFUNCTION("""COMPUTED_VALUE"""),"Comandante 1")</f>
        <v>Comandante 1</v>
      </c>
      <c r="F105" s="11" t="str">
        <f>IFERROR(__xludf.DUMMYFUNCTION("""COMPUTED_VALUE"""),"Épico")</f>
        <v>Épico</v>
      </c>
      <c r="G105" s="12" t="str">
        <f>IFERROR(__xludf.DUMMYFUNCTION("""COMPUTED_VALUE"""),"Aumenta a força dos guerreiros do grupo em 15%")</f>
        <v>Aumenta a força dos guerreiros do grupo em 15%</v>
      </c>
      <c r="H105" s="9" t="b">
        <f>IFERROR(__xludf.DUMMYFUNCTION("""COMPUTED_VALUE"""),TRUE)</f>
        <v>1</v>
      </c>
      <c r="I105" s="10"/>
    </row>
    <row r="106">
      <c r="A106" s="10"/>
      <c r="B106" s="10" t="str">
        <f>IFERROR(__xludf.DUMMYFUNCTION("""COMPUTED_VALUE"""),"Panaceia")</f>
        <v>Panaceia</v>
      </c>
      <c r="C106" s="11" t="str">
        <f>IFERROR(__xludf.DUMMYFUNCTION("""COMPUTED_VALUE"""),"Erva")</f>
        <v>Erva</v>
      </c>
      <c r="D106" s="12">
        <f>IFERROR(__xludf.DUMMYFUNCTION("""COMPUTED_VALUE"""),37.0)</f>
        <v>37</v>
      </c>
      <c r="E106" s="12" t="str">
        <f>IFERROR(__xludf.DUMMYFUNCTION("""COMPUTED_VALUE"""),"Curandeiro 1")</f>
        <v>Curandeiro 1</v>
      </c>
      <c r="F106" s="11" t="str">
        <f>IFERROR(__xludf.DUMMYFUNCTION("""COMPUTED_VALUE"""),"Lendário")</f>
        <v>Lendário</v>
      </c>
      <c r="G106" s="12" t="str">
        <f>IFERROR(__xludf.DUMMYFUNCTION("""COMPUTED_VALUE"""),"Reduz o tempo de cura de companheiros em 10%")</f>
        <v>Reduz o tempo de cura de companheiros em 10%</v>
      </c>
      <c r="H106" s="9" t="b">
        <f>IFERROR(__xludf.DUMMYFUNCTION("""COMPUTED_VALUE"""),TRUE)</f>
        <v>1</v>
      </c>
      <c r="I106" s="10"/>
    </row>
    <row r="107">
      <c r="A107" s="10"/>
      <c r="B107" s="10" t="str">
        <f>IFERROR(__xludf.DUMMYFUNCTION("""COMPUTED_VALUE"""),"Lucky Clover")</f>
        <v>Lucky Clover</v>
      </c>
      <c r="C107" s="11" t="str">
        <f>IFERROR(__xludf.DUMMYFUNCTION("""COMPUTED_VALUE"""),"Erva")</f>
        <v>Erva</v>
      </c>
      <c r="D107" s="12">
        <f>IFERROR(__xludf.DUMMYFUNCTION("""COMPUTED_VALUE"""),38.0)</f>
        <v>38</v>
      </c>
      <c r="E107" s="12" t="str">
        <f>IFERROR(__xludf.DUMMYFUNCTION("""COMPUTED_VALUE"""),"Sortudo 3")</f>
        <v>Sortudo 3</v>
      </c>
      <c r="F107" s="11" t="str">
        <f>IFERROR(__xludf.DUMMYFUNCTION("""COMPUTED_VALUE"""),"Lendário")</f>
        <v>Lendário</v>
      </c>
      <c r="G107" s="12" t="str">
        <f>IFERROR(__xludf.DUMMYFUNCTION("""COMPUTED_VALUE"""),"Evita ferimentos 30% das vezes")</f>
        <v>Evita ferimentos 30% das vezes</v>
      </c>
      <c r="H107" s="9" t="b">
        <f>IFERROR(__xludf.DUMMYFUNCTION("""COMPUTED_VALUE"""),TRUE)</f>
        <v>1</v>
      </c>
      <c r="I107" s="10"/>
    </row>
    <row r="108">
      <c r="A108" s="10"/>
      <c r="B108" s="10" t="str">
        <f>IFERROR(__xludf.DUMMYFUNCTION("""COMPUTED_VALUE"""),"Semente mágica")</f>
        <v>Semente mágica</v>
      </c>
      <c r="C108" s="11" t="str">
        <f>IFERROR(__xludf.DUMMYFUNCTION("""COMPUTED_VALUE"""),"Erva")</f>
        <v>Erva</v>
      </c>
      <c r="D108" s="12">
        <f>IFERROR(__xludf.DUMMYFUNCTION("""COMPUTED_VALUE"""),40.0)</f>
        <v>40</v>
      </c>
      <c r="E108" s="12" t="str">
        <f>IFERROR(__xludf.DUMMYFUNCTION("""COMPUTED_VALUE"""),"Arquimago 1")</f>
        <v>Arquimago 1</v>
      </c>
      <c r="F108" s="11" t="str">
        <f>IFERROR(__xludf.DUMMYFUNCTION("""COMPUTED_VALUE"""),"Lendário")</f>
        <v>Lendário</v>
      </c>
      <c r="G108" s="12" t="str">
        <f>IFERROR(__xludf.DUMMYFUNCTION("""COMPUTED_VALUE"""),"Aumenta a força dos feiticeiros do grupo em 10%")</f>
        <v>Aumenta a força dos feiticeiros do grupo em 10%</v>
      </c>
      <c r="H108" s="9" t="b">
        <f>IFERROR(__xludf.DUMMYFUNCTION("""COMPUTED_VALUE"""),TRUE)</f>
        <v>1</v>
      </c>
      <c r="I108" s="10"/>
    </row>
    <row r="109">
      <c r="A109" s="10"/>
      <c r="B109" s="10" t="str">
        <f>IFERROR(__xludf.DUMMYFUNCTION("""COMPUTED_VALUE"""),"Feijões Mágicos ")</f>
        <v>Feijões Mágicos </v>
      </c>
      <c r="C109" s="11" t="str">
        <f>IFERROR(__xludf.DUMMYFUNCTION("""COMPUTED_VALUE"""),"Erva")</f>
        <v>Erva</v>
      </c>
      <c r="D109" s="12">
        <f>IFERROR(__xludf.DUMMYFUNCTION("""COMPUTED_VALUE"""),46.0)</f>
        <v>46</v>
      </c>
      <c r="E109" s="12" t="str">
        <f>IFERROR(__xludf.DUMMYFUNCTION("""COMPUTED_VALUE"""),"Companheiro de Guerra 2")</f>
        <v>Companheiro de Guerra 2</v>
      </c>
      <c r="F109" s="11" t="str">
        <f>IFERROR(__xludf.DUMMYFUNCTION("""COMPUTED_VALUE"""),"Mítico")</f>
        <v>Mítico</v>
      </c>
      <c r="G109" s="12" t="str">
        <f>IFERROR(__xludf.DUMMYFUNCTION("""COMPUTED_VALUE"""),"Aumenta a taxa de sobrevivência de membros masculinos do grupo em 10%")</f>
        <v>Aumenta a taxa de sobrevivência de membros masculinos do grupo em 10%</v>
      </c>
      <c r="H109" s="9" t="b">
        <f>IFERROR(__xludf.DUMMYFUNCTION("""COMPUTED_VALUE"""),TRUE)</f>
        <v>1</v>
      </c>
      <c r="I109" s="10"/>
    </row>
    <row r="110">
      <c r="A110" s="10"/>
      <c r="B110" s="10" t="str">
        <f>IFERROR(__xludf.DUMMYFUNCTION("""COMPUTED_VALUE"""),"Pó de demônio")</f>
        <v>Pó de demônio</v>
      </c>
      <c r="C110" s="11" t="str">
        <f>IFERROR(__xludf.DUMMYFUNCTION("""COMPUTED_VALUE"""),"Erva")</f>
        <v>Erva</v>
      </c>
      <c r="D110" s="12">
        <f>IFERROR(__xludf.DUMMYFUNCTION("""COMPUTED_VALUE"""),47.0)</f>
        <v>47</v>
      </c>
      <c r="E110" s="12" t="str">
        <f>IFERROR(__xludf.DUMMYFUNCTION("""COMPUTED_VALUE"""),"Bola de fogo")</f>
        <v>Bola de fogo</v>
      </c>
      <c r="F110" s="11" t="str">
        <f>IFERROR(__xludf.DUMMYFUNCTION("""COMPUTED_VALUE"""),"Lendário")</f>
        <v>Lendário</v>
      </c>
      <c r="G110" s="12" t="str">
        <f>IFERROR(__xludf.DUMMYFUNCTION("""COMPUTED_VALUE"""),"Aumenta a força em 25%")</f>
        <v>Aumenta a força em 25%</v>
      </c>
      <c r="H110" s="9" t="b">
        <f>IFERROR(__xludf.DUMMYFUNCTION("""COMPUTED_VALUE"""),TRUE)</f>
        <v>1</v>
      </c>
      <c r="I110" s="10"/>
    </row>
    <row r="111">
      <c r="A111" s="10"/>
      <c r="B111" s="10" t="str">
        <f>IFERROR(__xludf.DUMMYFUNCTION("""COMPUTED_VALUE"""),"Chá dragônico")</f>
        <v>Chá dragônico</v>
      </c>
      <c r="C111" s="11" t="str">
        <f>IFERROR(__xludf.DUMMYFUNCTION("""COMPUTED_VALUE"""),"Erva")</f>
        <v>Erva</v>
      </c>
      <c r="D111" s="12">
        <f>IFERROR(__xludf.DUMMYFUNCTION("""COMPUTED_VALUE"""),50.0)</f>
        <v>50</v>
      </c>
      <c r="E111" s="12" t="str">
        <f>IFERROR(__xludf.DUMMYFUNCTION("""COMPUTED_VALUE"""),"Curandeiro 2")</f>
        <v>Curandeiro 2</v>
      </c>
      <c r="F111" s="11" t="str">
        <f>IFERROR(__xludf.DUMMYFUNCTION("""COMPUTED_VALUE"""),"Mítico")</f>
        <v>Mítico</v>
      </c>
      <c r="G111" s="12" t="str">
        <f>IFERROR(__xludf.DUMMYFUNCTION("""COMPUTED_VALUE"""),"Reduz o tempo de cura de companheiros em 25%")</f>
        <v>Reduz o tempo de cura de companheiros em 25%</v>
      </c>
      <c r="H111" s="9" t="b">
        <f>IFERROR(__xludf.DUMMYFUNCTION("""COMPUTED_VALUE"""),TRUE)</f>
        <v>1</v>
      </c>
      <c r="I111" s="10"/>
    </row>
    <row r="112">
      <c r="A112" s="10"/>
      <c r="B112" s="10" t="str">
        <f>IFERROR(__xludf.DUMMYFUNCTION("""COMPUTED_VALUE"""),"Seed of Power")</f>
        <v>Seed of Power</v>
      </c>
      <c r="C112" s="11" t="str">
        <f>IFERROR(__xludf.DUMMYFUNCTION("""COMPUTED_VALUE"""),"Erva")</f>
        <v>Erva</v>
      </c>
      <c r="D112" s="12">
        <f>IFERROR(__xludf.DUMMYFUNCTION("""COMPUTED_VALUE"""),54.0)</f>
        <v>54</v>
      </c>
      <c r="E112" s="12" t="str">
        <f>IFERROR(__xludf.DUMMYFUNCTION("""COMPUTED_VALUE"""),"Comandante 3")</f>
        <v>Comandante 3</v>
      </c>
      <c r="F112" s="11" t="str">
        <f>IFERROR(__xludf.DUMMYFUNCTION("""COMPUTED_VALUE"""),"Mítico")</f>
        <v>Mítico</v>
      </c>
      <c r="G112" s="12" t="str">
        <f>IFERROR(__xludf.DUMMYFUNCTION("""COMPUTED_VALUE"""),"Aumenta a força dos guerreiros do grupo em 50%")</f>
        <v>Aumenta a força dos guerreiros do grupo em 50%</v>
      </c>
      <c r="H112" s="9" t="b">
        <f>IFERROR(__xludf.DUMMYFUNCTION("""COMPUTED_VALUE"""),TRUE)</f>
        <v>1</v>
      </c>
      <c r="I112" s="10"/>
    </row>
    <row r="113">
      <c r="A113" s="10"/>
      <c r="B113" s="10" t="str">
        <f>IFERROR(__xludf.DUMMYFUNCTION("""COMPUTED_VALUE"""),"Sacred Mooncake")</f>
        <v>Sacred Mooncake</v>
      </c>
      <c r="C113" s="11" t="str">
        <f>IFERROR(__xludf.DUMMYFUNCTION("""COMPUTED_VALUE"""),"Erva")</f>
        <v>Erva</v>
      </c>
      <c r="D113" s="12">
        <f>IFERROR(__xludf.DUMMYFUNCTION("""COMPUTED_VALUE"""),60.0)</f>
        <v>60</v>
      </c>
      <c r="E113" s="12" t="str">
        <f>IFERROR(__xludf.DUMMYFUNCTION("""COMPUTED_VALUE"""),"Encontrar mágica")</f>
        <v>Encontrar mágica</v>
      </c>
      <c r="F113" s="11" t="str">
        <f>IFERROR(__xludf.DUMMYFUNCTION("""COMPUTED_VALUE"""),"Lendário")</f>
        <v>Lendário</v>
      </c>
      <c r="G113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113" s="9" t="b">
        <f>IFERROR(__xludf.DUMMYFUNCTION("""COMPUTED_VALUE"""),TRUE)</f>
        <v>1</v>
      </c>
      <c r="I113" s="10"/>
    </row>
    <row r="114">
      <c r="A114" s="10"/>
      <c r="B114" s="10" t="str">
        <f>IFERROR(__xludf.DUMMYFUNCTION("""COMPUTED_VALUE"""),"Protetor")</f>
        <v>Protetor</v>
      </c>
      <c r="C114" s="11" t="str">
        <f>IFERROR(__xludf.DUMMYFUNCTION("""COMPUTED_VALUE"""),"Escudo")</f>
        <v>Escudo</v>
      </c>
      <c r="D114" s="12">
        <f>IFERROR(__xludf.DUMMYFUNCTION("""COMPUTED_VALUE"""),8.0)</f>
        <v>8</v>
      </c>
      <c r="E114" s="12" t="str">
        <f>IFERROR(__xludf.DUMMYFUNCTION("""COMPUTED_VALUE"""),"Protetor 1")</f>
        <v>Protetor 1</v>
      </c>
      <c r="F114" s="11" t="str">
        <f>IFERROR(__xludf.DUMMYFUNCTION("""COMPUTED_VALUE"""),"Impecável")</f>
        <v>Impecável</v>
      </c>
      <c r="G114" s="12" t="str">
        <f>IFERROR(__xludf.DUMMYFUNCTION("""COMPUTED_VALUE"""),"Aumenta a taxa de sobrevivência do grupo em 2%")</f>
        <v>Aumenta a taxa de sobrevivência do grupo em 2%</v>
      </c>
      <c r="H114" s="9" t="b">
        <f>IFERROR(__xludf.DUMMYFUNCTION("""COMPUTED_VALUE"""),TRUE)</f>
        <v>1</v>
      </c>
      <c r="I114" s="10"/>
    </row>
    <row r="115">
      <c r="A115" s="10"/>
      <c r="B115" s="10" t="str">
        <f>IFERROR(__xludf.DUMMYFUNCTION("""COMPUTED_VALUE"""),"Contra Fogo")</f>
        <v>Contra Fogo</v>
      </c>
      <c r="C115" s="11" t="str">
        <f>IFERROR(__xludf.DUMMYFUNCTION("""COMPUTED_VALUE"""),"Escudo")</f>
        <v>Escudo</v>
      </c>
      <c r="D115" s="12">
        <f>IFERROR(__xludf.DUMMYFUNCTION("""COMPUTED_VALUE"""),18.0)</f>
        <v>18</v>
      </c>
      <c r="E115" s="12" t="str">
        <f>IFERROR(__xludf.DUMMYFUNCTION("""COMPUTED_VALUE"""),"Bola de fogo")</f>
        <v>Bola de fogo</v>
      </c>
      <c r="F115" s="11" t="str">
        <f>IFERROR(__xludf.DUMMYFUNCTION("""COMPUTED_VALUE"""),"Impecável")</f>
        <v>Impecável</v>
      </c>
      <c r="G115" s="12" t="str">
        <f>IFERROR(__xludf.DUMMYFUNCTION("""COMPUTED_VALUE"""),"Aumenta a força em 25%")</f>
        <v>Aumenta a força em 25%</v>
      </c>
      <c r="H115" s="9" t="b">
        <f>IFERROR(__xludf.DUMMYFUNCTION("""COMPUTED_VALUE"""),TRUE)</f>
        <v>1</v>
      </c>
      <c r="I115" s="10"/>
    </row>
    <row r="116">
      <c r="A116" s="10"/>
      <c r="B116" s="10" t="str">
        <f>IFERROR(__xludf.DUMMYFUNCTION("""COMPUTED_VALUE"""),"Scarab Shield")</f>
        <v>Scarab Shield</v>
      </c>
      <c r="C116" s="11" t="str">
        <f>IFERROR(__xludf.DUMMYFUNCTION("""COMPUTED_VALUE"""),"Escudo")</f>
        <v>Escudo</v>
      </c>
      <c r="D116" s="12">
        <f>IFERROR(__xludf.DUMMYFUNCTION("""COMPUTED_VALUE"""),19.0)</f>
        <v>19</v>
      </c>
      <c r="E116" s="12" t="str">
        <f>IFERROR(__xludf.DUMMYFUNCTION("""COMPUTED_VALUE"""),"Aura de proteção")</f>
        <v>Aura de proteção</v>
      </c>
      <c r="F116" s="11" t="str">
        <f>IFERROR(__xludf.DUMMYFUNCTION("""COMPUTED_VALUE"""),"Épico")</f>
        <v>Épico</v>
      </c>
      <c r="G116" s="12" t="str">
        <f>IFERROR(__xludf.DUMMYFUNCTION("""COMPUTED_VALUE"""),"Aumenta a taxa de sobrevivência do grupo em 8%")</f>
        <v>Aumenta a taxa de sobrevivência do grupo em 8%</v>
      </c>
      <c r="H116" s="9" t="b">
        <f>IFERROR(__xludf.DUMMYFUNCTION("""COMPUTED_VALUE"""),TRUE)</f>
        <v>1</v>
      </c>
      <c r="I116" s="10"/>
    </row>
    <row r="117">
      <c r="A117" s="10"/>
      <c r="B117" s="10" t="str">
        <f>IFERROR(__xludf.DUMMYFUNCTION("""COMPUTED_VALUE"""),"Égide ")</f>
        <v>Égide </v>
      </c>
      <c r="C117" s="11" t="str">
        <f>IFERROR(__xludf.DUMMYFUNCTION("""COMPUTED_VALUE"""),"Escudo")</f>
        <v>Escudo</v>
      </c>
      <c r="D117" s="12">
        <f>IFERROR(__xludf.DUMMYFUNCTION("""COMPUTED_VALUE"""),21.0)</f>
        <v>21</v>
      </c>
      <c r="E117" s="12" t="str">
        <f>IFERROR(__xludf.DUMMYFUNCTION("""COMPUTED_VALUE"""),"Amazona 1")</f>
        <v>Amazona 1</v>
      </c>
      <c r="F117" s="11" t="str">
        <f>IFERROR(__xludf.DUMMYFUNCTION("""COMPUTED_VALUE"""),"Épico")</f>
        <v>Épico</v>
      </c>
      <c r="G117" s="12" t="str">
        <f>IFERROR(__xludf.DUMMYFUNCTION("""COMPUTED_VALUE"""),"Aumenta a taxa de sobrevivência de membros femininos do grupo em 5%")</f>
        <v>Aumenta a taxa de sobrevivência de membros femininos do grupo em 5%</v>
      </c>
      <c r="H117" s="9" t="b">
        <f>IFERROR(__xludf.DUMMYFUNCTION("""COMPUTED_VALUE"""),TRUE)</f>
        <v>1</v>
      </c>
      <c r="I117" s="10"/>
    </row>
    <row r="118">
      <c r="A118" s="10"/>
      <c r="B118" s="10" t="str">
        <f>IFERROR(__xludf.DUMMYFUNCTION("""COMPUTED_VALUE"""),"Escudo Estrelado")</f>
        <v>Escudo Estrelado</v>
      </c>
      <c r="C118" s="11" t="str">
        <f>IFERROR(__xludf.DUMMYFUNCTION("""COMPUTED_VALUE"""),"Escudo")</f>
        <v>Escudo</v>
      </c>
      <c r="D118" s="12">
        <f>IFERROR(__xludf.DUMMYFUNCTION("""COMPUTED_VALUE"""),28.0)</f>
        <v>28</v>
      </c>
      <c r="E118" s="12" t="str">
        <f>IFERROR(__xludf.DUMMYFUNCTION("""COMPUTED_VALUE"""),"Protetor 2")</f>
        <v>Protetor 2</v>
      </c>
      <c r="F118" s="11" t="str">
        <f>IFERROR(__xludf.DUMMYFUNCTION("""COMPUTED_VALUE"""),"Lendário")</f>
        <v>Lendário</v>
      </c>
      <c r="G118" s="12" t="str">
        <f>IFERROR(__xludf.DUMMYFUNCTION("""COMPUTED_VALUE"""),"Aumenta a taxa de sobrevivência do grupo em 5%")</f>
        <v>Aumenta a taxa de sobrevivência do grupo em 5%</v>
      </c>
      <c r="H118" s="9" t="b">
        <f>IFERROR(__xludf.DUMMYFUNCTION("""COMPUTED_VALUE"""),TRUE)</f>
        <v>1</v>
      </c>
      <c r="I118" s="10"/>
    </row>
    <row r="119">
      <c r="A119" s="10"/>
      <c r="B119" s="10" t="str">
        <f>IFERROR(__xludf.DUMMYFUNCTION("""COMPUTED_VALUE"""),"Escudo de cristal")</f>
        <v>Escudo de cristal</v>
      </c>
      <c r="C119" s="11" t="str">
        <f>IFERROR(__xludf.DUMMYFUNCTION("""COMPUTED_VALUE"""),"Escudo")</f>
        <v>Escudo</v>
      </c>
      <c r="D119" s="12">
        <f>IFERROR(__xludf.DUMMYFUNCTION("""COMPUTED_VALUE"""),30.0)</f>
        <v>30</v>
      </c>
      <c r="E119" s="12" t="str">
        <f>IFERROR(__xludf.DUMMYFUNCTION("""COMPUTED_VALUE"""),"Fornecedor 1")</f>
        <v>Fornecedor 1</v>
      </c>
      <c r="F119" s="11" t="str">
        <f>IFERROR(__xludf.DUMMYFUNCTION("""COMPUTED_VALUE"""),"Épico")</f>
        <v>Épico</v>
      </c>
      <c r="G119" s="12" t="str">
        <f>IFERROR(__xludf.DUMMYFUNCTION("""COMPUTED_VALUE"""),"Reduz a chance de companheiros quebrarem o equipamento em 5%")</f>
        <v>Reduz a chance de companheiros quebrarem o equipamento em 5%</v>
      </c>
      <c r="H119" s="9" t="b">
        <f>IFERROR(__xludf.DUMMYFUNCTION("""COMPUTED_VALUE"""),TRUE)</f>
        <v>1</v>
      </c>
      <c r="I119" s="10"/>
    </row>
    <row r="120">
      <c r="A120" s="10"/>
      <c r="B120" s="10" t="str">
        <f>IFERROR(__xludf.DUMMYFUNCTION("""COMPUTED_VALUE"""),"Crânio de Dragão")</f>
        <v>Crânio de Dragão</v>
      </c>
      <c r="C120" s="11" t="str">
        <f>IFERROR(__xludf.DUMMYFUNCTION("""COMPUTED_VALUE"""),"Escudo")</f>
        <v>Escudo</v>
      </c>
      <c r="D120" s="12">
        <f>IFERROR(__xludf.DUMMYFUNCTION("""COMPUTED_VALUE"""),37.0)</f>
        <v>37</v>
      </c>
      <c r="E120" s="12" t="str">
        <f>IFERROR(__xludf.DUMMYFUNCTION("""COMPUTED_VALUE"""),"Comandante 1")</f>
        <v>Comandante 1</v>
      </c>
      <c r="F120" s="11" t="str">
        <f>IFERROR(__xludf.DUMMYFUNCTION("""COMPUTED_VALUE"""),"Lendário")</f>
        <v>Lendário</v>
      </c>
      <c r="G120" s="12" t="str">
        <f>IFERROR(__xludf.DUMMYFUNCTION("""COMPUTED_VALUE"""),"Aumenta a força dos guerreiros do grupo em 15%")</f>
        <v>Aumenta a força dos guerreiros do grupo em 15%</v>
      </c>
      <c r="H120" s="9" t="b">
        <f>IFERROR(__xludf.DUMMYFUNCTION("""COMPUTED_VALUE"""),TRUE)</f>
        <v>1</v>
      </c>
      <c r="I120" s="10"/>
    </row>
    <row r="121">
      <c r="A121" s="10"/>
      <c r="B121" s="10" t="str">
        <f>IFERROR(__xludf.DUMMYFUNCTION("""COMPUTED_VALUE"""),"Escudo gigante")</f>
        <v>Escudo gigante</v>
      </c>
      <c r="C121" s="11" t="str">
        <f>IFERROR(__xludf.DUMMYFUNCTION("""COMPUTED_VALUE"""),"Escudo")</f>
        <v>Escudo</v>
      </c>
      <c r="D121" s="12">
        <f>IFERROR(__xludf.DUMMYFUNCTION("""COMPUTED_VALUE"""),39.0)</f>
        <v>39</v>
      </c>
      <c r="E121" s="12" t="str">
        <f>IFERROR(__xludf.DUMMYFUNCTION("""COMPUTED_VALUE"""),"Esmagar")</f>
        <v>Esmagar</v>
      </c>
      <c r="F121" s="11" t="str">
        <f>IFERROR(__xludf.DUMMYFUNCTION("""COMPUTED_VALUE"""),"Lendário")</f>
        <v>Lendário</v>
      </c>
      <c r="G121" s="12" t="str">
        <f>IFERROR(__xludf.DUMMYFUNCTION("""COMPUTED_VALUE"""),"Aumenta a força em 25%")</f>
        <v>Aumenta a força em 25%</v>
      </c>
      <c r="H121" s="9" t="b">
        <f>IFERROR(__xludf.DUMMYFUNCTION("""COMPUTED_VALUE"""),TRUE)</f>
        <v>1</v>
      </c>
      <c r="I121" s="10"/>
    </row>
    <row r="122">
      <c r="A122" s="10"/>
      <c r="B122" s="10" t="str">
        <f>IFERROR(__xludf.DUMMYFUNCTION("""COMPUTED_VALUE"""),"Escudo do Aventureiro")</f>
        <v>Escudo do Aventureiro</v>
      </c>
      <c r="C122" s="11" t="str">
        <f>IFERROR(__xludf.DUMMYFUNCTION("""COMPUTED_VALUE"""),"Escudo")</f>
        <v>Escudo</v>
      </c>
      <c r="D122" s="12">
        <f>IFERROR(__xludf.DUMMYFUNCTION("""COMPUTED_VALUE"""),40.0)</f>
        <v>40</v>
      </c>
      <c r="E122" s="12" t="str">
        <f>IFERROR(__xludf.DUMMYFUNCTION("""COMPUTED_VALUE"""),"Suporte 2")</f>
        <v>Suporte 2</v>
      </c>
      <c r="F122" s="11" t="str">
        <f>IFERROR(__xludf.DUMMYFUNCTION("""COMPUTED_VALUE"""),"Lendário")</f>
        <v>Lendário</v>
      </c>
      <c r="G122" s="12" t="str">
        <f>IFERROR(__xludf.DUMMYFUNCTION("""COMPUTED_VALUE"""),"Impede que o equipamento de um companheiro se quebre 2 vezes")</f>
        <v>Impede que o equipamento de um companheiro se quebre 2 vezes</v>
      </c>
      <c r="H122" s="9" t="b">
        <f>IFERROR(__xludf.DUMMYFUNCTION("""COMPUTED_VALUE"""),TRUE)</f>
        <v>1</v>
      </c>
      <c r="I122" s="10"/>
    </row>
    <row r="123">
      <c r="A123" s="10"/>
      <c r="B123" s="10" t="str">
        <f>IFERROR(__xludf.DUMMYFUNCTION("""COMPUTED_VALUE"""),"Shark Bite")</f>
        <v>Shark Bite</v>
      </c>
      <c r="C123" s="11" t="str">
        <f>IFERROR(__xludf.DUMMYFUNCTION("""COMPUTED_VALUE"""),"Escudo")</f>
        <v>Escudo</v>
      </c>
      <c r="D123" s="12">
        <f>IFERROR(__xludf.DUMMYFUNCTION("""COMPUTED_VALUE"""),43.0)</f>
        <v>43</v>
      </c>
      <c r="E123" s="12" t="str">
        <f>IFERROR(__xludf.DUMMYFUNCTION("""COMPUTED_VALUE"""),"Engenhoso 3")</f>
        <v>Engenhoso 3</v>
      </c>
      <c r="F123" s="11" t="str">
        <f>IFERROR(__xludf.DUMMYFUNCTION("""COMPUTED_VALUE"""),"Épico")</f>
        <v>Épico</v>
      </c>
      <c r="G123" s="12" t="str">
        <f>IFERROR(__xludf.DUMMYFUNCTION("""COMPUTED_VALUE"""),"Impede que 3 peças de equipamento se quebre durante a missão")</f>
        <v>Impede que 3 peças de equipamento se quebre durante a missão</v>
      </c>
      <c r="H123" s="9" t="b">
        <f>IFERROR(__xludf.DUMMYFUNCTION("""COMPUTED_VALUE"""),TRUE)</f>
        <v>1</v>
      </c>
      <c r="I123" s="10"/>
    </row>
    <row r="124">
      <c r="A124" s="10"/>
      <c r="B124" s="10" t="str">
        <f>IFERROR(__xludf.DUMMYFUNCTION("""COMPUTED_VALUE"""),"Buckler de Atena")</f>
        <v>Buckler de Atena</v>
      </c>
      <c r="C124" s="11" t="str">
        <f>IFERROR(__xludf.DUMMYFUNCTION("""COMPUTED_VALUE"""),"Escudo")</f>
        <v>Escudo</v>
      </c>
      <c r="D124" s="12">
        <f>IFERROR(__xludf.DUMMYFUNCTION("""COMPUTED_VALUE"""),45.0)</f>
        <v>45</v>
      </c>
      <c r="E124" s="12" t="str">
        <f>IFERROR(__xludf.DUMMYFUNCTION("""COMPUTED_VALUE"""),"Curandeiro 3")</f>
        <v>Curandeiro 3</v>
      </c>
      <c r="F124" s="11" t="str">
        <f>IFERROR(__xludf.DUMMYFUNCTION("""COMPUTED_VALUE"""),"Mítico")</f>
        <v>Mítico</v>
      </c>
      <c r="G124" s="12" t="str">
        <f>IFERROR(__xludf.DUMMYFUNCTION("""COMPUTED_VALUE"""),"Reduz o tempo de cura de companheiros em 50%")</f>
        <v>Reduz o tempo de cura de companheiros em 50%</v>
      </c>
      <c r="H124" s="9" t="b">
        <f>IFERROR(__xludf.DUMMYFUNCTION("""COMPUTED_VALUE"""),TRUE)</f>
        <v>1</v>
      </c>
      <c r="I124" s="10"/>
    </row>
    <row r="125">
      <c r="A125" s="10"/>
      <c r="B125" s="10" t="str">
        <f>IFERROR(__xludf.DUMMYFUNCTION("""COMPUTED_VALUE"""),"Broquel da Medusa")</f>
        <v>Broquel da Medusa</v>
      </c>
      <c r="C125" s="11" t="str">
        <f>IFERROR(__xludf.DUMMYFUNCTION("""COMPUTED_VALUE"""),"Escudo")</f>
        <v>Escudo</v>
      </c>
      <c r="D125" s="12">
        <f>IFERROR(__xludf.DUMMYFUNCTION("""COMPUTED_VALUE"""),47.0)</f>
        <v>47</v>
      </c>
      <c r="E125" s="12" t="str">
        <f>IFERROR(__xludf.DUMMYFUNCTION("""COMPUTED_VALUE"""),"Pele de pedra")</f>
        <v>Pele de pedra</v>
      </c>
      <c r="F125" s="11" t="str">
        <f>IFERROR(__xludf.DUMMYFUNCTION("""COMPUTED_VALUE"""),"Lendário")</f>
        <v>Lendário</v>
      </c>
      <c r="G125" s="12" t="str">
        <f>IFERROR(__xludf.DUMMYFUNCTION("""COMPUTED_VALUE"""),"Aumenta a força em 30%")</f>
        <v>Aumenta a força em 30%</v>
      </c>
      <c r="H125" s="9" t="b">
        <f>IFERROR(__xludf.DUMMYFUNCTION("""COMPUTED_VALUE"""),TRUE)</f>
        <v>1</v>
      </c>
      <c r="I125" s="10"/>
    </row>
    <row r="126">
      <c r="A126" s="10"/>
      <c r="B126" s="10" t="str">
        <f>IFERROR(__xludf.DUMMYFUNCTION("""COMPUTED_VALUE"""),"Escudo do oráculo")</f>
        <v>Escudo do oráculo</v>
      </c>
      <c r="C126" s="11" t="str">
        <f>IFERROR(__xludf.DUMMYFUNCTION("""COMPUTED_VALUE"""),"Escudo")</f>
        <v>Escudo</v>
      </c>
      <c r="D126" s="12">
        <f>IFERROR(__xludf.DUMMYFUNCTION("""COMPUTED_VALUE"""),50.0)</f>
        <v>50</v>
      </c>
      <c r="E126" s="12" t="str">
        <f>IFERROR(__xludf.DUMMYFUNCTION("""COMPUTED_VALUE"""),"Detectar segredo")</f>
        <v>Detectar segredo</v>
      </c>
      <c r="F126" s="11" t="str">
        <f>IFERROR(__xludf.DUMMYFUNCTION("""COMPUTED_VALUE"""),"Mítico")</f>
        <v>Mítico</v>
      </c>
      <c r="G126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126" s="9" t="b">
        <f>IFERROR(__xludf.DUMMYFUNCTION("""COMPUTED_VALUE"""),TRUE)</f>
        <v>1</v>
      </c>
      <c r="I126" s="10"/>
    </row>
    <row r="127">
      <c r="A127" s="10"/>
      <c r="B127" s="10" t="str">
        <f>IFERROR(__xludf.DUMMYFUNCTION("""COMPUTED_VALUE"""),"Mãe Natureza")</f>
        <v>Mãe Natureza</v>
      </c>
      <c r="C127" s="11" t="str">
        <f>IFERROR(__xludf.DUMMYFUNCTION("""COMPUTED_VALUE"""),"Escudo")</f>
        <v>Escudo</v>
      </c>
      <c r="D127" s="12">
        <f>IFERROR(__xludf.DUMMYFUNCTION("""COMPUTED_VALUE"""),52.0)</f>
        <v>52</v>
      </c>
      <c r="E127" s="12" t="str">
        <f>IFERROR(__xludf.DUMMYFUNCTION("""COMPUTED_VALUE"""),"Sortudo 3")</f>
        <v>Sortudo 3</v>
      </c>
      <c r="F127" s="11" t="str">
        <f>IFERROR(__xludf.DUMMYFUNCTION("""COMPUTED_VALUE"""),"Ótimo")</f>
        <v>Ótimo</v>
      </c>
      <c r="G127" s="12" t="str">
        <f>IFERROR(__xludf.DUMMYFUNCTION("""COMPUTED_VALUE"""),"Evita ferimentos 30% das vezes")</f>
        <v>Evita ferimentos 30% das vezes</v>
      </c>
      <c r="H127" s="9" t="b">
        <f>IFERROR(__xludf.DUMMYFUNCTION("""COMPUTED_VALUE"""),TRUE)</f>
        <v>1</v>
      </c>
      <c r="I127" s="10"/>
    </row>
    <row r="128">
      <c r="A128" s="10"/>
      <c r="B128" s="10" t="str">
        <f>IFERROR(__xludf.DUMMYFUNCTION("""COMPUTED_VALUE"""),"Escudo Meia Lua")</f>
        <v>Escudo Meia Lua</v>
      </c>
      <c r="C128" s="11" t="str">
        <f>IFERROR(__xludf.DUMMYFUNCTION("""COMPUTED_VALUE"""),"Escudo")</f>
        <v>Escudo</v>
      </c>
      <c r="D128" s="12">
        <f>IFERROR(__xludf.DUMMYFUNCTION("""COMPUTED_VALUE"""),53.0)</f>
        <v>53</v>
      </c>
      <c r="E128" s="12" t="str">
        <f>IFERROR(__xludf.DUMMYFUNCTION("""COMPUTED_VALUE"""),"Ganancioso 2")</f>
        <v>Ganancioso 2</v>
      </c>
      <c r="F128" s="11" t="str">
        <f>IFERROR(__xludf.DUMMYFUNCTION("""COMPUTED_VALUE"""),"Mítico")</f>
        <v>Mítico</v>
      </c>
      <c r="G128" s="12" t="str">
        <f>IFERROR(__xludf.DUMMYFUNCTION("""COMPUTED_VALUE"""),"Encontra mais 100% de ouro durante as missões")</f>
        <v>Encontra mais 100% de ouro durante as missões</v>
      </c>
      <c r="H128" s="9" t="b">
        <f>IFERROR(__xludf.DUMMYFUNCTION("""COMPUTED_VALUE"""),TRUE)</f>
        <v>1</v>
      </c>
      <c r="I128" s="10"/>
    </row>
    <row r="129">
      <c r="A129" s="10"/>
      <c r="B129" s="10" t="str">
        <f>IFERROR(__xludf.DUMMYFUNCTION("""COMPUTED_VALUE"""),"Celtic Shield")</f>
        <v>Celtic Shield</v>
      </c>
      <c r="C129" s="11" t="str">
        <f>IFERROR(__xludf.DUMMYFUNCTION("""COMPUTED_VALUE"""),"Escudo")</f>
        <v>Escudo</v>
      </c>
      <c r="D129" s="12">
        <f>IFERROR(__xludf.DUMMYFUNCTION("""COMPUTED_VALUE"""),55.0)</f>
        <v>55</v>
      </c>
      <c r="E129" s="12" t="str">
        <f>IFERROR(__xludf.DUMMYFUNCTION("""COMPUTED_VALUE"""),"Encontrar mágica")</f>
        <v>Encontrar mágica</v>
      </c>
      <c r="F129" s="11" t="str">
        <f>IFERROR(__xludf.DUMMYFUNCTION("""COMPUTED_VALUE"""),"Mítico")</f>
        <v>Mítico</v>
      </c>
      <c r="G129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129" s="9" t="b">
        <f>IFERROR(__xludf.DUMMYFUNCTION("""COMPUTED_VALUE"""),TRUE)</f>
        <v>1</v>
      </c>
      <c r="I129" s="10"/>
    </row>
    <row r="130">
      <c r="A130" s="10"/>
      <c r="B130" s="10" t="str">
        <f>IFERROR(__xludf.DUMMYFUNCTION("""COMPUTED_VALUE"""),"Painel Refrator")</f>
        <v>Painel Refrator</v>
      </c>
      <c r="C130" s="11" t="str">
        <f>IFERROR(__xludf.DUMMYFUNCTION("""COMPUTED_VALUE"""),"Escudo")</f>
        <v>Escudo</v>
      </c>
      <c r="D130" s="12">
        <f>IFERROR(__xludf.DUMMYFUNCTION("""COMPUTED_VALUE"""),56.0)</f>
        <v>56</v>
      </c>
      <c r="E130" s="12" t="str">
        <f>IFERROR(__xludf.DUMMYFUNCTION("""COMPUTED_VALUE"""),"Engenhoso 3")</f>
        <v>Engenhoso 3</v>
      </c>
      <c r="F130" s="11" t="str">
        <f>IFERROR(__xludf.DUMMYFUNCTION("""COMPUTED_VALUE"""),"Lendário")</f>
        <v>Lendário</v>
      </c>
      <c r="G130" s="12" t="str">
        <f>IFERROR(__xludf.DUMMYFUNCTION("""COMPUTED_VALUE"""),"Impede que 3 peças de equipamento se quebre durante a missão")</f>
        <v>Impede que 3 peças de equipamento se quebre durante a missão</v>
      </c>
      <c r="H130" s="9" t="b">
        <f>IFERROR(__xludf.DUMMYFUNCTION("""COMPUTED_VALUE"""),TRUE)</f>
        <v>1</v>
      </c>
      <c r="I130" s="10"/>
    </row>
    <row r="131">
      <c r="A131" s="10"/>
      <c r="B131" s="10" t="str">
        <f>IFERROR(__xludf.DUMMYFUNCTION("""COMPUTED_VALUE"""),"Lâmina de fogo")</f>
        <v>Lâmina de fogo</v>
      </c>
      <c r="C131" s="11" t="str">
        <f>IFERROR(__xludf.DUMMYFUNCTION("""COMPUTED_VALUE"""),"Espada")</f>
        <v>Espada</v>
      </c>
      <c r="D131" s="12">
        <f>IFERROR(__xludf.DUMMYFUNCTION("""COMPUTED_VALUE"""),10.0)</f>
        <v>10</v>
      </c>
      <c r="E131" s="12" t="str">
        <f>IFERROR(__xludf.DUMMYFUNCTION("""COMPUTED_VALUE"""),"Bola de fogo")</f>
        <v>Bola de fogo</v>
      </c>
      <c r="F131" s="11" t="str">
        <f>IFERROR(__xludf.DUMMYFUNCTION("""COMPUTED_VALUE"""),"Impecável")</f>
        <v>Impecável</v>
      </c>
      <c r="G131" s="12" t="str">
        <f>IFERROR(__xludf.DUMMYFUNCTION("""COMPUTED_VALUE"""),"Aumenta a força em 25%")</f>
        <v>Aumenta a força em 25%</v>
      </c>
      <c r="H131" s="9" t="b">
        <f>IFERROR(__xludf.DUMMYFUNCTION("""COMPUTED_VALUE"""),TRUE)</f>
        <v>1</v>
      </c>
      <c r="I131" s="10"/>
    </row>
    <row r="132">
      <c r="A132" s="10"/>
      <c r="B132" s="10" t="str">
        <f>IFERROR(__xludf.DUMMYFUNCTION("""COMPUTED_VALUE"""),"Espada Vorpal")</f>
        <v>Espada Vorpal</v>
      </c>
      <c r="C132" s="11" t="str">
        <f>IFERROR(__xludf.DUMMYFUNCTION("""COMPUTED_VALUE"""),"Espada")</f>
        <v>Espada</v>
      </c>
      <c r="D132" s="12">
        <f>IFERROR(__xludf.DUMMYFUNCTION("""COMPUTED_VALUE"""),20.0)</f>
        <v>20</v>
      </c>
      <c r="E132" s="12" t="str">
        <f>IFERROR(__xludf.DUMMYFUNCTION("""COMPUTED_VALUE"""),"Defesa")</f>
        <v>Defesa</v>
      </c>
      <c r="F132" s="11" t="str">
        <f>IFERROR(__xludf.DUMMYFUNCTION("""COMPUTED_VALUE"""),"Ótimo")</f>
        <v>Ótimo</v>
      </c>
      <c r="G132" s="12" t="str">
        <f>IFERROR(__xludf.DUMMYFUNCTION("""COMPUTED_VALUE"""),"Aumenta a defesa do equipamento em 10%")</f>
        <v>Aumenta a defesa do equipamento em 10%</v>
      </c>
      <c r="H132" s="9" t="b">
        <f>IFERROR(__xludf.DUMMYFUNCTION("""COMPUTED_VALUE"""),TRUE)</f>
        <v>1</v>
      </c>
      <c r="I132" s="10"/>
    </row>
    <row r="133">
      <c r="A133" s="10"/>
      <c r="B133" s="10" t="str">
        <f>IFERROR(__xludf.DUMMYFUNCTION("""COMPUTED_VALUE"""),"Aço frio")</f>
        <v>Aço frio</v>
      </c>
      <c r="C133" s="11" t="str">
        <f>IFERROR(__xludf.DUMMYFUNCTION("""COMPUTED_VALUE"""),"Espada")</f>
        <v>Espada</v>
      </c>
      <c r="D133" s="12">
        <f>IFERROR(__xludf.DUMMYFUNCTION("""COMPUTED_VALUE"""),25.0)</f>
        <v>25</v>
      </c>
      <c r="E133" s="12" t="str">
        <f>IFERROR(__xludf.DUMMYFUNCTION("""COMPUTED_VALUE"""),"Cone-gélido")</f>
        <v>Cone-gélido</v>
      </c>
      <c r="F133" s="11" t="str">
        <f>IFERROR(__xludf.DUMMYFUNCTION("""COMPUTED_VALUE"""),"Épico")</f>
        <v>Épico</v>
      </c>
      <c r="G133" s="12" t="str">
        <f>IFERROR(__xludf.DUMMYFUNCTION("""COMPUTED_VALUE"""),"Aumenta a força em 40%")</f>
        <v>Aumenta a força em 40%</v>
      </c>
      <c r="H133" s="9" t="b">
        <f>IFERROR(__xludf.DUMMYFUNCTION("""COMPUTED_VALUE"""),TRUE)</f>
        <v>1</v>
      </c>
      <c r="I133" s="10"/>
    </row>
    <row r="134">
      <c r="A134" s="10"/>
      <c r="B134" s="10" t="str">
        <f>IFERROR(__xludf.DUMMYFUNCTION("""COMPUTED_VALUE"""),"Espada de Relíquia")</f>
        <v>Espada de Relíquia</v>
      </c>
      <c r="C134" s="11" t="str">
        <f>IFERROR(__xludf.DUMMYFUNCTION("""COMPUTED_VALUE"""),"Espada")</f>
        <v>Espada</v>
      </c>
      <c r="D134" s="12">
        <f>IFERROR(__xludf.DUMMYFUNCTION("""COMPUTED_VALUE"""),30.0)</f>
        <v>30</v>
      </c>
      <c r="E134" s="12" t="str">
        <f>IFERROR(__xludf.DUMMYFUNCTION("""COMPUTED_VALUE"""),"Energético 3")</f>
        <v>Energético 3</v>
      </c>
      <c r="F134" s="11" t="str">
        <f>IFERROR(__xludf.DUMMYFUNCTION("""COMPUTED_VALUE"""),"Épico")</f>
        <v>Épico</v>
      </c>
      <c r="G134" s="12" t="str">
        <f>IFERROR(__xludf.DUMMYFUNCTION("""COMPUTED_VALUE"""),"Reduz o tempo de espera depois da missão em 100%")</f>
        <v>Reduz o tempo de espera depois da missão em 100%</v>
      </c>
      <c r="H134" s="9" t="b">
        <f>IFERROR(__xludf.DUMMYFUNCTION("""COMPUTED_VALUE"""),TRUE)</f>
        <v>1</v>
      </c>
      <c r="I134" s="10"/>
    </row>
    <row r="135">
      <c r="A135" s="10"/>
      <c r="B135" s="10" t="str">
        <f>IFERROR(__xludf.DUMMYFUNCTION("""COMPUTED_VALUE"""),"Marca Abissal")</f>
        <v>Marca Abissal</v>
      </c>
      <c r="C135" s="11" t="str">
        <f>IFERROR(__xludf.DUMMYFUNCTION("""COMPUTED_VALUE"""),"Espada")</f>
        <v>Espada</v>
      </c>
      <c r="D135" s="12">
        <f>IFERROR(__xludf.DUMMYFUNCTION("""COMPUTED_VALUE"""),32.0)</f>
        <v>32</v>
      </c>
      <c r="E135" s="12" t="str">
        <f>IFERROR(__xludf.DUMMYFUNCTION("""COMPUTED_VALUE"""),"Cortar")</f>
        <v>Cortar</v>
      </c>
      <c r="F135" s="11" t="str">
        <f>IFERROR(__xludf.DUMMYFUNCTION("""COMPUTED_VALUE"""),"Épico")</f>
        <v>Épico</v>
      </c>
      <c r="G135" s="12" t="str">
        <f>IFERROR(__xludf.DUMMYFUNCTION("""COMPUTED_VALUE"""),"Aumenta a força em 25%")</f>
        <v>Aumenta a força em 25%</v>
      </c>
      <c r="H135" s="9" t="b">
        <f>IFERROR(__xludf.DUMMYFUNCTION("""COMPUTED_VALUE"""),TRUE)</f>
        <v>1</v>
      </c>
      <c r="I135" s="10"/>
    </row>
    <row r="136">
      <c r="A136" s="10"/>
      <c r="B136" s="10" t="str">
        <f>IFERROR(__xludf.DUMMYFUNCTION("""COMPUTED_VALUE"""),"Tempestuosa")</f>
        <v>Tempestuosa</v>
      </c>
      <c r="C136" s="11" t="str">
        <f>IFERROR(__xludf.DUMMYFUNCTION("""COMPUTED_VALUE"""),"Espada")</f>
        <v>Espada</v>
      </c>
      <c r="D136" s="12">
        <f>IFERROR(__xludf.DUMMYFUNCTION("""COMPUTED_VALUE"""),38.0)</f>
        <v>38</v>
      </c>
      <c r="E136" s="12" t="str">
        <f>IFERROR(__xludf.DUMMYFUNCTION("""COMPUTED_VALUE"""),"Raio elétrico")</f>
        <v>Raio elétrico</v>
      </c>
      <c r="F136" s="11" t="str">
        <f>IFERROR(__xludf.DUMMYFUNCTION("""COMPUTED_VALUE"""),"Lendário")</f>
        <v>Lendário</v>
      </c>
      <c r="G136" s="12" t="str">
        <f>IFERROR(__xludf.DUMMYFUNCTION("""COMPUTED_VALUE"""),"Aumenta a força em 50%")</f>
        <v>Aumenta a força em 50%</v>
      </c>
      <c r="H136" s="9" t="b">
        <f>IFERROR(__xludf.DUMMYFUNCTION("""COMPUTED_VALUE"""),TRUE)</f>
        <v>1</v>
      </c>
      <c r="I136" s="10"/>
    </row>
    <row r="137">
      <c r="A137" s="10"/>
      <c r="B137" s="10" t="str">
        <f>IFERROR(__xludf.DUMMYFUNCTION("""COMPUTED_VALUE"""),"Balmung")</f>
        <v>Balmung</v>
      </c>
      <c r="C137" s="11" t="str">
        <f>IFERROR(__xludf.DUMMYFUNCTION("""COMPUTED_VALUE"""),"Espada")</f>
        <v>Espada</v>
      </c>
      <c r="D137" s="12">
        <f>IFERROR(__xludf.DUMMYFUNCTION("""COMPUTED_VALUE"""),40.0)</f>
        <v>40</v>
      </c>
      <c r="E137" s="12" t="str">
        <f>IFERROR(__xludf.DUMMYFUNCTION("""COMPUTED_VALUE"""),"Suporte 2")</f>
        <v>Suporte 2</v>
      </c>
      <c r="F137" s="11" t="str">
        <f>IFERROR(__xludf.DUMMYFUNCTION("""COMPUTED_VALUE"""),"Lendário")</f>
        <v>Lendário</v>
      </c>
      <c r="G137" s="12" t="str">
        <f>IFERROR(__xludf.DUMMYFUNCTION("""COMPUTED_VALUE"""),"Impede que o equipamento de um companheiro se quebre 2 vezes")</f>
        <v>Impede que o equipamento de um companheiro se quebre 2 vezes</v>
      </c>
      <c r="H137" s="9" t="b">
        <f>IFERROR(__xludf.DUMMYFUNCTION("""COMPUTED_VALUE"""),TRUE)</f>
        <v>1</v>
      </c>
      <c r="I137" s="10"/>
    </row>
    <row r="138">
      <c r="A138" s="10"/>
      <c r="B138" s="10" t="str">
        <f>IFERROR(__xludf.DUMMYFUNCTION("""COMPUTED_VALUE"""),"Mata-Dragão")</f>
        <v>Mata-Dragão</v>
      </c>
      <c r="C138" s="11" t="str">
        <f>IFERROR(__xludf.DUMMYFUNCTION("""COMPUTED_VALUE"""),"Espada")</f>
        <v>Espada</v>
      </c>
      <c r="D138" s="12">
        <f>IFERROR(__xludf.DUMMYFUNCTION("""COMPUTED_VALUE"""),41.0)</f>
        <v>41</v>
      </c>
      <c r="E138" s="12" t="str">
        <f>IFERROR(__xludf.DUMMYFUNCTION("""COMPUTED_VALUE"""),"Comandante 1")</f>
        <v>Comandante 1</v>
      </c>
      <c r="F138" s="11" t="str">
        <f>IFERROR(__xludf.DUMMYFUNCTION("""COMPUTED_VALUE"""),"Lendário")</f>
        <v>Lendário</v>
      </c>
      <c r="G138" s="12" t="str">
        <f>IFERROR(__xludf.DUMMYFUNCTION("""COMPUTED_VALUE"""),"Aumenta a força dos guerreiros do grupo em 15%")</f>
        <v>Aumenta a força dos guerreiros do grupo em 15%</v>
      </c>
      <c r="H138" s="9" t="b">
        <f>IFERROR(__xludf.DUMMYFUNCTION("""COMPUTED_VALUE"""),TRUE)</f>
        <v>1</v>
      </c>
      <c r="I138" s="10"/>
    </row>
    <row r="139">
      <c r="A139" s="10"/>
      <c r="B139" s="10" t="str">
        <f>IFERROR(__xludf.DUMMYFUNCTION("""COMPUTED_VALUE"""),"Lâmina do Fogo-gelo")</f>
        <v>Lâmina do Fogo-gelo</v>
      </c>
      <c r="C139" s="11" t="str">
        <f>IFERROR(__xludf.DUMMYFUNCTION("""COMPUTED_VALUE"""),"Espada")</f>
        <v>Espada</v>
      </c>
      <c r="D139" s="12">
        <f>IFERROR(__xludf.DUMMYFUNCTION("""COMPUTED_VALUE"""),46.0)</f>
        <v>46</v>
      </c>
      <c r="E139" s="12" t="str">
        <f>IFERROR(__xludf.DUMMYFUNCTION("""COMPUTED_VALUE"""),"Revide")</f>
        <v>Revide</v>
      </c>
      <c r="F139" s="11" t="str">
        <f>IFERROR(__xludf.DUMMYFUNCTION("""COMPUTED_VALUE"""),"Lendário")</f>
        <v>Lendário</v>
      </c>
      <c r="G139" s="12" t="str">
        <f>IFERROR(__xludf.DUMMYFUNCTION("""COMPUTED_VALUE"""),"Aumenta a força do equipamento em 20%")</f>
        <v>Aumenta a força do equipamento em 20%</v>
      </c>
      <c r="H139" s="9" t="b">
        <f>IFERROR(__xludf.DUMMYFUNCTION("""COMPUTED_VALUE"""),TRUE)</f>
        <v>1</v>
      </c>
      <c r="I139" s="10"/>
    </row>
    <row r="140">
      <c r="A140" s="10"/>
      <c r="B140" s="10" t="str">
        <f>IFERROR(__xludf.DUMMYFUNCTION("""COMPUTED_VALUE"""),"Durindana")</f>
        <v>Durindana</v>
      </c>
      <c r="C140" s="11" t="str">
        <f>IFERROR(__xludf.DUMMYFUNCTION("""COMPUTED_VALUE"""),"Espada")</f>
        <v>Espada</v>
      </c>
      <c r="D140" s="12">
        <f>IFERROR(__xludf.DUMMYFUNCTION("""COMPUTED_VALUE"""),50.0)</f>
        <v>50</v>
      </c>
      <c r="E140" s="12" t="str">
        <f>IFERROR(__xludf.DUMMYFUNCTION("""COMPUTED_VALUE"""),"Comandante 2")</f>
        <v>Comandante 2</v>
      </c>
      <c r="F140" s="11" t="str">
        <f>IFERROR(__xludf.DUMMYFUNCTION("""COMPUTED_VALUE"""),"Mítico")</f>
        <v>Mítico</v>
      </c>
      <c r="G140" s="12" t="str">
        <f>IFERROR(__xludf.DUMMYFUNCTION("""COMPUTED_VALUE"""),"Aumenta a força dos guerreiros do grupo em 25%")</f>
        <v>Aumenta a força dos guerreiros do grupo em 25%</v>
      </c>
      <c r="H140" s="9" t="b">
        <f>IFERROR(__xludf.DUMMYFUNCTION("""COMPUTED_VALUE"""),TRUE)</f>
        <v>1</v>
      </c>
      <c r="I140" s="10"/>
    </row>
    <row r="141">
      <c r="A141" s="10"/>
      <c r="B141" s="10" t="str">
        <f>IFERROR(__xludf.DUMMYFUNCTION("""COMPUTED_VALUE"""),"Cyberblade da Internet")</f>
        <v>Cyberblade da Internet</v>
      </c>
      <c r="C141" s="11" t="str">
        <f>IFERROR(__xludf.DUMMYFUNCTION("""COMPUTED_VALUE"""),"Espada")</f>
        <v>Espada</v>
      </c>
      <c r="D141" s="12">
        <f>IFERROR(__xludf.DUMMYFUNCTION("""COMPUTED_VALUE"""),51.0)</f>
        <v>51</v>
      </c>
      <c r="E141" s="12" t="str">
        <f>IFERROR(__xludf.DUMMYFUNCTION("""COMPUTED_VALUE"""),"Encontrar mágica")</f>
        <v>Encontrar mágica</v>
      </c>
      <c r="F141" s="11" t="str">
        <f>IFERROR(__xludf.DUMMYFUNCTION("""COMPUTED_VALUE"""),"Lendário")</f>
        <v>Lendário</v>
      </c>
      <c r="G141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141" s="9" t="b">
        <f>IFERROR(__xludf.DUMMYFUNCTION("""COMPUTED_VALUE"""),TRUE)</f>
        <v>1</v>
      </c>
      <c r="I141" s="10"/>
    </row>
    <row r="142">
      <c r="A142" s="10"/>
      <c r="B142" s="10" t="str">
        <f>IFERROR(__xludf.DUMMYFUNCTION("""COMPUTED_VALUE"""),"Skofnung")</f>
        <v>Skofnung</v>
      </c>
      <c r="C142" s="11" t="str">
        <f>IFERROR(__xludf.DUMMYFUNCTION("""COMPUTED_VALUE"""),"Espada")</f>
        <v>Espada</v>
      </c>
      <c r="D142" s="12">
        <f>IFERROR(__xludf.DUMMYFUNCTION("""COMPUTED_VALUE"""),55.0)</f>
        <v>55</v>
      </c>
      <c r="E142" s="12" t="str">
        <f>IFERROR(__xludf.DUMMYFUNCTION("""COMPUTED_VALUE"""),"Suporte 1")</f>
        <v>Suporte 1</v>
      </c>
      <c r="F142" s="11" t="str">
        <f>IFERROR(__xludf.DUMMYFUNCTION("""COMPUTED_VALUE"""),"Mítico")</f>
        <v>Mítico</v>
      </c>
      <c r="G142" s="12" t="str">
        <f>IFERROR(__xludf.DUMMYFUNCTION("""COMPUTED_VALUE"""),"Impede que o equipamento de um companheiro se quebre 1 vez")</f>
        <v>Impede que o equipamento de um companheiro se quebre 1 vez</v>
      </c>
      <c r="H142" s="9" t="b">
        <f>IFERROR(__xludf.DUMMYFUNCTION("""COMPUTED_VALUE"""),TRUE)</f>
        <v>1</v>
      </c>
      <c r="I142" s="10"/>
    </row>
    <row r="143">
      <c r="A143" s="10"/>
      <c r="B143" s="10" t="str">
        <f>IFERROR(__xludf.DUMMYFUNCTION("""COMPUTED_VALUE"""),"Olhar Sinistro")</f>
        <v>Olhar Sinistro</v>
      </c>
      <c r="C143" s="11" t="str">
        <f>IFERROR(__xludf.DUMMYFUNCTION("""COMPUTED_VALUE"""),"Espada")</f>
        <v>Espada</v>
      </c>
      <c r="D143" s="12">
        <f>IFERROR(__xludf.DUMMYFUNCTION("""COMPUTED_VALUE"""),60.0)</f>
        <v>60</v>
      </c>
      <c r="E143" s="12" t="str">
        <f>IFERROR(__xludf.DUMMYFUNCTION("""COMPUTED_VALUE"""),"Energético 3")</f>
        <v>Energético 3</v>
      </c>
      <c r="F143" s="11" t="str">
        <f>IFERROR(__xludf.DUMMYFUNCTION("""COMPUTED_VALUE"""),"Comum")</f>
        <v>Comum</v>
      </c>
      <c r="G143" s="12" t="str">
        <f>IFERROR(__xludf.DUMMYFUNCTION("""COMPUTED_VALUE"""),"Reduz o tempo de espera depois da missão em 100%")</f>
        <v>Reduz o tempo de espera depois da missão em 100%</v>
      </c>
      <c r="H143" s="9" t="b">
        <f>IFERROR(__xludf.DUMMYFUNCTION("""COMPUTED_VALUE"""),TRUE)</f>
        <v>1</v>
      </c>
      <c r="I143" s="10"/>
    </row>
    <row r="144">
      <c r="A144" s="10"/>
      <c r="B144" s="10" t="str">
        <f>IFERROR(__xludf.DUMMYFUNCTION("""COMPUTED_VALUE"""),"Adaga Branca")</f>
        <v>Adaga Branca</v>
      </c>
      <c r="C144" s="11" t="str">
        <f>IFERROR(__xludf.DUMMYFUNCTION("""COMPUTED_VALUE"""),"Faca")</f>
        <v>Faca</v>
      </c>
      <c r="D144" s="12">
        <f>IFERROR(__xludf.DUMMYFUNCTION("""COMPUTED_VALUE"""),9.0)</f>
        <v>9</v>
      </c>
      <c r="E144" s="12" t="str">
        <f>IFERROR(__xludf.DUMMYFUNCTION("""COMPUTED_VALUE"""),"Sortudo 1")</f>
        <v>Sortudo 1</v>
      </c>
      <c r="F144" s="11" t="str">
        <f>IFERROR(__xludf.DUMMYFUNCTION("""COMPUTED_VALUE"""),"Impecável")</f>
        <v>Impecável</v>
      </c>
      <c r="G144" s="12" t="str">
        <f>IFERROR(__xludf.DUMMYFUNCTION("""COMPUTED_VALUE"""),"Evita ferimentos 10% das vezes")</f>
        <v>Evita ferimentos 10% das vezes</v>
      </c>
      <c r="H144" s="9" t="b">
        <f>IFERROR(__xludf.DUMMYFUNCTION("""COMPUTED_VALUE"""),TRUE)</f>
        <v>1</v>
      </c>
      <c r="I144" s="10"/>
    </row>
    <row r="145">
      <c r="A145" s="10"/>
      <c r="B145" s="10" t="str">
        <f>IFERROR(__xludf.DUMMYFUNCTION("""COMPUTED_VALUE"""),"Coração Rubro")</f>
        <v>Coração Rubro</v>
      </c>
      <c r="C145" s="11" t="str">
        <f>IFERROR(__xludf.DUMMYFUNCTION("""COMPUTED_VALUE"""),"Faca")</f>
        <v>Faca</v>
      </c>
      <c r="D145" s="12">
        <f>IFERROR(__xludf.DUMMYFUNCTION("""COMPUTED_VALUE"""),15.0)</f>
        <v>15</v>
      </c>
      <c r="E145" s="12" t="str">
        <f>IFERROR(__xludf.DUMMYFUNCTION("""COMPUTED_VALUE"""),"Cuidadoso 1")</f>
        <v>Cuidadoso 1</v>
      </c>
      <c r="F145" s="11" t="str">
        <f>IFERROR(__xludf.DUMMYFUNCTION("""COMPUTED_VALUE"""),"Épico")</f>
        <v>Épico</v>
      </c>
      <c r="G145" s="12" t="str">
        <f>IFERROR(__xludf.DUMMYFUNCTION("""COMPUTED_VALUE"""),"Diminui a chance de quebra de equipamento em 15% das vezes")</f>
        <v>Diminui a chance de quebra de equipamento em 15% das vezes</v>
      </c>
      <c r="H145" s="9" t="b">
        <f>IFERROR(__xludf.DUMMYFUNCTION("""COMPUTED_VALUE"""),TRUE)</f>
        <v>1</v>
      </c>
      <c r="I145" s="10"/>
    </row>
    <row r="146">
      <c r="A146" s="10"/>
      <c r="B146" s="10" t="str">
        <f>IFERROR(__xludf.DUMMYFUNCTION("""COMPUTED_VALUE"""),"Katar Fantasma")</f>
        <v>Katar Fantasma</v>
      </c>
      <c r="C146" s="11" t="str">
        <f>IFERROR(__xludf.DUMMYFUNCTION("""COMPUTED_VALUE"""),"Faca")</f>
        <v>Faca</v>
      </c>
      <c r="D146" s="12">
        <f>IFERROR(__xludf.DUMMYFUNCTION("""COMPUTED_VALUE"""),18.0)</f>
        <v>18</v>
      </c>
      <c r="E146" s="12" t="str">
        <f>IFERROR(__xludf.DUMMYFUNCTION("""COMPUTED_VALUE"""),"Emboscada")</f>
        <v>Emboscada</v>
      </c>
      <c r="F146" s="11" t="str">
        <f>IFERROR(__xludf.DUMMYFUNCTION("""COMPUTED_VALUE"""),"Impecável")</f>
        <v>Impecável</v>
      </c>
      <c r="G146" s="12" t="str">
        <f>IFERROR(__xludf.DUMMYFUNCTION("""COMPUTED_VALUE"""),"Aumenta a força 25% das vezes")</f>
        <v>Aumenta a força 25% das vezes</v>
      </c>
      <c r="H146" s="9" t="b">
        <f>IFERROR(__xludf.DUMMYFUNCTION("""COMPUTED_VALUE"""),TRUE)</f>
        <v>1</v>
      </c>
      <c r="I146" s="10"/>
    </row>
    <row r="147">
      <c r="A147" s="10"/>
      <c r="B147" s="10" t="str">
        <f>IFERROR(__xludf.DUMMYFUNCTION("""COMPUTED_VALUE"""),"Sweet Surprise")</f>
        <v>Sweet Surprise</v>
      </c>
      <c r="C147" s="11" t="str">
        <f>IFERROR(__xludf.DUMMYFUNCTION("""COMPUTED_VALUE"""),"Faca")</f>
        <v>Faca</v>
      </c>
      <c r="D147" s="12">
        <f>IFERROR(__xludf.DUMMYFUNCTION("""COMPUTED_VALUE"""),18.0)</f>
        <v>18</v>
      </c>
      <c r="E147" s="12" t="str">
        <f>IFERROR(__xludf.DUMMYFUNCTION("""COMPUTED_VALUE"""),"Cone-gélido")</f>
        <v>Cone-gélido</v>
      </c>
      <c r="F147" s="11" t="str">
        <f>IFERROR(__xludf.DUMMYFUNCTION("""COMPUTED_VALUE"""),"Impecável")</f>
        <v>Impecável</v>
      </c>
      <c r="G147" s="12" t="str">
        <f>IFERROR(__xludf.DUMMYFUNCTION("""COMPUTED_VALUE"""),"Aumenta a força em 40%")</f>
        <v>Aumenta a força em 40%</v>
      </c>
      <c r="H147" s="9" t="b">
        <f>IFERROR(__xludf.DUMMYFUNCTION("""COMPUTED_VALUE"""),TRUE)</f>
        <v>1</v>
      </c>
      <c r="I147" s="10"/>
    </row>
    <row r="148">
      <c r="A148" s="10"/>
      <c r="B148" s="10" t="str">
        <f>IFERROR(__xludf.DUMMYFUNCTION("""COMPUTED_VALUE"""),"Traidora")</f>
        <v>Traidora</v>
      </c>
      <c r="C148" s="11" t="str">
        <f>IFERROR(__xludf.DUMMYFUNCTION("""COMPUTED_VALUE"""),"Faca")</f>
        <v>Faca</v>
      </c>
      <c r="D148" s="12">
        <f>IFERROR(__xludf.DUMMYFUNCTION("""COMPUTED_VALUE"""),36.0)</f>
        <v>36</v>
      </c>
      <c r="E148" s="12" t="str">
        <f>IFERROR(__xludf.DUMMYFUNCTION("""COMPUTED_VALUE"""),"Gangster 1")</f>
        <v>Gangster 1</v>
      </c>
      <c r="F148" s="11" t="str">
        <f>IFERROR(__xludf.DUMMYFUNCTION("""COMPUTED_VALUE"""),"Épico")</f>
        <v>Épico</v>
      </c>
      <c r="G148" s="12" t="str">
        <f>IFERROR(__xludf.DUMMYFUNCTION("""COMPUTED_VALUE"""),"Aumenta a força do equipamento em 10%")</f>
        <v>Aumenta a força do equipamento em 10%</v>
      </c>
      <c r="H148" s="9" t="b">
        <f>IFERROR(__xludf.DUMMYFUNCTION("""COMPUTED_VALUE"""),TRUE)</f>
        <v>1</v>
      </c>
      <c r="I148" s="10"/>
    </row>
    <row r="149">
      <c r="A149" s="10"/>
      <c r="B149" s="10" t="str">
        <f>IFERROR(__xludf.DUMMYFUNCTION("""COMPUTED_VALUE"""),"Sete Estrelas")</f>
        <v>Sete Estrelas</v>
      </c>
      <c r="C149" s="11" t="str">
        <f>IFERROR(__xludf.DUMMYFUNCTION("""COMPUTED_VALUE"""),"Faca")</f>
        <v>Faca</v>
      </c>
      <c r="D149" s="12">
        <f>IFERROR(__xludf.DUMMYFUNCTION("""COMPUTED_VALUE"""),38.0)</f>
        <v>38</v>
      </c>
      <c r="E149" s="12" t="str">
        <f>IFERROR(__xludf.DUMMYFUNCTION("""COMPUTED_VALUE"""),"Catador 1")</f>
        <v>Catador 1</v>
      </c>
      <c r="F149" s="11" t="str">
        <f>IFERROR(__xludf.DUMMYFUNCTION("""COMPUTED_VALUE"""),"Lendário")</f>
        <v>Lendário</v>
      </c>
      <c r="G149" s="12" t="str">
        <f>IFERROR(__xludf.DUMMYFUNCTION("""COMPUTED_VALUE"""),"Aumenta o número mínimo de itens e artefatos encontrados em +1")</f>
        <v>Aumenta o número mínimo de itens e artefatos encontrados em +1</v>
      </c>
      <c r="H149" s="9" t="b">
        <f>IFERROR(__xludf.DUMMYFUNCTION("""COMPUTED_VALUE"""),TRUE)</f>
        <v>1</v>
      </c>
      <c r="I149" s="10"/>
    </row>
    <row r="150">
      <c r="A150" s="10"/>
      <c r="B150" s="10" t="str">
        <f>IFERROR(__xludf.DUMMYFUNCTION("""COMPUTED_VALUE"""),"Presa de Dragão")</f>
        <v>Presa de Dragão</v>
      </c>
      <c r="C150" s="11" t="str">
        <f>IFERROR(__xludf.DUMMYFUNCTION("""COMPUTED_VALUE"""),"Faca")</f>
        <v>Faca</v>
      </c>
      <c r="D150" s="12">
        <f>IFERROR(__xludf.DUMMYFUNCTION("""COMPUTED_VALUE"""),39.0)</f>
        <v>39</v>
      </c>
      <c r="E150" s="12" t="str">
        <f>IFERROR(__xludf.DUMMYFUNCTION("""COMPUTED_VALUE"""),"Emboscada")</f>
        <v>Emboscada</v>
      </c>
      <c r="F150" s="11" t="str">
        <f>IFERROR(__xludf.DUMMYFUNCTION("""COMPUTED_VALUE"""),"Ótimo")</f>
        <v>Ótimo</v>
      </c>
      <c r="G150" s="12" t="str">
        <f>IFERROR(__xludf.DUMMYFUNCTION("""COMPUTED_VALUE"""),"Aumenta a força 25% das vezes")</f>
        <v>Aumenta a força 25% das vezes</v>
      </c>
      <c r="H150" s="9" t="b">
        <f>IFERROR(__xludf.DUMMYFUNCTION("""COMPUTED_VALUE"""),TRUE)</f>
        <v>1</v>
      </c>
      <c r="I150" s="10"/>
    </row>
    <row r="151">
      <c r="A151" s="10"/>
      <c r="B151" s="10" t="str">
        <f>IFERROR(__xludf.DUMMYFUNCTION("""COMPUTED_VALUE"""),"Punhal Indiano")</f>
        <v>Punhal Indiano</v>
      </c>
      <c r="C151" s="11" t="str">
        <f>IFERROR(__xludf.DUMMYFUNCTION("""COMPUTED_VALUE"""),"Faca")</f>
        <v>Faca</v>
      </c>
      <c r="D151" s="12">
        <f>IFERROR(__xludf.DUMMYFUNCTION("""COMPUTED_VALUE"""),42.0)</f>
        <v>42</v>
      </c>
      <c r="E151" s="12" t="str">
        <f>IFERROR(__xludf.DUMMYFUNCTION("""COMPUTED_VALUE"""),"Energético 2")</f>
        <v>Energético 2</v>
      </c>
      <c r="F151" s="11" t="str">
        <f>IFERROR(__xludf.DUMMYFUNCTION("""COMPUTED_VALUE"""),"Épico")</f>
        <v>Épico</v>
      </c>
      <c r="G151" s="12" t="str">
        <f>IFERROR(__xludf.DUMMYFUNCTION("""COMPUTED_VALUE"""),"Reduz o tempo de espera depois da missão em 75%")</f>
        <v>Reduz o tempo de espera depois da missão em 75%</v>
      </c>
      <c r="H151" s="9" t="b">
        <f>IFERROR(__xludf.DUMMYFUNCTION("""COMPUTED_VALUE"""),TRUE)</f>
        <v>1</v>
      </c>
      <c r="I151" s="10"/>
    </row>
    <row r="152">
      <c r="A152" s="10"/>
      <c r="B152" s="10" t="str">
        <f>IFERROR(__xludf.DUMMYFUNCTION("""COMPUTED_VALUE"""),"Adaga de Obsidiana")</f>
        <v>Adaga de Obsidiana</v>
      </c>
      <c r="C152" s="11" t="str">
        <f>IFERROR(__xludf.DUMMYFUNCTION("""COMPUTED_VALUE"""),"Faca")</f>
        <v>Faca</v>
      </c>
      <c r="D152" s="12">
        <f>IFERROR(__xludf.DUMMYFUNCTION("""COMPUTED_VALUE"""),46.0)</f>
        <v>46</v>
      </c>
      <c r="E152" s="12" t="str">
        <f>IFERROR(__xludf.DUMMYFUNCTION("""COMPUTED_VALUE"""),"Revide")</f>
        <v>Revide</v>
      </c>
      <c r="F152" s="11" t="str">
        <f>IFERROR(__xludf.DUMMYFUNCTION("""COMPUTED_VALUE"""),"Mítico")</f>
        <v>Mítico</v>
      </c>
      <c r="G152" s="12" t="str">
        <f>IFERROR(__xludf.DUMMYFUNCTION("""COMPUTED_VALUE"""),"Aumenta a força do equipamento em 20%")</f>
        <v>Aumenta a força do equipamento em 20%</v>
      </c>
      <c r="H152" s="9" t="b">
        <f>IFERROR(__xludf.DUMMYFUNCTION("""COMPUTED_VALUE"""),TRUE)</f>
        <v>1</v>
      </c>
      <c r="I152" s="10"/>
    </row>
    <row r="153">
      <c r="A153" s="10"/>
      <c r="B153" s="10" t="str">
        <f>IFERROR(__xludf.DUMMYFUNCTION("""COMPUTED_VALUE"""),"Canivete Afótico")</f>
        <v>Canivete Afótico</v>
      </c>
      <c r="C153" s="11" t="str">
        <f>IFERROR(__xludf.DUMMYFUNCTION("""COMPUTED_VALUE"""),"Faca")</f>
        <v>Faca</v>
      </c>
      <c r="D153" s="12">
        <f>IFERROR(__xludf.DUMMYFUNCTION("""COMPUTED_VALUE"""),49.0)</f>
        <v>49</v>
      </c>
      <c r="E153" s="12" t="str">
        <f>IFERROR(__xludf.DUMMYFUNCTION("""COMPUTED_VALUE"""),"Passo das Sombras")</f>
        <v>Passo das Sombras</v>
      </c>
      <c r="F153" s="11" t="str">
        <f>IFERROR(__xludf.DUMMYFUNCTION("""COMPUTED_VALUE"""),"Lendário")</f>
        <v>Lendário</v>
      </c>
      <c r="G153" s="12" t="str">
        <f>IFERROR(__xludf.DUMMYFUNCTION("""COMPUTED_VALUE"""),"Evita ferimentos 15% das vezes")</f>
        <v>Evita ferimentos 15% das vezes</v>
      </c>
      <c r="H153" s="9" t="b">
        <f>IFERROR(__xludf.DUMMYFUNCTION("""COMPUTED_VALUE"""),TRUE)</f>
        <v>1</v>
      </c>
      <c r="I153" s="10"/>
    </row>
    <row r="154">
      <c r="A154" s="10"/>
      <c r="B154" s="10" t="str">
        <f>IFERROR(__xludf.DUMMYFUNCTION("""COMPUTED_VALUE"""),"Adaga Primordial")</f>
        <v>Adaga Primordial</v>
      </c>
      <c r="C154" s="11" t="str">
        <f>IFERROR(__xludf.DUMMYFUNCTION("""COMPUTED_VALUE"""),"Faca")</f>
        <v>Faca</v>
      </c>
      <c r="D154" s="12">
        <f>IFERROR(__xludf.DUMMYFUNCTION("""COMPUTED_VALUE"""),50.0)</f>
        <v>50</v>
      </c>
      <c r="E154" s="12" t="str">
        <f>IFERROR(__xludf.DUMMYFUNCTION("""COMPUTED_VALUE"""),"Catador 3")</f>
        <v>Catador 3</v>
      </c>
      <c r="F154" s="11" t="str">
        <f>IFERROR(__xludf.DUMMYFUNCTION("""COMPUTED_VALUE"""),"Mítico")</f>
        <v>Mítico</v>
      </c>
      <c r="G154" s="12" t="str">
        <f>IFERROR(__xludf.DUMMYFUNCTION("""COMPUTED_VALUE"""),"Aumenta o número mínimo de itens e artefatos encontrados em +3")</f>
        <v>Aumenta o número mínimo de itens e artefatos encontrados em +3</v>
      </c>
      <c r="H154" s="9" t="b">
        <f>IFERROR(__xludf.DUMMYFUNCTION("""COMPUTED_VALUE"""),TRUE)</f>
        <v>1</v>
      </c>
      <c r="I154" s="10"/>
    </row>
    <row r="155">
      <c r="A155" s="10"/>
      <c r="B155" s="10" t="str">
        <f>IFERROR(__xludf.DUMMYFUNCTION("""COMPUTED_VALUE"""),"Mistilteinn")</f>
        <v>Mistilteinn</v>
      </c>
      <c r="C155" s="11" t="str">
        <f>IFERROR(__xludf.DUMMYFUNCTION("""COMPUTED_VALUE"""),"Faca")</f>
        <v>Faca</v>
      </c>
      <c r="D155" s="12">
        <f>IFERROR(__xludf.DUMMYFUNCTION("""COMPUTED_VALUE"""),55.0)</f>
        <v>55</v>
      </c>
      <c r="E155" s="12" t="str">
        <f>IFERROR(__xludf.DUMMYFUNCTION("""COMPUTED_VALUE"""),"Velocista 2")</f>
        <v>Velocista 2</v>
      </c>
      <c r="F155" s="11" t="str">
        <f>IFERROR(__xludf.DUMMYFUNCTION("""COMPUTED_VALUE"""),"Mítico")</f>
        <v>Mítico</v>
      </c>
      <c r="G155" s="12" t="str">
        <f>IFERROR(__xludf.DUMMYFUNCTION("""COMPUTED_VALUE"""),"Reduz a duração da missão em 25%")</f>
        <v>Reduz a duração da missão em 25%</v>
      </c>
      <c r="H155" s="9" t="b">
        <f>IFERROR(__xludf.DUMMYFUNCTION("""COMPUTED_VALUE"""),TRUE)</f>
        <v>1</v>
      </c>
      <c r="I155" s="10"/>
    </row>
    <row r="156">
      <c r="A156" s="10"/>
      <c r="B156" s="10" t="str">
        <f>IFERROR(__xludf.DUMMYFUNCTION("""COMPUTED_VALUE"""),"Flauta de Ferro")</f>
        <v>Flauta de Ferro</v>
      </c>
      <c r="C156" s="11" t="str">
        <f>IFERROR(__xludf.DUMMYFUNCTION("""COMPUTED_VALUE"""),"Instrumento")</f>
        <v>Instrumento</v>
      </c>
      <c r="D156" s="12">
        <f>IFERROR(__xludf.DUMMYFUNCTION("""COMPUTED_VALUE"""),12.0)</f>
        <v>12</v>
      </c>
      <c r="E156" s="12" t="str">
        <f>IFERROR(__xludf.DUMMYFUNCTION("""COMPUTED_VALUE"""),"Resistente 1")</f>
        <v>Resistente 1</v>
      </c>
      <c r="F156" s="11" t="str">
        <f>IFERROR(__xludf.DUMMYFUNCTION("""COMPUTED_VALUE"""),"Impecável")</f>
        <v>Impecável</v>
      </c>
      <c r="G156" s="12" t="str">
        <f>IFERROR(__xludf.DUMMYFUNCTION("""COMPUTED_VALUE"""),"Obtém pelo menos 25% de experiência quando ferido e a missão é bem sucedida")</f>
        <v>Obtém pelo menos 25% de experiência quando ferido e a missão é bem sucedida</v>
      </c>
      <c r="H156" s="9" t="b">
        <f>IFERROR(__xludf.DUMMYFUNCTION("""COMPUTED_VALUE"""),TRUE)</f>
        <v>1</v>
      </c>
      <c r="I156" s="10"/>
    </row>
    <row r="157">
      <c r="A157" s="10"/>
      <c r="B157" s="10" t="str">
        <f>IFERROR(__xludf.DUMMYFUNCTION("""COMPUTED_VALUE"""),"Harpa Congelada")</f>
        <v>Harpa Congelada</v>
      </c>
      <c r="C157" s="11" t="str">
        <f>IFERROR(__xludf.DUMMYFUNCTION("""COMPUTED_VALUE"""),"Instrumento")</f>
        <v>Instrumento</v>
      </c>
      <c r="D157" s="12">
        <f>IFERROR(__xludf.DUMMYFUNCTION("""COMPUTED_VALUE"""),16.0)</f>
        <v>16</v>
      </c>
      <c r="E157" s="12" t="str">
        <f>IFERROR(__xludf.DUMMYFUNCTION("""COMPUTED_VALUE"""),"Cone-gélido")</f>
        <v>Cone-gélido</v>
      </c>
      <c r="F157" s="11" t="str">
        <f>IFERROR(__xludf.DUMMYFUNCTION("""COMPUTED_VALUE"""),"Impecável")</f>
        <v>Impecável</v>
      </c>
      <c r="G157" s="12" t="str">
        <f>IFERROR(__xludf.DUMMYFUNCTION("""COMPUTED_VALUE"""),"Aumenta a força em 40%")</f>
        <v>Aumenta a força em 40%</v>
      </c>
      <c r="H157" s="9" t="b">
        <f>IFERROR(__xludf.DUMMYFUNCTION("""COMPUTED_VALUE"""),TRUE)</f>
        <v>1</v>
      </c>
      <c r="I157" s="10"/>
    </row>
    <row r="158">
      <c r="A158" s="10"/>
      <c r="B158" s="10" t="str">
        <f>IFERROR(__xludf.DUMMYFUNCTION("""COMPUTED_VALUE"""),"Flauta Ygg")</f>
        <v>Flauta Ygg</v>
      </c>
      <c r="C158" s="11" t="str">
        <f>IFERROR(__xludf.DUMMYFUNCTION("""COMPUTED_VALUE"""),"Instrumento")</f>
        <v>Instrumento</v>
      </c>
      <c r="D158" s="12">
        <f>IFERROR(__xludf.DUMMYFUNCTION("""COMPUTED_VALUE"""),26.0)</f>
        <v>26</v>
      </c>
      <c r="E158" s="12" t="str">
        <f>IFERROR(__xludf.DUMMYFUNCTION("""COMPUTED_VALUE"""),"Curandeiro 1")</f>
        <v>Curandeiro 1</v>
      </c>
      <c r="F158" s="11" t="str">
        <f>IFERROR(__xludf.DUMMYFUNCTION("""COMPUTED_VALUE"""),"Épico")</f>
        <v>Épico</v>
      </c>
      <c r="G158" s="12" t="str">
        <f>IFERROR(__xludf.DUMMYFUNCTION("""COMPUTED_VALUE"""),"Reduz o tempo de cura de companheiros em 10%")</f>
        <v>Reduz o tempo de cura de companheiros em 10%</v>
      </c>
      <c r="H158" s="9" t="b">
        <f>IFERROR(__xludf.DUMMYFUNCTION("""COMPUTED_VALUE"""),TRUE)</f>
        <v>1</v>
      </c>
      <c r="I158" s="10"/>
    </row>
    <row r="159">
      <c r="A159" s="10"/>
      <c r="B159" s="10" t="str">
        <f>IFERROR(__xludf.DUMMYFUNCTION("""COMPUTED_VALUE"""),"Chifre de Serpente ")</f>
        <v>Chifre de Serpente </v>
      </c>
      <c r="C159" s="11" t="str">
        <f>IFERROR(__xludf.DUMMYFUNCTION("""COMPUTED_VALUE"""),"Instrumento")</f>
        <v>Instrumento</v>
      </c>
      <c r="D159" s="12">
        <f>IFERROR(__xludf.DUMMYFUNCTION("""COMPUTED_VALUE"""),31.0)</f>
        <v>31</v>
      </c>
      <c r="E159" s="12" t="str">
        <f>IFERROR(__xludf.DUMMYFUNCTION("""COMPUTED_VALUE"""),"Caça-tesouros 1")</f>
        <v>Caça-tesouros 1</v>
      </c>
      <c r="F159" s="11" t="str">
        <f>IFERROR(__xludf.DUMMYFUNCTION("""COMPUTED_VALUE"""),"Épico")</f>
        <v>Épico</v>
      </c>
      <c r="G159" s="12" t="str">
        <f>IFERROR(__xludf.DUMMYFUNCTION("""COMPUTED_VALUE"""),"Aumenta o número máximo de artefatos e itens de raid encontrados em +2")</f>
        <v>Aumenta o número máximo de artefatos e itens de raid encontrados em +2</v>
      </c>
      <c r="H159" s="9" t="b">
        <f>IFERROR(__xludf.DUMMYFUNCTION("""COMPUTED_VALUE"""),TRUE)</f>
        <v>1</v>
      </c>
      <c r="I159" s="10"/>
    </row>
    <row r="160">
      <c r="A160" s="10"/>
      <c r="B160" s="10" t="str">
        <f>IFERROR(__xludf.DUMMYFUNCTION("""COMPUTED_VALUE"""),"Gu Zheng")</f>
        <v>Gu Zheng</v>
      </c>
      <c r="C160" s="11" t="str">
        <f>IFERROR(__xludf.DUMMYFUNCTION("""COMPUTED_VALUE"""),"Instrumento")</f>
        <v>Instrumento</v>
      </c>
      <c r="D160" s="12">
        <f>IFERROR(__xludf.DUMMYFUNCTION("""COMPUTED_VALUE"""),34.0)</f>
        <v>34</v>
      </c>
      <c r="E160" s="12" t="str">
        <f>IFERROR(__xludf.DUMMYFUNCTION("""COMPUTED_VALUE"""),"Reviver 2")</f>
        <v>Reviver 2</v>
      </c>
      <c r="F160" s="11" t="str">
        <f>IFERROR(__xludf.DUMMYFUNCTION("""COMPUTED_VALUE"""),"Lendário")</f>
        <v>Lendário</v>
      </c>
      <c r="G160" s="12" t="str">
        <f>IFERROR(__xludf.DUMMYFUNCTION("""COMPUTED_VALUE"""),"Revive um companheiro derrotado 10% das vezes")</f>
        <v>Revive um companheiro derrotado 10% das vezes</v>
      </c>
      <c r="H160" s="9" t="b">
        <f>IFERROR(__xludf.DUMMYFUNCTION("""COMPUTED_VALUE"""),TRUE)</f>
        <v>1</v>
      </c>
      <c r="I160" s="10"/>
    </row>
    <row r="161">
      <c r="A161" s="10"/>
      <c r="B161" s="10" t="str">
        <f>IFERROR(__xludf.DUMMYFUNCTION("""COMPUTED_VALUE"""),"Batimento Dracônico ")</f>
        <v>Batimento Dracônico </v>
      </c>
      <c r="C161" s="11" t="str">
        <f>IFERROR(__xludf.DUMMYFUNCTION("""COMPUTED_VALUE"""),"Instrumento")</f>
        <v>Instrumento</v>
      </c>
      <c r="D161" s="12">
        <f>IFERROR(__xludf.DUMMYFUNCTION("""COMPUTED_VALUE"""),38.0)</f>
        <v>38</v>
      </c>
      <c r="E161" s="12" t="str">
        <f>IFERROR(__xludf.DUMMYFUNCTION("""COMPUTED_VALUE"""),"Protetor 1")</f>
        <v>Protetor 1</v>
      </c>
      <c r="F161" s="11" t="str">
        <f>IFERROR(__xludf.DUMMYFUNCTION("""COMPUTED_VALUE"""),"Lendário")</f>
        <v>Lendário</v>
      </c>
      <c r="G161" s="12" t="str">
        <f>IFERROR(__xludf.DUMMYFUNCTION("""COMPUTED_VALUE"""),"Aumenta a taxa de sobrevivência do grupo em 2%")</f>
        <v>Aumenta a taxa de sobrevivência do grupo em 2%</v>
      </c>
      <c r="H161" s="9" t="b">
        <f>IFERROR(__xludf.DUMMYFUNCTION("""COMPUTED_VALUE"""),TRUE)</f>
        <v>1</v>
      </c>
      <c r="I161" s="10"/>
    </row>
    <row r="162">
      <c r="A162" s="10"/>
      <c r="B162" s="10" t="str">
        <f>IFERROR(__xludf.DUMMYFUNCTION("""COMPUTED_VALUE"""),"Cordas angelicais")</f>
        <v>Cordas angelicais</v>
      </c>
      <c r="C162" s="11" t="str">
        <f>IFERROR(__xludf.DUMMYFUNCTION("""COMPUTED_VALUE"""),"Instrumento")</f>
        <v>Instrumento</v>
      </c>
      <c r="D162" s="12">
        <f>IFERROR(__xludf.DUMMYFUNCTION("""COMPUTED_VALUE"""),40.0)</f>
        <v>40</v>
      </c>
      <c r="E162" s="12" t="str">
        <f>IFERROR(__xludf.DUMMYFUNCTION("""COMPUTED_VALUE"""),"Reviver 1")</f>
        <v>Reviver 1</v>
      </c>
      <c r="F162" s="11" t="str">
        <f>IFERROR(__xludf.DUMMYFUNCTION("""COMPUTED_VALUE"""),"Lendário")</f>
        <v>Lendário</v>
      </c>
      <c r="G162" s="12" t="str">
        <f>IFERROR(__xludf.DUMMYFUNCTION("""COMPUTED_VALUE"""),"Revive um companheiro derrotado 5% das vezes")</f>
        <v>Revive um companheiro derrotado 5% das vezes</v>
      </c>
      <c r="H162" s="9" t="b">
        <f>IFERROR(__xludf.DUMMYFUNCTION("""COMPUTED_VALUE"""),TRUE)</f>
        <v>1</v>
      </c>
      <c r="I162" s="10"/>
    </row>
    <row r="163">
      <c r="A163" s="10"/>
      <c r="B163" s="10" t="str">
        <f>IFERROR(__xludf.DUMMYFUNCTION("""COMPUTED_VALUE"""),"Ceremonial Er-hu")</f>
        <v>Ceremonial Er-hu</v>
      </c>
      <c r="C163" s="11" t="str">
        <f>IFERROR(__xludf.DUMMYFUNCTION("""COMPUTED_VALUE"""),"Instrumento")</f>
        <v>Instrumento</v>
      </c>
      <c r="D163" s="12">
        <f>IFERROR(__xludf.DUMMYFUNCTION("""COMPUTED_VALUE"""),43.0)</f>
        <v>43</v>
      </c>
      <c r="E163" s="12" t="str">
        <f>IFERROR(__xludf.DUMMYFUNCTION("""COMPUTED_VALUE"""),"Energético 3")</f>
        <v>Energético 3</v>
      </c>
      <c r="F163" s="11" t="str">
        <f>IFERROR(__xludf.DUMMYFUNCTION("""COMPUTED_VALUE"""),"Épico")</f>
        <v>Épico</v>
      </c>
      <c r="G163" s="12" t="str">
        <f>IFERROR(__xludf.DUMMYFUNCTION("""COMPUTED_VALUE"""),"Reduz o tempo de espera depois da missão em 100%")</f>
        <v>Reduz o tempo de espera depois da missão em 100%</v>
      </c>
      <c r="H163" s="9" t="b">
        <f>IFERROR(__xludf.DUMMYFUNCTION("""COMPUTED_VALUE"""),TRUE)</f>
        <v>1</v>
      </c>
      <c r="I163" s="10"/>
    </row>
    <row r="164">
      <c r="A164" s="10"/>
      <c r="B164" s="10" t="str">
        <f>IFERROR(__xludf.DUMMYFUNCTION("""COMPUTED_VALUE"""),"Harpa do Fogo Gelo")</f>
        <v>Harpa do Fogo Gelo</v>
      </c>
      <c r="C164" s="11" t="str">
        <f>IFERROR(__xludf.DUMMYFUNCTION("""COMPUTED_VALUE"""),"Instrumento")</f>
        <v>Instrumento</v>
      </c>
      <c r="D164" s="12">
        <f>IFERROR(__xludf.DUMMYFUNCTION("""COMPUTED_VALUE"""),45.0)</f>
        <v>45</v>
      </c>
      <c r="E164" s="12" t="str">
        <f>IFERROR(__xludf.DUMMYFUNCTION("""COMPUTED_VALUE"""),"Cone-gélido")</f>
        <v>Cone-gélido</v>
      </c>
      <c r="F164" s="11" t="str">
        <f>IFERROR(__xludf.DUMMYFUNCTION("""COMPUTED_VALUE"""),"Épico")</f>
        <v>Épico</v>
      </c>
      <c r="G164" s="12" t="str">
        <f>IFERROR(__xludf.DUMMYFUNCTION("""COMPUTED_VALUE"""),"Aumenta a força em 40%")</f>
        <v>Aumenta a força em 40%</v>
      </c>
      <c r="H164" s="9" t="b">
        <f>IFERROR(__xludf.DUMMYFUNCTION("""COMPUTED_VALUE"""),TRUE)</f>
        <v>1</v>
      </c>
      <c r="I164" s="10"/>
    </row>
    <row r="165">
      <c r="A165" s="10"/>
      <c r="B165" s="10" t="str">
        <f>IFERROR(__xludf.DUMMYFUNCTION("""COMPUTED_VALUE"""),"Flauta de gaia ")</f>
        <v>Flauta de gaia </v>
      </c>
      <c r="C165" s="11" t="str">
        <f>IFERROR(__xludf.DUMMYFUNCTION("""COMPUTED_VALUE"""),"Instrumento")</f>
        <v>Instrumento</v>
      </c>
      <c r="D165" s="12">
        <f>IFERROR(__xludf.DUMMYFUNCTION("""COMPUTED_VALUE"""),49.0)</f>
        <v>49</v>
      </c>
      <c r="E165" s="12" t="str">
        <f>IFERROR(__xludf.DUMMYFUNCTION("""COMPUTED_VALUE"""),"Amazona 2")</f>
        <v>Amazona 2</v>
      </c>
      <c r="F165" s="11" t="str">
        <f>IFERROR(__xludf.DUMMYFUNCTION("""COMPUTED_VALUE"""),"Mítico")</f>
        <v>Mítico</v>
      </c>
      <c r="G165" s="12" t="str">
        <f>IFERROR(__xludf.DUMMYFUNCTION("""COMPUTED_VALUE"""),"Aumenta a taxa de sobrevivência de membros femininos do grupo em 10%")</f>
        <v>Aumenta a taxa de sobrevivência de membros femininos do grupo em 10%</v>
      </c>
      <c r="H165" s="9" t="b">
        <f>IFERROR(__xludf.DUMMYFUNCTION("""COMPUTED_VALUE"""),TRUE)</f>
        <v>1</v>
      </c>
      <c r="I165" s="10"/>
    </row>
    <row r="166">
      <c r="A166" s="10"/>
      <c r="B166" s="10" t="str">
        <f>IFERROR(__xludf.DUMMYFUNCTION("""COMPUTED_VALUE"""),"Flauta Convocadora")</f>
        <v>Flauta Convocadora</v>
      </c>
      <c r="C166" s="11" t="str">
        <f>IFERROR(__xludf.DUMMYFUNCTION("""COMPUTED_VALUE"""),"Instrumento")</f>
        <v>Instrumento</v>
      </c>
      <c r="D166" s="12">
        <f>IFERROR(__xludf.DUMMYFUNCTION("""COMPUTED_VALUE"""),55.0)</f>
        <v>55</v>
      </c>
      <c r="E166" s="12" t="str">
        <f>IFERROR(__xludf.DUMMYFUNCTION("""COMPUTED_VALUE"""),"Protetor 3")</f>
        <v>Protetor 3</v>
      </c>
      <c r="F166" s="11" t="str">
        <f>IFERROR(__xludf.DUMMYFUNCTION("""COMPUTED_VALUE"""),"Mítico")</f>
        <v>Mítico</v>
      </c>
      <c r="G166" s="12" t="str">
        <f>IFERROR(__xludf.DUMMYFUNCTION("""COMPUTED_VALUE"""),"Aumenta a taxa de sobrevivência do grupo em 10%")</f>
        <v>Aumenta a taxa de sobrevivência do grupo em 10%</v>
      </c>
      <c r="H166" s="9" t="b">
        <f>IFERROR(__xludf.DUMMYFUNCTION("""COMPUTED_VALUE"""),TRUE)</f>
        <v>1</v>
      </c>
      <c r="I166" s="10"/>
    </row>
    <row r="167">
      <c r="A167" s="10"/>
      <c r="B167" s="10" t="str">
        <f>IFERROR(__xludf.DUMMYFUNCTION("""COMPUTED_VALUE"""),"Ponta Perseguidora")</f>
        <v>Ponta Perseguidora</v>
      </c>
      <c r="C167" s="11" t="str">
        <f>IFERROR(__xludf.DUMMYFUNCTION("""COMPUTED_VALUE"""),"Lança")</f>
        <v>Lança</v>
      </c>
      <c r="D167" s="12">
        <f>IFERROR(__xludf.DUMMYFUNCTION("""COMPUTED_VALUE"""),12.0)</f>
        <v>12</v>
      </c>
      <c r="E167" s="12" t="str">
        <f>IFERROR(__xludf.DUMMYFUNCTION("""COMPUTED_VALUE"""),"Caça-tesouros 1")</f>
        <v>Caça-tesouros 1</v>
      </c>
      <c r="F167" s="11" t="str">
        <f>IFERROR(__xludf.DUMMYFUNCTION("""COMPUTED_VALUE"""),"Impecável")</f>
        <v>Impecável</v>
      </c>
      <c r="G167" s="12" t="str">
        <f>IFERROR(__xludf.DUMMYFUNCTION("""COMPUTED_VALUE"""),"Aumenta o número máximo de artefatos e itens de raid encontrados em +2")</f>
        <v>Aumenta o número máximo de artefatos e itens de raid encontrados em +2</v>
      </c>
      <c r="H167" s="9" t="b">
        <f>IFERROR(__xludf.DUMMYFUNCTION("""COMPUTED_VALUE"""),TRUE)</f>
        <v>1</v>
      </c>
      <c r="I167" s="10"/>
    </row>
    <row r="168">
      <c r="A168" s="10"/>
      <c r="B168" s="10" t="str">
        <f>IFERROR(__xludf.DUMMYFUNCTION("""COMPUTED_VALUE"""),"Ponta de Veneno")</f>
        <v>Ponta de Veneno</v>
      </c>
      <c r="C168" s="11" t="str">
        <f>IFERROR(__xludf.DUMMYFUNCTION("""COMPUTED_VALUE"""),"Lança")</f>
        <v>Lança</v>
      </c>
      <c r="D168" s="12">
        <f>IFERROR(__xludf.DUMMYFUNCTION("""COMPUTED_VALUE"""),19.0)</f>
        <v>19</v>
      </c>
      <c r="E168" s="12" t="str">
        <f>IFERROR(__xludf.DUMMYFUNCTION("""COMPUTED_VALUE"""),"Gangster 1")</f>
        <v>Gangster 1</v>
      </c>
      <c r="F168" s="11" t="str">
        <f>IFERROR(__xludf.DUMMYFUNCTION("""COMPUTED_VALUE"""),"Impecável")</f>
        <v>Impecável</v>
      </c>
      <c r="G168" s="12" t="str">
        <f>IFERROR(__xludf.DUMMYFUNCTION("""COMPUTED_VALUE"""),"Aumenta a força do equipamento em 10%")</f>
        <v>Aumenta a força do equipamento em 10%</v>
      </c>
      <c r="H168" s="9" t="b">
        <f>IFERROR(__xludf.DUMMYFUNCTION("""COMPUTED_VALUE"""),TRUE)</f>
        <v>1</v>
      </c>
      <c r="I168" s="10"/>
    </row>
    <row r="169">
      <c r="A169" s="10"/>
      <c r="B169" s="10" t="str">
        <f>IFERROR(__xludf.DUMMYFUNCTION("""COMPUTED_VALUE"""),"Lança Pesca")</f>
        <v>Lança Pesca</v>
      </c>
      <c r="C169" s="11" t="str">
        <f>IFERROR(__xludf.DUMMYFUNCTION("""COMPUTED_VALUE"""),"Lança")</f>
        <v>Lança</v>
      </c>
      <c r="D169" s="12">
        <f>IFERROR(__xludf.DUMMYFUNCTION("""COMPUTED_VALUE"""),22.0)</f>
        <v>22</v>
      </c>
      <c r="E169" s="12" t="str">
        <f>IFERROR(__xludf.DUMMYFUNCTION("""COMPUTED_VALUE"""),"Sábio 3")</f>
        <v>Sábio 3</v>
      </c>
      <c r="F169" s="11" t="str">
        <f>IFERROR(__xludf.DUMMYFUNCTION("""COMPUTED_VALUE"""),"Impecável")</f>
        <v>Impecável</v>
      </c>
      <c r="G169" s="12" t="str">
        <f>IFERROR(__xludf.DUMMYFUNCTION("""COMPUTED_VALUE"""),"100% de bônus de experiência")</f>
        <v>100% de bônus de experiência</v>
      </c>
      <c r="H169" s="9" t="b">
        <f>IFERROR(__xludf.DUMMYFUNCTION("""COMPUTED_VALUE"""),TRUE)</f>
        <v>1</v>
      </c>
      <c r="I169" s="10"/>
    </row>
    <row r="170">
      <c r="A170" s="10"/>
      <c r="B170" s="10" t="str">
        <f>IFERROR(__xludf.DUMMYFUNCTION("""COMPUTED_VALUE"""),"Garfo de prata")</f>
        <v>Garfo de prata</v>
      </c>
      <c r="C170" s="11" t="str">
        <f>IFERROR(__xludf.DUMMYFUNCTION("""COMPUTED_VALUE"""),"Lança")</f>
        <v>Lança</v>
      </c>
      <c r="D170" s="12">
        <f>IFERROR(__xludf.DUMMYFUNCTION("""COMPUTED_VALUE"""),26.0)</f>
        <v>26</v>
      </c>
      <c r="E170" s="12" t="str">
        <f>IFERROR(__xludf.DUMMYFUNCTION("""COMPUTED_VALUE"""),"Engenhoso 1")</f>
        <v>Engenhoso 1</v>
      </c>
      <c r="F170" s="11" t="str">
        <f>IFERROR(__xludf.DUMMYFUNCTION("""COMPUTED_VALUE"""),"Épico")</f>
        <v>Épico</v>
      </c>
      <c r="G170" s="12" t="str">
        <f>IFERROR(__xludf.DUMMYFUNCTION("""COMPUTED_VALUE"""),"Impede que 1 peça de equipamento se quebre durante a missão")</f>
        <v>Impede que 1 peça de equipamento se quebre durante a missão</v>
      </c>
      <c r="H170" s="9" t="b">
        <f>IFERROR(__xludf.DUMMYFUNCTION("""COMPUTED_VALUE"""),TRUE)</f>
        <v>1</v>
      </c>
      <c r="I170" s="10"/>
    </row>
    <row r="171">
      <c r="A171" s="10"/>
      <c r="B171" s="10" t="str">
        <f>IFERROR(__xludf.DUMMYFUNCTION("""COMPUTED_VALUE"""),"Voulgue da Lua")</f>
        <v>Voulgue da Lua</v>
      </c>
      <c r="C171" s="11" t="str">
        <f>IFERROR(__xludf.DUMMYFUNCTION("""COMPUTED_VALUE"""),"Lança")</f>
        <v>Lança</v>
      </c>
      <c r="D171" s="12">
        <f>IFERROR(__xludf.DUMMYFUNCTION("""COMPUTED_VALUE"""),30.0)</f>
        <v>30</v>
      </c>
      <c r="E171" s="12" t="str">
        <f>IFERROR(__xludf.DUMMYFUNCTION("""COMPUTED_VALUE"""),"Curandeiro 1")</f>
        <v>Curandeiro 1</v>
      </c>
      <c r="F171" s="11" t="str">
        <f>IFERROR(__xludf.DUMMYFUNCTION("""COMPUTED_VALUE"""),"Épico")</f>
        <v>Épico</v>
      </c>
      <c r="G171" s="12" t="str">
        <f>IFERROR(__xludf.DUMMYFUNCTION("""COMPUTED_VALUE"""),"Reduz o tempo de cura de companheiros em 10%")</f>
        <v>Reduz o tempo de cura de companheiros em 10%</v>
      </c>
      <c r="H171" s="9" t="b">
        <f>IFERROR(__xludf.DUMMYFUNCTION("""COMPUTED_VALUE"""),TRUE)</f>
        <v>1</v>
      </c>
      <c r="I171" s="10"/>
    </row>
    <row r="172">
      <c r="A172" s="10"/>
      <c r="B172" s="10" t="str">
        <f>IFERROR(__xludf.DUMMYFUNCTION("""COMPUTED_VALUE"""),"Espeto da Noite")</f>
        <v>Espeto da Noite</v>
      </c>
      <c r="C172" s="11" t="str">
        <f>IFERROR(__xludf.DUMMYFUNCTION("""COMPUTED_VALUE"""),"Lança")</f>
        <v>Lança</v>
      </c>
      <c r="D172" s="12">
        <f>IFERROR(__xludf.DUMMYFUNCTION("""COMPUTED_VALUE"""),38.0)</f>
        <v>38</v>
      </c>
      <c r="E172" s="12" t="str">
        <f>IFERROR(__xludf.DUMMYFUNCTION("""COMPUTED_VALUE"""),"Velocista 1")</f>
        <v>Velocista 1</v>
      </c>
      <c r="F172" s="11" t="str">
        <f>IFERROR(__xludf.DUMMYFUNCTION("""COMPUTED_VALUE"""),"Lendário")</f>
        <v>Lendário</v>
      </c>
      <c r="G172" s="12" t="str">
        <f>IFERROR(__xludf.DUMMYFUNCTION("""COMPUTED_VALUE"""),"Reduz a duração da missão em 10%")</f>
        <v>Reduz a duração da missão em 10%</v>
      </c>
      <c r="H172" s="9" t="b">
        <f>IFERROR(__xludf.DUMMYFUNCTION("""COMPUTED_VALUE"""),TRUE)</f>
        <v>1</v>
      </c>
      <c r="I172" s="10"/>
    </row>
    <row r="173">
      <c r="A173" s="10"/>
      <c r="B173" s="10" t="str">
        <f>IFERROR(__xludf.DUMMYFUNCTION("""COMPUTED_VALUE"""),"Raio Divino")</f>
        <v>Raio Divino</v>
      </c>
      <c r="C173" s="11" t="str">
        <f>IFERROR(__xludf.DUMMYFUNCTION("""COMPUTED_VALUE"""),"Lança")</f>
        <v>Lança</v>
      </c>
      <c r="D173" s="12">
        <f>IFERROR(__xludf.DUMMYFUNCTION("""COMPUTED_VALUE"""),39.0)</f>
        <v>39</v>
      </c>
      <c r="E173" s="12" t="str">
        <f>IFERROR(__xludf.DUMMYFUNCTION("""COMPUTED_VALUE"""),"Reviver 1")</f>
        <v>Reviver 1</v>
      </c>
      <c r="F173" s="11" t="str">
        <f>IFERROR(__xludf.DUMMYFUNCTION("""COMPUTED_VALUE"""),"Lendário")</f>
        <v>Lendário</v>
      </c>
      <c r="G173" s="12" t="str">
        <f>IFERROR(__xludf.DUMMYFUNCTION("""COMPUTED_VALUE"""),"Revive um companheiro derrotado 5% das vezes")</f>
        <v>Revive um companheiro derrotado 5% das vezes</v>
      </c>
      <c r="H173" s="9" t="b">
        <f>IFERROR(__xludf.DUMMYFUNCTION("""COMPUTED_VALUE"""),TRUE)</f>
        <v>1</v>
      </c>
      <c r="I173" s="10"/>
    </row>
    <row r="174">
      <c r="A174" s="10"/>
      <c r="B174" s="10" t="str">
        <f>IFERROR(__xludf.DUMMYFUNCTION("""COMPUTED_VALUE"""),"Pique Fangtiano")</f>
        <v>Pique Fangtiano</v>
      </c>
      <c r="C174" s="11" t="str">
        <f>IFERROR(__xludf.DUMMYFUNCTION("""COMPUTED_VALUE"""),"Lança")</f>
        <v>Lança</v>
      </c>
      <c r="D174" s="12">
        <f>IFERROR(__xludf.DUMMYFUNCTION("""COMPUTED_VALUE"""),44.0)</f>
        <v>44</v>
      </c>
      <c r="E174" s="12" t="str">
        <f>IFERROR(__xludf.DUMMYFUNCTION("""COMPUTED_VALUE"""),"Cortar")</f>
        <v>Cortar</v>
      </c>
      <c r="F174" s="11" t="str">
        <f>IFERROR(__xludf.DUMMYFUNCTION("""COMPUTED_VALUE"""),"Mítico")</f>
        <v>Mítico</v>
      </c>
      <c r="G174" s="12" t="str">
        <f>IFERROR(__xludf.DUMMYFUNCTION("""COMPUTED_VALUE"""),"Aumenta a força em 25%")</f>
        <v>Aumenta a força em 25%</v>
      </c>
      <c r="H174" s="9" t="b">
        <f>IFERROR(__xludf.DUMMYFUNCTION("""COMPUTED_VALUE"""),TRUE)</f>
        <v>1</v>
      </c>
      <c r="I174" s="10"/>
    </row>
    <row r="175">
      <c r="A175" s="10"/>
      <c r="B175" s="10" t="str">
        <f>IFERROR(__xludf.DUMMYFUNCTION("""COMPUTED_VALUE"""),"Alabarda de Obsidiana")</f>
        <v>Alabarda de Obsidiana</v>
      </c>
      <c r="C175" s="11" t="str">
        <f>IFERROR(__xludf.DUMMYFUNCTION("""COMPUTED_VALUE"""),"Lança")</f>
        <v>Lança</v>
      </c>
      <c r="D175" s="12">
        <f>IFERROR(__xludf.DUMMYFUNCTION("""COMPUTED_VALUE"""),47.0)</f>
        <v>47</v>
      </c>
      <c r="E175" s="12" t="str">
        <f>IFERROR(__xludf.DUMMYFUNCTION("""COMPUTED_VALUE"""),"Bola de fogo")</f>
        <v>Bola de fogo</v>
      </c>
      <c r="F175" s="11" t="str">
        <f>IFERROR(__xludf.DUMMYFUNCTION("""COMPUTED_VALUE"""),"Épico")</f>
        <v>Épico</v>
      </c>
      <c r="G175" s="12" t="str">
        <f>IFERROR(__xludf.DUMMYFUNCTION("""COMPUTED_VALUE"""),"Aumenta a força em 25%")</f>
        <v>Aumenta a força em 25%</v>
      </c>
      <c r="H175" s="9" t="b">
        <f>IFERROR(__xludf.DUMMYFUNCTION("""COMPUTED_VALUE"""),TRUE)</f>
        <v>1</v>
      </c>
      <c r="I175" s="10"/>
    </row>
    <row r="176">
      <c r="A176" s="10"/>
      <c r="B176" s="10" t="str">
        <f>IFERROR(__xludf.DUMMYFUNCTION("""COMPUTED_VALUE"""),"Tridente Primordial")</f>
        <v>Tridente Primordial</v>
      </c>
      <c r="C176" s="11" t="str">
        <f>IFERROR(__xludf.DUMMYFUNCTION("""COMPUTED_VALUE"""),"Lança")</f>
        <v>Lança</v>
      </c>
      <c r="D176" s="12">
        <f>IFERROR(__xludf.DUMMYFUNCTION("""COMPUTED_VALUE"""),50.0)</f>
        <v>50</v>
      </c>
      <c r="E176" s="12" t="str">
        <f>IFERROR(__xludf.DUMMYFUNCTION("""COMPUTED_VALUE"""),"Companheiro de Guerra 2")</f>
        <v>Companheiro de Guerra 2</v>
      </c>
      <c r="F176" s="11" t="str">
        <f>IFERROR(__xludf.DUMMYFUNCTION("""COMPUTED_VALUE"""),"Mítico")</f>
        <v>Mítico</v>
      </c>
      <c r="G176" s="12" t="str">
        <f>IFERROR(__xludf.DUMMYFUNCTION("""COMPUTED_VALUE"""),"Aumenta a taxa de sobrevivência de membros masculinos do grupo em 10%")</f>
        <v>Aumenta a taxa de sobrevivência de membros masculinos do grupo em 10%</v>
      </c>
      <c r="H176" s="9" t="b">
        <f>IFERROR(__xludf.DUMMYFUNCTION("""COMPUTED_VALUE"""),TRUE)</f>
        <v>1</v>
      </c>
      <c r="I176" s="10"/>
    </row>
    <row r="177">
      <c r="A177" s="10"/>
      <c r="B177" s="10" t="str">
        <f>IFERROR(__xludf.DUMMYFUNCTION("""COMPUTED_VALUE"""),"Gungnir")</f>
        <v>Gungnir</v>
      </c>
      <c r="C177" s="11" t="str">
        <f>IFERROR(__xludf.DUMMYFUNCTION("""COMPUTED_VALUE"""),"Lança")</f>
        <v>Lança</v>
      </c>
      <c r="D177" s="12">
        <f>IFERROR(__xludf.DUMMYFUNCTION("""COMPUTED_VALUE"""),52.0)</f>
        <v>52</v>
      </c>
      <c r="E177" s="12" t="str">
        <f>IFERROR(__xludf.DUMMYFUNCTION("""COMPUTED_VALUE"""),"Caça-tesouros 2")</f>
        <v>Caça-tesouros 2</v>
      </c>
      <c r="F177" s="11" t="str">
        <f>IFERROR(__xludf.DUMMYFUNCTION("""COMPUTED_VALUE"""),"Mítico")</f>
        <v>Mítico</v>
      </c>
      <c r="G177" s="12" t="str">
        <f>IFERROR(__xludf.DUMMYFUNCTION("""COMPUTED_VALUE"""),"Aumenta o número máximo de artefatos e itens de raid encontrados em +4")</f>
        <v>Aumenta o número máximo de artefatos e itens de raid encontrados em +4</v>
      </c>
      <c r="H177" s="9" t="b">
        <f>IFERROR(__xludf.DUMMYFUNCTION("""COMPUTED_VALUE"""),TRUE)</f>
        <v>1</v>
      </c>
      <c r="I177" s="10"/>
    </row>
    <row r="178">
      <c r="A178" s="10"/>
      <c r="B178" s="10" t="str">
        <f>IFERROR(__xludf.DUMMYFUNCTION("""COMPUTED_VALUE"""),"Perfurador Abrasador")</f>
        <v>Perfurador Abrasador</v>
      </c>
      <c r="C178" s="11" t="str">
        <f>IFERROR(__xludf.DUMMYFUNCTION("""COMPUTED_VALUE"""),"Lança")</f>
        <v>Lança</v>
      </c>
      <c r="D178" s="12">
        <f>IFERROR(__xludf.DUMMYFUNCTION("""COMPUTED_VALUE"""),53.0)</f>
        <v>53</v>
      </c>
      <c r="E178" s="12" t="str">
        <f>IFERROR(__xludf.DUMMYFUNCTION("""COMPUTED_VALUE"""),"Berserker")</f>
        <v>Berserker</v>
      </c>
      <c r="F178" s="11" t="str">
        <f>IFERROR(__xludf.DUMMYFUNCTION("""COMPUTED_VALUE"""),"Lendário")</f>
        <v>Lendário</v>
      </c>
      <c r="G178" s="12" t="str">
        <f>IFERROR(__xludf.DUMMYFUNCTION("""COMPUTED_VALUE"""),"Aumenta a força em 35%")</f>
        <v>Aumenta a força em 35%</v>
      </c>
      <c r="H178" s="9" t="b">
        <f>IFERROR(__xludf.DUMMYFUNCTION("""COMPUTED_VALUE"""),TRUE)</f>
        <v>1</v>
      </c>
      <c r="I178" s="10"/>
    </row>
    <row r="179">
      <c r="A179" s="10"/>
      <c r="B179" s="10" t="str">
        <f>IFERROR(__xludf.DUMMYFUNCTION("""COMPUTED_VALUE"""),"Rebelião")</f>
        <v>Rebelião</v>
      </c>
      <c r="C179" s="11" t="str">
        <f>IFERROR(__xludf.DUMMYFUNCTION("""COMPUTED_VALUE"""),"Lança")</f>
        <v>Lança</v>
      </c>
      <c r="D179" s="12">
        <f>IFERROR(__xludf.DUMMYFUNCTION("""COMPUTED_VALUE"""),54.0)</f>
        <v>54</v>
      </c>
      <c r="E179" s="12" t="str">
        <f>IFERROR(__xludf.DUMMYFUNCTION("""COMPUTED_VALUE"""),"Energético 3")</f>
        <v>Energético 3</v>
      </c>
      <c r="F179" s="11" t="str">
        <f>IFERROR(__xludf.DUMMYFUNCTION("""COMPUTED_VALUE"""),"Mítico")</f>
        <v>Mítico</v>
      </c>
      <c r="G179" s="12" t="str">
        <f>IFERROR(__xludf.DUMMYFUNCTION("""COMPUTED_VALUE"""),"Reduz o tempo de espera depois da missão em 100%")</f>
        <v>Reduz o tempo de espera depois da missão em 100%</v>
      </c>
      <c r="H179" s="9" t="b">
        <f>IFERROR(__xludf.DUMMYFUNCTION("""COMPUTED_VALUE"""),TRUE)</f>
        <v>1</v>
      </c>
      <c r="I179" s="10"/>
    </row>
    <row r="180">
      <c r="A180" s="10"/>
      <c r="B180" s="10" t="str">
        <f>IFERROR(__xludf.DUMMYFUNCTION("""COMPUTED_VALUE"""),"Scorpion Tail")</f>
        <v>Scorpion Tail</v>
      </c>
      <c r="C180" s="11" t="str">
        <f>IFERROR(__xludf.DUMMYFUNCTION("""COMPUTED_VALUE"""),"Lança")</f>
        <v>Lança</v>
      </c>
      <c r="D180" s="12">
        <f>IFERROR(__xludf.DUMMYFUNCTION("""COMPUTED_VALUE"""),57.0)</f>
        <v>57</v>
      </c>
      <c r="E180" s="12" t="str">
        <f>IFERROR(__xludf.DUMMYFUNCTION("""COMPUTED_VALUE"""),"Engenhoso 3")</f>
        <v>Engenhoso 3</v>
      </c>
      <c r="F180" s="11" t="str">
        <f>IFERROR(__xludf.DUMMYFUNCTION("""COMPUTED_VALUE"""),"Mítico")</f>
        <v>Mítico</v>
      </c>
      <c r="G180" s="12" t="str">
        <f>IFERROR(__xludf.DUMMYFUNCTION("""COMPUTED_VALUE"""),"Impede que 3 peças de equipamento se quebre durante a missão")</f>
        <v>Impede que 3 peças de equipamento se quebre durante a missão</v>
      </c>
      <c r="H180" s="9" t="b">
        <f>IFERROR(__xludf.DUMMYFUNCTION("""COMPUTED_VALUE"""),TRUE)</f>
        <v>1</v>
      </c>
      <c r="I180" s="10"/>
    </row>
    <row r="181">
      <c r="A181" s="10"/>
      <c r="B181" s="10" t="str">
        <f>IFERROR(__xludf.DUMMYFUNCTION("""COMPUTED_VALUE"""),"Mãos Venenosas")</f>
        <v>Mãos Venenosas</v>
      </c>
      <c r="C181" s="11" t="str">
        <f>IFERROR(__xludf.DUMMYFUNCTION("""COMPUTED_VALUE"""),"Luvas")</f>
        <v>Luvas</v>
      </c>
      <c r="D181" s="12">
        <f>IFERROR(__xludf.DUMMYFUNCTION("""COMPUTED_VALUE"""),9.0)</f>
        <v>9</v>
      </c>
      <c r="E181" s="12" t="str">
        <f>IFERROR(__xludf.DUMMYFUNCTION("""COMPUTED_VALUE"""),"Emboscada")</f>
        <v>Emboscada</v>
      </c>
      <c r="F181" s="11" t="str">
        <f>IFERROR(__xludf.DUMMYFUNCTION("""COMPUTED_VALUE"""),"Impecável")</f>
        <v>Impecável</v>
      </c>
      <c r="G181" s="12" t="str">
        <f>IFERROR(__xludf.DUMMYFUNCTION("""COMPUTED_VALUE"""),"Aumenta a força 25% das vezes")</f>
        <v>Aumenta a força 25% das vezes</v>
      </c>
      <c r="H181" s="9" t="b">
        <f>IFERROR(__xludf.DUMMYFUNCTION("""COMPUTED_VALUE"""),TRUE)</f>
        <v>1</v>
      </c>
      <c r="I181" s="10"/>
    </row>
    <row r="182">
      <c r="A182" s="10"/>
      <c r="B182" s="10" t="str">
        <f>IFERROR(__xludf.DUMMYFUNCTION("""COMPUTED_VALUE"""),"Guardian Protector")</f>
        <v>Guardian Protector</v>
      </c>
      <c r="C182" s="11" t="str">
        <f>IFERROR(__xludf.DUMMYFUNCTION("""COMPUTED_VALUE"""),"Luvas")</f>
        <v>Luvas</v>
      </c>
      <c r="D182" s="12">
        <f>IFERROR(__xludf.DUMMYFUNCTION("""COMPUTED_VALUE"""),13.0)</f>
        <v>13</v>
      </c>
      <c r="E182" s="12" t="str">
        <f>IFERROR(__xludf.DUMMYFUNCTION("""COMPUTED_VALUE"""),"Ganancioso 3")</f>
        <v>Ganancioso 3</v>
      </c>
      <c r="F182" s="11" t="str">
        <f>IFERROR(__xludf.DUMMYFUNCTION("""COMPUTED_VALUE"""),"Impecável")</f>
        <v>Impecável</v>
      </c>
      <c r="G182" s="12" t="str">
        <f>IFERROR(__xludf.DUMMYFUNCTION("""COMPUTED_VALUE"""),"Encontra mais 200% de ouro durante as missões")</f>
        <v>Encontra mais 200% de ouro durante as missões</v>
      </c>
      <c r="H182" s="9" t="b">
        <f>IFERROR(__xludf.DUMMYFUNCTION("""COMPUTED_VALUE"""),TRUE)</f>
        <v>1</v>
      </c>
      <c r="I182" s="10"/>
    </row>
    <row r="183">
      <c r="A183" s="10"/>
      <c r="B183" s="10" t="str">
        <f>IFERROR(__xludf.DUMMYFUNCTION("""COMPUTED_VALUE"""),"Luvas do Grão Mestre")</f>
        <v>Luvas do Grão Mestre</v>
      </c>
      <c r="C183" s="11" t="str">
        <f>IFERROR(__xludf.DUMMYFUNCTION("""COMPUTED_VALUE"""),"Luvas")</f>
        <v>Luvas</v>
      </c>
      <c r="D183" s="12">
        <f>IFERROR(__xludf.DUMMYFUNCTION("""COMPUTED_VALUE"""),15.0)</f>
        <v>15</v>
      </c>
      <c r="E183" s="12" t="str">
        <f>IFERROR(__xludf.DUMMYFUNCTION("""COMPUTED_VALUE"""),"Sábio 1")</f>
        <v>Sábio 1</v>
      </c>
      <c r="F183" s="11" t="str">
        <f>IFERROR(__xludf.DUMMYFUNCTION("""COMPUTED_VALUE"""),"Épico")</f>
        <v>Épico</v>
      </c>
      <c r="G183" s="12" t="str">
        <f>IFERROR(__xludf.DUMMYFUNCTION("""COMPUTED_VALUE"""),"25% de bônus de experiência")</f>
        <v>25% de bônus de experiência</v>
      </c>
      <c r="H183" s="9" t="b">
        <f>IFERROR(__xludf.DUMMYFUNCTION("""COMPUTED_VALUE"""),TRUE)</f>
        <v>1</v>
      </c>
      <c r="I183" s="10"/>
    </row>
    <row r="184">
      <c r="A184" s="10"/>
      <c r="B184" s="10" t="str">
        <f>IFERROR(__xludf.DUMMYFUNCTION("""COMPUTED_VALUE"""),"Luvas das Sombras")</f>
        <v>Luvas das Sombras</v>
      </c>
      <c r="C184" s="11" t="str">
        <f>IFERROR(__xludf.DUMMYFUNCTION("""COMPUTED_VALUE"""),"Luvas")</f>
        <v>Luvas</v>
      </c>
      <c r="D184" s="12">
        <f>IFERROR(__xludf.DUMMYFUNCTION("""COMPUTED_VALUE"""),18.0)</f>
        <v>18</v>
      </c>
      <c r="E184" s="12" t="str">
        <f>IFERROR(__xludf.DUMMYFUNCTION("""COMPUTED_VALUE"""),"Gangster 1")</f>
        <v>Gangster 1</v>
      </c>
      <c r="F184" s="11" t="str">
        <f>IFERROR(__xludf.DUMMYFUNCTION("""COMPUTED_VALUE"""),"Impecável")</f>
        <v>Impecável</v>
      </c>
      <c r="G184" s="12" t="str">
        <f>IFERROR(__xludf.DUMMYFUNCTION("""COMPUTED_VALUE"""),"Aumenta a força do equipamento em 10%")</f>
        <v>Aumenta a força do equipamento em 10%</v>
      </c>
      <c r="H184" s="9" t="b">
        <f>IFERROR(__xludf.DUMMYFUNCTION("""COMPUTED_VALUE"""),TRUE)</f>
        <v>1</v>
      </c>
      <c r="I184" s="10"/>
    </row>
    <row r="185">
      <c r="A185" s="10"/>
      <c r="B185" s="10" t="str">
        <f>IFERROR(__xludf.DUMMYFUNCTION("""COMPUTED_VALUE"""),"Braceletes gélidos")</f>
        <v>Braceletes gélidos</v>
      </c>
      <c r="C185" s="11" t="str">
        <f>IFERROR(__xludf.DUMMYFUNCTION("""COMPUTED_VALUE"""),"Luvas")</f>
        <v>Luvas</v>
      </c>
      <c r="D185" s="12">
        <f>IFERROR(__xludf.DUMMYFUNCTION("""COMPUTED_VALUE"""),36.0)</f>
        <v>36</v>
      </c>
      <c r="E185" s="12" t="str">
        <f>IFERROR(__xludf.DUMMYFUNCTION("""COMPUTED_VALUE"""),"Arquimago 1")</f>
        <v>Arquimago 1</v>
      </c>
      <c r="F185" s="11" t="str">
        <f>IFERROR(__xludf.DUMMYFUNCTION("""COMPUTED_VALUE"""),"Épico")</f>
        <v>Épico</v>
      </c>
      <c r="G185" s="12" t="str">
        <f>IFERROR(__xludf.DUMMYFUNCTION("""COMPUTED_VALUE"""),"Aumenta a força dos feiticeiros do grupo em 10%")</f>
        <v>Aumenta a força dos feiticeiros do grupo em 10%</v>
      </c>
      <c r="H185" s="9" t="b">
        <f>IFERROR(__xludf.DUMMYFUNCTION("""COMPUTED_VALUE"""),TRUE)</f>
        <v>1</v>
      </c>
      <c r="I185" s="10"/>
    </row>
    <row r="186">
      <c r="A186" s="10"/>
      <c r="B186" s="10" t="str">
        <f>IFERROR(__xludf.DUMMYFUNCTION("""COMPUTED_VALUE"""),"Luvas do espreitador")</f>
        <v>Luvas do espreitador</v>
      </c>
      <c r="C186" s="11" t="str">
        <f>IFERROR(__xludf.DUMMYFUNCTION("""COMPUTED_VALUE"""),"Luvas")</f>
        <v>Luvas</v>
      </c>
      <c r="D186" s="12">
        <f>IFERROR(__xludf.DUMMYFUNCTION("""COMPUTED_VALUE"""),38.0)</f>
        <v>38</v>
      </c>
      <c r="E186" s="12" t="str">
        <f>IFERROR(__xludf.DUMMYFUNCTION("""COMPUTED_VALUE"""),"Sortudo 1")</f>
        <v>Sortudo 1</v>
      </c>
      <c r="F186" s="11" t="str">
        <f>IFERROR(__xludf.DUMMYFUNCTION("""COMPUTED_VALUE"""),"Lendário")</f>
        <v>Lendário</v>
      </c>
      <c r="G186" s="12" t="str">
        <f>IFERROR(__xludf.DUMMYFUNCTION("""COMPUTED_VALUE"""),"Evita ferimentos 10% das vezes")</f>
        <v>Evita ferimentos 10% das vezes</v>
      </c>
      <c r="H186" s="9" t="b">
        <f>IFERROR(__xludf.DUMMYFUNCTION("""COMPUTED_VALUE"""),TRUE)</f>
        <v>1</v>
      </c>
      <c r="I186" s="10"/>
    </row>
    <row r="187">
      <c r="A187" s="10"/>
      <c r="B187" s="10" t="str">
        <f>IFERROR(__xludf.DUMMYFUNCTION("""COMPUTED_VALUE"""),"Celtic Bracer")</f>
        <v>Celtic Bracer</v>
      </c>
      <c r="C187" s="11" t="str">
        <f>IFERROR(__xludf.DUMMYFUNCTION("""COMPUTED_VALUE"""),"Luvas")</f>
        <v>Luvas</v>
      </c>
      <c r="D187" s="12">
        <f>IFERROR(__xludf.DUMMYFUNCTION("""COMPUTED_VALUE"""),38.0)</f>
        <v>38</v>
      </c>
      <c r="E187" s="12" t="str">
        <f>IFERROR(__xludf.DUMMYFUNCTION("""COMPUTED_VALUE"""),"Catador 2")</f>
        <v>Catador 2</v>
      </c>
      <c r="F187" s="11" t="str">
        <f>IFERROR(__xludf.DUMMYFUNCTION("""COMPUTED_VALUE"""),"Lendário")</f>
        <v>Lendário</v>
      </c>
      <c r="G187" s="12" t="str">
        <f>IFERROR(__xludf.DUMMYFUNCTION("""COMPUTED_VALUE"""),"Aumenta o número mínimo de itens e artefatos encontrados em +2")</f>
        <v>Aumenta o número mínimo de itens e artefatos encontrados em +2</v>
      </c>
      <c r="H187" s="9" t="b">
        <f>IFERROR(__xludf.DUMMYFUNCTION("""COMPUTED_VALUE"""),TRUE)</f>
        <v>1</v>
      </c>
      <c r="I187" s="10"/>
    </row>
    <row r="188">
      <c r="A188" s="10"/>
      <c r="B188" s="10" t="str">
        <f>IFERROR(__xludf.DUMMYFUNCTION("""COMPUTED_VALUE"""),"Garra da morte")</f>
        <v>Garra da morte</v>
      </c>
      <c r="C188" s="11" t="str">
        <f>IFERROR(__xludf.DUMMYFUNCTION("""COMPUTED_VALUE"""),"Luvas")</f>
        <v>Luvas</v>
      </c>
      <c r="D188" s="12">
        <f>IFERROR(__xludf.DUMMYFUNCTION("""COMPUTED_VALUE"""),39.0)</f>
        <v>39</v>
      </c>
      <c r="E188" s="12" t="str">
        <f>IFERROR(__xludf.DUMMYFUNCTION("""COMPUTED_VALUE"""),"Amazona 1")</f>
        <v>Amazona 1</v>
      </c>
      <c r="F188" s="11" t="str">
        <f>IFERROR(__xludf.DUMMYFUNCTION("""COMPUTED_VALUE"""),"Lendário")</f>
        <v>Lendário</v>
      </c>
      <c r="G188" s="12" t="str">
        <f>IFERROR(__xludf.DUMMYFUNCTION("""COMPUTED_VALUE"""),"Aumenta a taxa de sobrevivência de membros femininos do grupo em 5%")</f>
        <v>Aumenta a taxa de sobrevivência de membros femininos do grupo em 5%</v>
      </c>
      <c r="H188" s="9" t="b">
        <f>IFERROR(__xludf.DUMMYFUNCTION("""COMPUTED_VALUE"""),TRUE)</f>
        <v>1</v>
      </c>
      <c r="I188" s="10"/>
    </row>
    <row r="189">
      <c r="A189" s="10"/>
      <c r="B189" s="10" t="str">
        <f>IFERROR(__xludf.DUMMYFUNCTION("""COMPUTED_VALUE"""),"Luvas de MIdas")</f>
        <v>Luvas de MIdas</v>
      </c>
      <c r="C189" s="11" t="str">
        <f>IFERROR(__xludf.DUMMYFUNCTION("""COMPUTED_VALUE"""),"Luvas")</f>
        <v>Luvas</v>
      </c>
      <c r="D189" s="12">
        <f>IFERROR(__xludf.DUMMYFUNCTION("""COMPUTED_VALUE"""),40.0)</f>
        <v>40</v>
      </c>
      <c r="E189" s="12" t="str">
        <f>IFERROR(__xludf.DUMMYFUNCTION("""COMPUTED_VALUE"""),"Suporte 2")</f>
        <v>Suporte 2</v>
      </c>
      <c r="F189" s="11" t="str">
        <f>IFERROR(__xludf.DUMMYFUNCTION("""COMPUTED_VALUE"""),"Lendário")</f>
        <v>Lendário</v>
      </c>
      <c r="G189" s="12" t="str">
        <f>IFERROR(__xludf.DUMMYFUNCTION("""COMPUTED_VALUE"""),"Impede que o equipamento de um companheiro se quebre 2 vezes")</f>
        <v>Impede que o equipamento de um companheiro se quebre 2 vezes</v>
      </c>
      <c r="H189" s="9" t="b">
        <f>IFERROR(__xludf.DUMMYFUNCTION("""COMPUTED_VALUE"""),TRUE)</f>
        <v>1</v>
      </c>
      <c r="I189" s="10"/>
    </row>
    <row r="190">
      <c r="A190" s="10"/>
      <c r="B190" s="10" t="str">
        <f>IFERROR(__xludf.DUMMYFUNCTION("""COMPUTED_VALUE"""),"Luva de fogo gelo")</f>
        <v>Luva de fogo gelo</v>
      </c>
      <c r="C190" s="11" t="str">
        <f>IFERROR(__xludf.DUMMYFUNCTION("""COMPUTED_VALUE"""),"Luvas")</f>
        <v>Luvas</v>
      </c>
      <c r="D190" s="12">
        <f>IFERROR(__xludf.DUMMYFUNCTION("""COMPUTED_VALUE"""),45.0)</f>
        <v>45</v>
      </c>
      <c r="E190" s="12" t="str">
        <f>IFERROR(__xludf.DUMMYFUNCTION("""COMPUTED_VALUE"""),"Cone-gélido")</f>
        <v>Cone-gélido</v>
      </c>
      <c r="F190" s="11" t="str">
        <f>IFERROR(__xludf.DUMMYFUNCTION("""COMPUTED_VALUE"""),"Lendário")</f>
        <v>Lendário</v>
      </c>
      <c r="G190" s="12" t="str">
        <f>IFERROR(__xludf.DUMMYFUNCTION("""COMPUTED_VALUE"""),"Aumenta a força em 40%")</f>
        <v>Aumenta a força em 40%</v>
      </c>
      <c r="H190" s="9" t="b">
        <f>IFERROR(__xludf.DUMMYFUNCTION("""COMPUTED_VALUE"""),TRUE)</f>
        <v>1</v>
      </c>
      <c r="I190" s="10"/>
    </row>
    <row r="191">
      <c r="A191" s="10"/>
      <c r="B191" s="10" t="str">
        <f>IFERROR(__xludf.DUMMYFUNCTION("""COMPUTED_VALUE"""),"Starry Gloves")</f>
        <v>Starry Gloves</v>
      </c>
      <c r="C191" s="11" t="str">
        <f>IFERROR(__xludf.DUMMYFUNCTION("""COMPUTED_VALUE"""),"Luvas")</f>
        <v>Luvas</v>
      </c>
      <c r="D191" s="12">
        <f>IFERROR(__xludf.DUMMYFUNCTION("""COMPUTED_VALUE"""),46.0)</f>
        <v>46</v>
      </c>
      <c r="E191" s="12" t="str">
        <f>IFERROR(__xludf.DUMMYFUNCTION("""COMPUTED_VALUE"""),"Encontrar mágica")</f>
        <v>Encontrar mágica</v>
      </c>
      <c r="F191" s="11" t="str">
        <f>IFERROR(__xludf.DUMMYFUNCTION("""COMPUTED_VALUE"""),"Mítico")</f>
        <v>Mítico</v>
      </c>
      <c r="G191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191" s="9" t="b">
        <f>IFERROR(__xludf.DUMMYFUNCTION("""COMPUTED_VALUE"""),TRUE)</f>
        <v>1</v>
      </c>
      <c r="I191" s="10"/>
    </row>
    <row r="192">
      <c r="A192" s="10"/>
      <c r="B192" s="10" t="str">
        <f>IFERROR(__xludf.DUMMYFUNCTION("""COMPUTED_VALUE"""),"Luvas do Arcanjo")</f>
        <v>Luvas do Arcanjo</v>
      </c>
      <c r="C192" s="11" t="str">
        <f>IFERROR(__xludf.DUMMYFUNCTION("""COMPUTED_VALUE"""),"Luvas")</f>
        <v>Luvas</v>
      </c>
      <c r="D192" s="12">
        <f>IFERROR(__xludf.DUMMYFUNCTION("""COMPUTED_VALUE"""),49.0)</f>
        <v>49</v>
      </c>
      <c r="E192" s="12" t="str">
        <f>IFERROR(__xludf.DUMMYFUNCTION("""COMPUTED_VALUE"""),"Reviver 2")</f>
        <v>Reviver 2</v>
      </c>
      <c r="F192" s="11" t="str">
        <f>IFERROR(__xludf.DUMMYFUNCTION("""COMPUTED_VALUE"""),"Mítico")</f>
        <v>Mítico</v>
      </c>
      <c r="G192" s="12" t="str">
        <f>IFERROR(__xludf.DUMMYFUNCTION("""COMPUTED_VALUE"""),"Revive um companheiro derrotado 10% das vezes")</f>
        <v>Revive um companheiro derrotado 10% das vezes</v>
      </c>
      <c r="H192" s="9" t="b">
        <f>IFERROR(__xludf.DUMMYFUNCTION("""COMPUTED_VALUE"""),TRUE)</f>
        <v>1</v>
      </c>
      <c r="I192" s="10"/>
    </row>
    <row r="193">
      <c r="A193" s="10"/>
      <c r="B193" s="10" t="str">
        <f>IFERROR(__xludf.DUMMYFUNCTION("""COMPUTED_VALUE"""),"Luvas do subterrâneo")</f>
        <v>Luvas do subterrâneo</v>
      </c>
      <c r="C193" s="11" t="str">
        <f>IFERROR(__xludf.DUMMYFUNCTION("""COMPUTED_VALUE"""),"Luvas")</f>
        <v>Luvas</v>
      </c>
      <c r="D193" s="12">
        <f>IFERROR(__xludf.DUMMYFUNCTION("""COMPUTED_VALUE"""),52.0)</f>
        <v>52</v>
      </c>
      <c r="E193" s="12" t="str">
        <f>IFERROR(__xludf.DUMMYFUNCTION("""COMPUTED_VALUE"""),"Sortudo 2")</f>
        <v>Sortudo 2</v>
      </c>
      <c r="F193" s="11" t="str">
        <f>IFERROR(__xludf.DUMMYFUNCTION("""COMPUTED_VALUE"""),"Mítico")</f>
        <v>Mítico</v>
      </c>
      <c r="G193" s="12" t="str">
        <f>IFERROR(__xludf.DUMMYFUNCTION("""COMPUTED_VALUE"""),"Evita ferimentos 20% das vezes")</f>
        <v>Evita ferimentos 20% das vezes</v>
      </c>
      <c r="H193" s="9" t="b">
        <f>IFERROR(__xludf.DUMMYFUNCTION("""COMPUTED_VALUE"""),TRUE)</f>
        <v>1</v>
      </c>
      <c r="I193" s="10"/>
    </row>
    <row r="194">
      <c r="A194" s="10"/>
      <c r="B194" s="10" t="str">
        <f>IFERROR(__xludf.DUMMYFUNCTION("""COMPUTED_VALUE"""),"Mummy Hands")</f>
        <v>Mummy Hands</v>
      </c>
      <c r="C194" s="11" t="str">
        <f>IFERROR(__xludf.DUMMYFUNCTION("""COMPUTED_VALUE"""),"Luvas")</f>
        <v>Luvas</v>
      </c>
      <c r="D194" s="12">
        <f>IFERROR(__xludf.DUMMYFUNCTION("""COMPUTED_VALUE"""),56.0)</f>
        <v>56</v>
      </c>
      <c r="E194" s="12" t="str">
        <f>IFERROR(__xludf.DUMMYFUNCTION("""COMPUTED_VALUE"""),"Gangster 3")</f>
        <v>Gangster 3</v>
      </c>
      <c r="F194" s="11" t="str">
        <f>IFERROR(__xludf.DUMMYFUNCTION("""COMPUTED_VALUE"""),"Épico")</f>
        <v>Épico</v>
      </c>
      <c r="G194" s="12" t="str">
        <f>IFERROR(__xludf.DUMMYFUNCTION("""COMPUTED_VALUE"""),"Aumenta a força do equipamento em 50%")</f>
        <v>Aumenta a força do equipamento em 50%</v>
      </c>
      <c r="H194" s="9" t="b">
        <f>IFERROR(__xludf.DUMMYFUNCTION("""COMPUTED_VALUE"""),TRUE)</f>
        <v>1</v>
      </c>
      <c r="I194" s="10"/>
    </row>
    <row r="195">
      <c r="A195" s="10"/>
      <c r="B195" s="10" t="str">
        <f>IFERROR(__xludf.DUMMYFUNCTION("""COMPUTED_VALUE"""),"Toque de Fluffle")</f>
        <v>Toque de Fluffle</v>
      </c>
      <c r="C195" s="11" t="str">
        <f>IFERROR(__xludf.DUMMYFUNCTION("""COMPUTED_VALUE"""),"Luvas")</f>
        <v>Luvas</v>
      </c>
      <c r="D195" s="12">
        <f>IFERROR(__xludf.DUMMYFUNCTION("""COMPUTED_VALUE"""),58.0)</f>
        <v>58</v>
      </c>
      <c r="E195" s="12" t="str">
        <f>IFERROR(__xludf.DUMMYFUNCTION("""COMPUTED_VALUE"""),"Reviver 3")</f>
        <v>Reviver 3</v>
      </c>
      <c r="F195" s="11" t="str">
        <f>IFERROR(__xludf.DUMMYFUNCTION("""COMPUTED_VALUE"""),"Lendário")</f>
        <v>Lendário</v>
      </c>
      <c r="G195" s="12" t="str">
        <f>IFERROR(__xludf.DUMMYFUNCTION("""COMPUTED_VALUE"""),"Revive um companheiro derrotado 15% das vezes")</f>
        <v>Revive um companheiro derrotado 15% das vezes</v>
      </c>
      <c r="H195" s="9" t="b">
        <f>IFERROR(__xludf.DUMMYFUNCTION("""COMPUTED_VALUE"""),TRUE)</f>
        <v>1</v>
      </c>
      <c r="I195" s="10"/>
    </row>
    <row r="196">
      <c r="A196" s="10"/>
      <c r="B196" s="10" t="str">
        <f>IFERROR(__xludf.DUMMYFUNCTION("""COMPUTED_VALUE"""),"Tiamat")</f>
        <v>Tiamat</v>
      </c>
      <c r="C196" s="11" t="str">
        <f>IFERROR(__xludf.DUMMYFUNCTION("""COMPUTED_VALUE"""),"Machado")</f>
        <v>Machado</v>
      </c>
      <c r="D196" s="12">
        <f>IFERROR(__xludf.DUMMYFUNCTION("""COMPUTED_VALUE"""),10.0)</f>
        <v>10</v>
      </c>
      <c r="E196" s="12" t="str">
        <f>IFERROR(__xludf.DUMMYFUNCTION("""COMPUTED_VALUE"""),"Energético 1")</f>
        <v>Energético 1</v>
      </c>
      <c r="F196" s="11" t="str">
        <f>IFERROR(__xludf.DUMMYFUNCTION("""COMPUTED_VALUE"""),"Ótimo")</f>
        <v>Ótimo</v>
      </c>
      <c r="G196" s="12" t="str">
        <f>IFERROR(__xludf.DUMMYFUNCTION("""COMPUTED_VALUE"""),"Reduz o tempo de espera depois da missão em 50%")</f>
        <v>Reduz o tempo de espera depois da missão em 50%</v>
      </c>
      <c r="H196" s="9" t="b">
        <f>IFERROR(__xludf.DUMMYFUNCTION("""COMPUTED_VALUE"""),TRUE)</f>
        <v>1</v>
      </c>
      <c r="I196" s="10"/>
    </row>
    <row r="197">
      <c r="A197" s="10"/>
      <c r="B197" s="10" t="str">
        <f>IFERROR(__xludf.DUMMYFUNCTION("""COMPUTED_VALUE"""),"Machado de Berserker")</f>
        <v>Machado de Berserker</v>
      </c>
      <c r="C197" s="11" t="str">
        <f>IFERROR(__xludf.DUMMYFUNCTION("""COMPUTED_VALUE"""),"Machado")</f>
        <v>Machado</v>
      </c>
      <c r="D197" s="12">
        <f>IFERROR(__xludf.DUMMYFUNCTION("""COMPUTED_VALUE"""),23.0)</f>
        <v>23</v>
      </c>
      <c r="E197" s="12" t="str">
        <f>IFERROR(__xludf.DUMMYFUNCTION("""COMPUTED_VALUE"""),"Cortar")</f>
        <v>Cortar</v>
      </c>
      <c r="F197" s="11" t="str">
        <f>IFERROR(__xludf.DUMMYFUNCTION("""COMPUTED_VALUE"""),"Impecável")</f>
        <v>Impecável</v>
      </c>
      <c r="G197" s="12" t="str">
        <f>IFERROR(__xludf.DUMMYFUNCTION("""COMPUTED_VALUE"""),"Aumenta a força em 25%")</f>
        <v>Aumenta a força em 25%</v>
      </c>
      <c r="H197" s="9" t="b">
        <f>IFERROR(__xludf.DUMMYFUNCTION("""COMPUTED_VALUE"""),TRUE)</f>
        <v>1</v>
      </c>
      <c r="I197" s="10"/>
    </row>
    <row r="198">
      <c r="A198" s="10"/>
      <c r="B198" s="10" t="str">
        <f>IFERROR(__xludf.DUMMYFUNCTION("""COMPUTED_VALUE"""),"Presa Afiada")</f>
        <v>Presa Afiada</v>
      </c>
      <c r="C198" s="11" t="str">
        <f>IFERROR(__xludf.DUMMYFUNCTION("""COMPUTED_VALUE"""),"Machado")</f>
        <v>Machado</v>
      </c>
      <c r="D198" s="12">
        <f>IFERROR(__xludf.DUMMYFUNCTION("""COMPUTED_VALUE"""),25.0)</f>
        <v>25</v>
      </c>
      <c r="E198" s="12" t="str">
        <f>IFERROR(__xludf.DUMMYFUNCTION("""COMPUTED_VALUE"""),"Resistente 1")</f>
        <v>Resistente 1</v>
      </c>
      <c r="F198" s="11" t="str">
        <f>IFERROR(__xludf.DUMMYFUNCTION("""COMPUTED_VALUE"""),"Épico")</f>
        <v>Épico</v>
      </c>
      <c r="G198" s="12" t="str">
        <f>IFERROR(__xludf.DUMMYFUNCTION("""COMPUTED_VALUE"""),"Obtém pelo menos 25% de experiência quando ferido e a missão é bem sucedida")</f>
        <v>Obtém pelo menos 25% de experiência quando ferido e a missão é bem sucedida</v>
      </c>
      <c r="H198" s="9" t="b">
        <f>IFERROR(__xludf.DUMMYFUNCTION("""COMPUTED_VALUE"""),TRUE)</f>
        <v>1</v>
      </c>
      <c r="I198" s="10"/>
    </row>
    <row r="199">
      <c r="A199" s="10"/>
      <c r="B199" s="10" t="str">
        <f>IFERROR(__xludf.DUMMYFUNCTION("""COMPUTED_VALUE"""),"Faz Viúva")</f>
        <v>Faz Viúva</v>
      </c>
      <c r="C199" s="11" t="str">
        <f>IFERROR(__xludf.DUMMYFUNCTION("""COMPUTED_VALUE"""),"Machado")</f>
        <v>Machado</v>
      </c>
      <c r="D199" s="12">
        <f>IFERROR(__xludf.DUMMYFUNCTION("""COMPUTED_VALUE"""),32.0)</f>
        <v>32</v>
      </c>
      <c r="E199" s="12" t="str">
        <f>IFERROR(__xludf.DUMMYFUNCTION("""COMPUTED_VALUE"""),"Amazona 1")</f>
        <v>Amazona 1</v>
      </c>
      <c r="F199" s="11" t="str">
        <f>IFERROR(__xludf.DUMMYFUNCTION("""COMPUTED_VALUE"""),"Épico")</f>
        <v>Épico</v>
      </c>
      <c r="G199" s="12" t="str">
        <f>IFERROR(__xludf.DUMMYFUNCTION("""COMPUTED_VALUE"""),"Aumenta a taxa de sobrevivência de membros femininos do grupo em 5%")</f>
        <v>Aumenta a taxa de sobrevivência de membros femininos do grupo em 5%</v>
      </c>
      <c r="H199" s="9" t="b">
        <f>IFERROR(__xludf.DUMMYFUNCTION("""COMPUTED_VALUE"""),TRUE)</f>
        <v>1</v>
      </c>
      <c r="I199" s="10"/>
    </row>
    <row r="200">
      <c r="A200" s="10"/>
      <c r="B200" s="10" t="str">
        <f>IFERROR(__xludf.DUMMYFUNCTION("""COMPUTED_VALUE"""),"Ira infernal")</f>
        <v>Ira infernal</v>
      </c>
      <c r="C200" s="11" t="str">
        <f>IFERROR(__xludf.DUMMYFUNCTION("""COMPUTED_VALUE"""),"Machado")</f>
        <v>Machado</v>
      </c>
      <c r="D200" s="12">
        <f>IFERROR(__xludf.DUMMYFUNCTION("""COMPUTED_VALUE"""),38.0)</f>
        <v>38</v>
      </c>
      <c r="E200" s="12" t="str">
        <f>IFERROR(__xludf.DUMMYFUNCTION("""COMPUTED_VALUE"""),"Companheiro de Guerra 1")</f>
        <v>Companheiro de Guerra 1</v>
      </c>
      <c r="F200" s="11" t="str">
        <f>IFERROR(__xludf.DUMMYFUNCTION("""COMPUTED_VALUE"""),"Lendário")</f>
        <v>Lendário</v>
      </c>
      <c r="G200" s="12" t="str">
        <f>IFERROR(__xludf.DUMMYFUNCTION("""COMPUTED_VALUE"""),"Aumenta a taxa de sobrevivência de membros masculinos do grupo em 5%")</f>
        <v>Aumenta a taxa de sobrevivência de membros masculinos do grupo em 5%</v>
      </c>
      <c r="H200" s="9" t="b">
        <f>IFERROR(__xludf.DUMMYFUNCTION("""COMPUTED_VALUE"""),TRUE)</f>
        <v>1</v>
      </c>
      <c r="I200" s="10"/>
    </row>
    <row r="201">
      <c r="A201" s="10"/>
      <c r="B201" s="10" t="str">
        <f>IFERROR(__xludf.DUMMYFUNCTION("""COMPUTED_VALUE"""),"Lâmina do Ragnarok")</f>
        <v>Lâmina do Ragnarok</v>
      </c>
      <c r="C201" s="11" t="str">
        <f>IFERROR(__xludf.DUMMYFUNCTION("""COMPUTED_VALUE"""),"Machado")</f>
        <v>Machado</v>
      </c>
      <c r="D201" s="12">
        <f>IFERROR(__xludf.DUMMYFUNCTION("""COMPUTED_VALUE"""),40.0)</f>
        <v>40</v>
      </c>
      <c r="E201" s="12" t="str">
        <f>IFERROR(__xludf.DUMMYFUNCTION("""COMPUTED_VALUE"""),"Bola de fogo")</f>
        <v>Bola de fogo</v>
      </c>
      <c r="F201" s="11" t="str">
        <f>IFERROR(__xludf.DUMMYFUNCTION("""COMPUTED_VALUE"""),"Lendário")</f>
        <v>Lendário</v>
      </c>
      <c r="G201" s="12" t="str">
        <f>IFERROR(__xludf.DUMMYFUNCTION("""COMPUTED_VALUE"""),"Aumenta a força em 25%")</f>
        <v>Aumenta a força em 25%</v>
      </c>
      <c r="H201" s="9" t="b">
        <f>IFERROR(__xludf.DUMMYFUNCTION("""COMPUTED_VALUE"""),TRUE)</f>
        <v>1</v>
      </c>
      <c r="I201" s="10"/>
    </row>
    <row r="202">
      <c r="A202" s="10"/>
      <c r="B202" s="10" t="str">
        <f>IFERROR(__xludf.DUMMYFUNCTION("""COMPUTED_VALUE"""),"Machado Irado")</f>
        <v>Machado Irado</v>
      </c>
      <c r="C202" s="11" t="str">
        <f>IFERROR(__xludf.DUMMYFUNCTION("""COMPUTED_VALUE"""),"Machado")</f>
        <v>Machado</v>
      </c>
      <c r="D202" s="12">
        <f>IFERROR(__xludf.DUMMYFUNCTION("""COMPUTED_VALUE"""),48.0)</f>
        <v>48</v>
      </c>
      <c r="E202" s="12" t="str">
        <f>IFERROR(__xludf.DUMMYFUNCTION("""COMPUTED_VALUE"""),"Berserker")</f>
        <v>Berserker</v>
      </c>
      <c r="F202" s="11" t="str">
        <f>IFERROR(__xludf.DUMMYFUNCTION("""COMPUTED_VALUE"""),"Mítico")</f>
        <v>Mítico</v>
      </c>
      <c r="G202" s="12" t="str">
        <f>IFERROR(__xludf.DUMMYFUNCTION("""COMPUTED_VALUE"""),"Aumenta a força em 35%")</f>
        <v>Aumenta a força em 35%</v>
      </c>
      <c r="H202" s="9" t="b">
        <f>IFERROR(__xludf.DUMMYFUNCTION("""COMPUTED_VALUE"""),TRUE)</f>
        <v>1</v>
      </c>
      <c r="I202" s="10"/>
    </row>
    <row r="203">
      <c r="A203" s="10"/>
      <c r="B203" s="10" t="str">
        <f>IFERROR(__xludf.DUMMYFUNCTION("""COMPUTED_VALUE"""),"Machado da Sombra")</f>
        <v>Machado da Sombra</v>
      </c>
      <c r="C203" s="11" t="str">
        <f>IFERROR(__xludf.DUMMYFUNCTION("""COMPUTED_VALUE"""),"Machado")</f>
        <v>Machado</v>
      </c>
      <c r="D203" s="12">
        <f>IFERROR(__xludf.DUMMYFUNCTION("""COMPUTED_VALUE"""),50.0)</f>
        <v>50</v>
      </c>
      <c r="E203" s="12" t="str">
        <f>IFERROR(__xludf.DUMMYFUNCTION("""COMPUTED_VALUE"""),"Passo das Sombras")</f>
        <v>Passo das Sombras</v>
      </c>
      <c r="F203" s="11" t="str">
        <f>IFERROR(__xludf.DUMMYFUNCTION("""COMPUTED_VALUE"""),"Lendário")</f>
        <v>Lendário</v>
      </c>
      <c r="G203" s="12" t="str">
        <f>IFERROR(__xludf.DUMMYFUNCTION("""COMPUTED_VALUE"""),"Evita ferimentos 15% das vezes")</f>
        <v>Evita ferimentos 15% das vezes</v>
      </c>
      <c r="H203" s="9" t="b">
        <f>IFERROR(__xludf.DUMMYFUNCTION("""COMPUTED_VALUE"""),TRUE)</f>
        <v>1</v>
      </c>
      <c r="I203" s="10"/>
    </row>
    <row r="204">
      <c r="A204" s="10"/>
      <c r="B204" s="10" t="str">
        <f>IFERROR(__xludf.DUMMYFUNCTION("""COMPUTED_VALUE"""),"Labrys de Hefesto")</f>
        <v>Labrys de Hefesto</v>
      </c>
      <c r="C204" s="11" t="str">
        <f>IFERROR(__xludf.DUMMYFUNCTION("""COMPUTED_VALUE"""),"Machado")</f>
        <v>Machado</v>
      </c>
      <c r="D204" s="12">
        <f>IFERROR(__xludf.DUMMYFUNCTION("""COMPUTED_VALUE"""),51.0)</f>
        <v>51</v>
      </c>
      <c r="E204" s="12" t="str">
        <f>IFERROR(__xludf.DUMMYFUNCTION("""COMPUTED_VALUE"""),"Encontrar mágica")</f>
        <v>Encontrar mágica</v>
      </c>
      <c r="F204" s="11" t="str">
        <f>IFERROR(__xludf.DUMMYFUNCTION("""COMPUTED_VALUE"""),"Lendário")</f>
        <v>Lendário</v>
      </c>
      <c r="G204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04" s="9" t="b">
        <f>IFERROR(__xludf.DUMMYFUNCTION("""COMPUTED_VALUE"""),TRUE)</f>
        <v>1</v>
      </c>
      <c r="I204" s="10"/>
    </row>
    <row r="205">
      <c r="A205" s="10"/>
      <c r="B205" s="10" t="str">
        <f>IFERROR(__xludf.DUMMYFUNCTION("""COMPUTED_VALUE"""),"Forseti's Axe")</f>
        <v>Forseti's Axe</v>
      </c>
      <c r="C205" s="11" t="str">
        <f>IFERROR(__xludf.DUMMYFUNCTION("""COMPUTED_VALUE"""),"Machado")</f>
        <v>Machado</v>
      </c>
      <c r="D205" s="12">
        <f>IFERROR(__xludf.DUMMYFUNCTION("""COMPUTED_VALUE"""),53.0)</f>
        <v>53</v>
      </c>
      <c r="E205" s="12" t="str">
        <f>IFERROR(__xludf.DUMMYFUNCTION("""COMPUTED_VALUE"""),"Companheiro de Guerra 2")</f>
        <v>Companheiro de Guerra 2</v>
      </c>
      <c r="F205" s="11" t="str">
        <f>IFERROR(__xludf.DUMMYFUNCTION("""COMPUTED_VALUE"""),"Mítico")</f>
        <v>Mítico</v>
      </c>
      <c r="G205" s="12" t="str">
        <f>IFERROR(__xludf.DUMMYFUNCTION("""COMPUTED_VALUE"""),"Aumenta a taxa de sobrevivência de membros masculinos do grupo em 10%")</f>
        <v>Aumenta a taxa de sobrevivência de membros masculinos do grupo em 10%</v>
      </c>
      <c r="H205" s="9" t="b">
        <f>IFERROR(__xludf.DUMMYFUNCTION("""COMPUTED_VALUE"""),TRUE)</f>
        <v>1</v>
      </c>
      <c r="I205" s="10"/>
    </row>
    <row r="206">
      <c r="A206" s="10"/>
      <c r="B206" s="10" t="str">
        <f>IFERROR(__xludf.DUMMYFUNCTION("""COMPUTED_VALUE"""),"Manoplas Lunares")</f>
        <v>Manoplas Lunares</v>
      </c>
      <c r="C206" s="11" t="str">
        <f>IFERROR(__xludf.DUMMYFUNCTION("""COMPUTED_VALUE"""),"Manopla")</f>
        <v>Manopla</v>
      </c>
      <c r="D206" s="12">
        <f>IFERROR(__xludf.DUMMYFUNCTION("""COMPUTED_VALUE"""),10.0)</f>
        <v>10</v>
      </c>
      <c r="E206" s="12" t="str">
        <f>IFERROR(__xludf.DUMMYFUNCTION("""COMPUTED_VALUE"""),"Velocista 1")</f>
        <v>Velocista 1</v>
      </c>
      <c r="F206" s="11" t="str">
        <f>IFERROR(__xludf.DUMMYFUNCTION("""COMPUTED_VALUE"""),"Impecável")</f>
        <v>Impecável</v>
      </c>
      <c r="G206" s="12" t="str">
        <f>IFERROR(__xludf.DUMMYFUNCTION("""COMPUTED_VALUE"""),"Reduz a duração da missão em 10%")</f>
        <v>Reduz a duração da missão em 10%</v>
      </c>
      <c r="H206" s="9" t="b">
        <f>IFERROR(__xludf.DUMMYFUNCTION("""COMPUTED_VALUE"""),TRUE)</f>
        <v>1</v>
      </c>
      <c r="I206" s="10"/>
    </row>
    <row r="207">
      <c r="A207" s="10"/>
      <c r="B207" s="10" t="str">
        <f>IFERROR(__xludf.DUMMYFUNCTION("""COMPUTED_VALUE"""),"Gancho mão de metal")</f>
        <v>Gancho mão de metal</v>
      </c>
      <c r="C207" s="11" t="str">
        <f>IFERROR(__xludf.DUMMYFUNCTION("""COMPUTED_VALUE"""),"Manopla")</f>
        <v>Manopla</v>
      </c>
      <c r="D207" s="12">
        <f>IFERROR(__xludf.DUMMYFUNCTION("""COMPUTED_VALUE"""),17.0)</f>
        <v>17</v>
      </c>
      <c r="E207" s="12" t="str">
        <f>IFERROR(__xludf.DUMMYFUNCTION("""COMPUTED_VALUE"""),"Líder 1")</f>
        <v>Líder 1</v>
      </c>
      <c r="F207" s="11" t="str">
        <f>IFERROR(__xludf.DUMMYFUNCTION("""COMPUTED_VALUE"""),"Impecável")</f>
        <v>Impecável</v>
      </c>
      <c r="G207" s="12" t="str">
        <f>IFERROR(__xludf.DUMMYFUNCTION("""COMPUTED_VALUE"""),"Aumenta o número de companheiros em +1")</f>
        <v>Aumenta o número de companheiros em +1</v>
      </c>
      <c r="H207" s="9" t="b">
        <f>IFERROR(__xludf.DUMMYFUNCTION("""COMPUTED_VALUE"""),TRUE)</f>
        <v>1</v>
      </c>
      <c r="I207" s="10"/>
    </row>
    <row r="208">
      <c r="A208" s="10"/>
      <c r="B208" s="10" t="str">
        <f>IFERROR(__xludf.DUMMYFUNCTION("""COMPUTED_VALUE"""),"Garra Gelada")</f>
        <v>Garra Gelada</v>
      </c>
      <c r="C208" s="11" t="str">
        <f>IFERROR(__xludf.DUMMYFUNCTION("""COMPUTED_VALUE"""),"Manopla")</f>
        <v>Manopla</v>
      </c>
      <c r="D208" s="12">
        <f>IFERROR(__xludf.DUMMYFUNCTION("""COMPUTED_VALUE"""),20.0)</f>
        <v>20</v>
      </c>
      <c r="E208" s="12" t="str">
        <f>IFERROR(__xludf.DUMMYFUNCTION("""COMPUTED_VALUE"""),"Defesa")</f>
        <v>Defesa</v>
      </c>
      <c r="F208" s="11" t="str">
        <f>IFERROR(__xludf.DUMMYFUNCTION("""COMPUTED_VALUE"""),"Impecável")</f>
        <v>Impecável</v>
      </c>
      <c r="G208" s="12" t="str">
        <f>IFERROR(__xludf.DUMMYFUNCTION("""COMPUTED_VALUE"""),"Aumenta a defesa do equipamento em 10%")</f>
        <v>Aumenta a defesa do equipamento em 10%</v>
      </c>
      <c r="H208" s="9" t="b">
        <f>IFERROR(__xludf.DUMMYFUNCTION("""COMPUTED_VALUE"""),TRUE)</f>
        <v>1</v>
      </c>
      <c r="I208" s="10"/>
    </row>
    <row r="209">
      <c r="A209" s="10"/>
      <c r="B209" s="10" t="str">
        <f>IFERROR(__xludf.DUMMYFUNCTION("""COMPUTED_VALUE"""),"Manoplas do Rei")</f>
        <v>Manoplas do Rei</v>
      </c>
      <c r="C209" s="11" t="str">
        <f>IFERROR(__xludf.DUMMYFUNCTION("""COMPUTED_VALUE"""),"Manopla")</f>
        <v>Manopla</v>
      </c>
      <c r="D209" s="12">
        <f>IFERROR(__xludf.DUMMYFUNCTION("""COMPUTED_VALUE"""),25.0)</f>
        <v>25</v>
      </c>
      <c r="E209" s="12" t="str">
        <f>IFERROR(__xludf.DUMMYFUNCTION("""COMPUTED_VALUE"""),"Comandante 1")</f>
        <v>Comandante 1</v>
      </c>
      <c r="F209" s="11" t="str">
        <f>IFERROR(__xludf.DUMMYFUNCTION("""COMPUTED_VALUE"""),"Épico")</f>
        <v>Épico</v>
      </c>
      <c r="G209" s="12" t="str">
        <f>IFERROR(__xludf.DUMMYFUNCTION("""COMPUTED_VALUE"""),"Aumenta a força dos guerreiros do grupo em 15%")</f>
        <v>Aumenta a força dos guerreiros do grupo em 15%</v>
      </c>
      <c r="H209" s="9" t="b">
        <f>IFERROR(__xludf.DUMMYFUNCTION("""COMPUTED_VALUE"""),TRUE)</f>
        <v>1</v>
      </c>
      <c r="I209" s="10"/>
    </row>
    <row r="210">
      <c r="A210" s="10"/>
      <c r="B210" s="10" t="str">
        <f>IFERROR(__xludf.DUMMYFUNCTION("""COMPUTED_VALUE"""),"Chocantes ")</f>
        <v>Chocantes </v>
      </c>
      <c r="C210" s="11" t="str">
        <f>IFERROR(__xludf.DUMMYFUNCTION("""COMPUTED_VALUE"""),"Manopla")</f>
        <v>Manopla</v>
      </c>
      <c r="D210" s="12">
        <f>IFERROR(__xludf.DUMMYFUNCTION("""COMPUTED_VALUE"""),32.0)</f>
        <v>32</v>
      </c>
      <c r="E210" s="12" t="str">
        <f>IFERROR(__xludf.DUMMYFUNCTION("""COMPUTED_VALUE"""),"Engenhoso 1")</f>
        <v>Engenhoso 1</v>
      </c>
      <c r="F210" s="11" t="str">
        <f>IFERROR(__xludf.DUMMYFUNCTION("""COMPUTED_VALUE"""),"Épico")</f>
        <v>Épico</v>
      </c>
      <c r="G210" s="12" t="str">
        <f>IFERROR(__xludf.DUMMYFUNCTION("""COMPUTED_VALUE"""),"Impede que 1 peça de equipamento se quebre durante a missão")</f>
        <v>Impede que 1 peça de equipamento se quebre durante a missão</v>
      </c>
      <c r="H210" s="9" t="b">
        <f>IFERROR(__xludf.DUMMYFUNCTION("""COMPUTED_VALUE"""),TRUE)</f>
        <v>1</v>
      </c>
      <c r="I210" s="10"/>
    </row>
    <row r="211">
      <c r="A211" s="10"/>
      <c r="B211" s="10" t="str">
        <f>IFERROR(__xludf.DUMMYFUNCTION("""COMPUTED_VALUE"""),"Manopla de escamas de Dragão")</f>
        <v>Manopla de escamas de Dragão</v>
      </c>
      <c r="C211" s="11" t="str">
        <f>IFERROR(__xludf.DUMMYFUNCTION("""COMPUTED_VALUE"""),"Manopla")</f>
        <v>Manopla</v>
      </c>
      <c r="D211" s="12">
        <f>IFERROR(__xludf.DUMMYFUNCTION("""COMPUTED_VALUE"""),38.0)</f>
        <v>38</v>
      </c>
      <c r="E211" s="12" t="str">
        <f>IFERROR(__xludf.DUMMYFUNCTION("""COMPUTED_VALUE"""),"Esmagar")</f>
        <v>Esmagar</v>
      </c>
      <c r="F211" s="11" t="str">
        <f>IFERROR(__xludf.DUMMYFUNCTION("""COMPUTED_VALUE"""),"Lendário")</f>
        <v>Lendário</v>
      </c>
      <c r="G211" s="12" t="str">
        <f>IFERROR(__xludf.DUMMYFUNCTION("""COMPUTED_VALUE"""),"Aumenta a força em 25%")</f>
        <v>Aumenta a força em 25%</v>
      </c>
      <c r="H211" s="9" t="b">
        <f>IFERROR(__xludf.DUMMYFUNCTION("""COMPUTED_VALUE"""),TRUE)</f>
        <v>1</v>
      </c>
      <c r="I211" s="10"/>
    </row>
    <row r="212">
      <c r="A212" s="10"/>
      <c r="B212" s="10" t="str">
        <f>IFERROR(__xludf.DUMMYFUNCTION("""COMPUTED_VALUE"""),"Punhos de Adamantium")</f>
        <v>Punhos de Adamantium</v>
      </c>
      <c r="C212" s="11" t="str">
        <f>IFERROR(__xludf.DUMMYFUNCTION("""COMPUTED_VALUE"""),"Manopla")</f>
        <v>Manopla</v>
      </c>
      <c r="D212" s="12">
        <f>IFERROR(__xludf.DUMMYFUNCTION("""COMPUTED_VALUE"""),40.0)</f>
        <v>40</v>
      </c>
      <c r="E212" s="12" t="str">
        <f>IFERROR(__xludf.DUMMYFUNCTION("""COMPUTED_VALUE"""),"Protetor 1")</f>
        <v>Protetor 1</v>
      </c>
      <c r="F212" s="11" t="str">
        <f>IFERROR(__xludf.DUMMYFUNCTION("""COMPUTED_VALUE"""),"Lendário")</f>
        <v>Lendário</v>
      </c>
      <c r="G212" s="12" t="str">
        <f>IFERROR(__xludf.DUMMYFUNCTION("""COMPUTED_VALUE"""),"Aumenta a taxa de sobrevivência do grupo em 2%")</f>
        <v>Aumenta a taxa de sobrevivência do grupo em 2%</v>
      </c>
      <c r="H212" s="9" t="b">
        <f>IFERROR(__xludf.DUMMYFUNCTION("""COMPUTED_VALUE"""),TRUE)</f>
        <v>1</v>
      </c>
      <c r="I212" s="10"/>
    </row>
    <row r="213">
      <c r="A213" s="10"/>
      <c r="B213" s="10" t="str">
        <f>IFERROR(__xludf.DUMMYFUNCTION("""COMPUTED_VALUE"""),"Manoplas do Berserker")</f>
        <v>Manoplas do Berserker</v>
      </c>
      <c r="C213" s="11" t="str">
        <f>IFERROR(__xludf.DUMMYFUNCTION("""COMPUTED_VALUE"""),"Manopla")</f>
        <v>Manopla</v>
      </c>
      <c r="D213" s="12">
        <f>IFERROR(__xludf.DUMMYFUNCTION("""COMPUTED_VALUE"""),46.0)</f>
        <v>46</v>
      </c>
      <c r="E213" s="12" t="str">
        <f>IFERROR(__xludf.DUMMYFUNCTION("""COMPUTED_VALUE"""),"Berserker")</f>
        <v>Berserker</v>
      </c>
      <c r="F213" s="11" t="str">
        <f>IFERROR(__xludf.DUMMYFUNCTION("""COMPUTED_VALUE"""),"Épico")</f>
        <v>Épico</v>
      </c>
      <c r="G213" s="12" t="str">
        <f>IFERROR(__xludf.DUMMYFUNCTION("""COMPUTED_VALUE"""),"Aumenta a força em 35%")</f>
        <v>Aumenta a força em 35%</v>
      </c>
      <c r="H213" s="9" t="b">
        <f>IFERROR(__xludf.DUMMYFUNCTION("""COMPUTED_VALUE"""),TRUE)</f>
        <v>1</v>
      </c>
      <c r="I213" s="10"/>
    </row>
    <row r="214">
      <c r="A214" s="10"/>
      <c r="B214" s="10" t="str">
        <f>IFERROR(__xludf.DUMMYFUNCTION("""COMPUTED_VALUE"""),"Luvas Cibernéticas")</f>
        <v>Luvas Cibernéticas</v>
      </c>
      <c r="C214" s="11" t="str">
        <f>IFERROR(__xludf.DUMMYFUNCTION("""COMPUTED_VALUE"""),"Manopla")</f>
        <v>Manopla</v>
      </c>
      <c r="D214" s="12">
        <f>IFERROR(__xludf.DUMMYFUNCTION("""COMPUTED_VALUE"""),48.0)</f>
        <v>48</v>
      </c>
      <c r="E214" s="12" t="str">
        <f>IFERROR(__xludf.DUMMYFUNCTION("""COMPUTED_VALUE"""),"Catador 2")</f>
        <v>Catador 2</v>
      </c>
      <c r="F214" s="11" t="str">
        <f>IFERROR(__xludf.DUMMYFUNCTION("""COMPUTED_VALUE"""),"Épico")</f>
        <v>Épico</v>
      </c>
      <c r="G214" s="12" t="str">
        <f>IFERROR(__xludf.DUMMYFUNCTION("""COMPUTED_VALUE"""),"Aumenta o número mínimo de itens e artefatos encontrados em +2")</f>
        <v>Aumenta o número mínimo de itens e artefatos encontrados em +2</v>
      </c>
      <c r="H214" s="9" t="b">
        <f>IFERROR(__xludf.DUMMYFUNCTION("""COMPUTED_VALUE"""),TRUE)</f>
        <v>1</v>
      </c>
      <c r="I214" s="10"/>
    </row>
    <row r="215">
      <c r="A215" s="10"/>
      <c r="B215" s="10" t="str">
        <f>IFERROR(__xludf.DUMMYFUNCTION("""COMPUTED_VALUE"""),"Esmagadores Vulcânicos")</f>
        <v>Esmagadores Vulcânicos</v>
      </c>
      <c r="C215" s="11" t="str">
        <f>IFERROR(__xludf.DUMMYFUNCTION("""COMPUTED_VALUE"""),"Manopla")</f>
        <v>Manopla</v>
      </c>
      <c r="D215" s="12">
        <f>IFERROR(__xludf.DUMMYFUNCTION("""COMPUTED_VALUE"""),49.0)</f>
        <v>49</v>
      </c>
      <c r="E215" s="12" t="str">
        <f>IFERROR(__xludf.DUMMYFUNCTION("""COMPUTED_VALUE"""),"Velocista 2")</f>
        <v>Velocista 2</v>
      </c>
      <c r="F215" s="11" t="str">
        <f>IFERROR(__xludf.DUMMYFUNCTION("""COMPUTED_VALUE"""),"Mítico")</f>
        <v>Mítico</v>
      </c>
      <c r="G215" s="12" t="str">
        <f>IFERROR(__xludf.DUMMYFUNCTION("""COMPUTED_VALUE"""),"Reduz a duração da missão em 25%")</f>
        <v>Reduz a duração da missão em 25%</v>
      </c>
      <c r="H215" s="9" t="b">
        <f>IFERROR(__xludf.DUMMYFUNCTION("""COMPUTED_VALUE"""),TRUE)</f>
        <v>1</v>
      </c>
      <c r="I215" s="10"/>
    </row>
    <row r="216">
      <c r="A216" s="10"/>
      <c r="B216" s="10" t="str">
        <f>IFERROR(__xludf.DUMMYFUNCTION("""COMPUTED_VALUE"""),"Gauntlet do Chieftain")</f>
        <v>Gauntlet do Chieftain</v>
      </c>
      <c r="C216" s="11" t="str">
        <f>IFERROR(__xludf.DUMMYFUNCTION("""COMPUTED_VALUE"""),"Manopla")</f>
        <v>Manopla</v>
      </c>
      <c r="D216" s="12">
        <f>IFERROR(__xludf.DUMMYFUNCTION("""COMPUTED_VALUE"""),50.0)</f>
        <v>50</v>
      </c>
      <c r="E216" s="12" t="str">
        <f>IFERROR(__xludf.DUMMYFUNCTION("""COMPUTED_VALUE"""),"Encontrar mágica")</f>
        <v>Encontrar mágica</v>
      </c>
      <c r="F216" s="11" t="str">
        <f>IFERROR(__xludf.DUMMYFUNCTION("""COMPUTED_VALUE"""),"Mítico")</f>
        <v>Mítico</v>
      </c>
      <c r="G216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16" s="9" t="b">
        <f>IFERROR(__xludf.DUMMYFUNCTION("""COMPUTED_VALUE"""),TRUE)</f>
        <v>1</v>
      </c>
      <c r="I216" s="10"/>
    </row>
    <row r="217">
      <c r="A217" s="10"/>
      <c r="B217" s="10" t="str">
        <f>IFERROR(__xludf.DUMMYFUNCTION("""COMPUTED_VALUE"""),"Runic Gauntlets")</f>
        <v>Runic Gauntlets</v>
      </c>
      <c r="C217" s="11" t="str">
        <f>IFERROR(__xludf.DUMMYFUNCTION("""COMPUTED_VALUE"""),"Manopla")</f>
        <v>Manopla</v>
      </c>
      <c r="D217" s="12">
        <f>IFERROR(__xludf.DUMMYFUNCTION("""COMPUTED_VALUE"""),55.0)</f>
        <v>55</v>
      </c>
      <c r="E217" s="12" t="str">
        <f>IFERROR(__xludf.DUMMYFUNCTION("""COMPUTED_VALUE"""),"Esmagar")</f>
        <v>Esmagar</v>
      </c>
      <c r="F217" s="11" t="str">
        <f>IFERROR(__xludf.DUMMYFUNCTION("""COMPUTED_VALUE"""),"Épico")</f>
        <v>Épico</v>
      </c>
      <c r="G217" s="12" t="str">
        <f>IFERROR(__xludf.DUMMYFUNCTION("""COMPUTED_VALUE"""),"Aumenta a força em 25%")</f>
        <v>Aumenta a força em 25%</v>
      </c>
      <c r="H217" s="9" t="b">
        <f>IFERROR(__xludf.DUMMYFUNCTION("""COMPUTED_VALUE"""),TRUE)</f>
        <v>1</v>
      </c>
      <c r="I217" s="10"/>
    </row>
    <row r="218">
      <c r="A218" s="10"/>
      <c r="B218" s="10" t="str">
        <f>IFERROR(__xludf.DUMMYFUNCTION("""COMPUTED_VALUE"""),"Punhos de Zeus")</f>
        <v>Punhos de Zeus</v>
      </c>
      <c r="C218" s="11" t="str">
        <f>IFERROR(__xludf.DUMMYFUNCTION("""COMPUTED_VALUE"""),"Manopla")</f>
        <v>Manopla</v>
      </c>
      <c r="D218" s="12">
        <f>IFERROR(__xludf.DUMMYFUNCTION("""COMPUTED_VALUE"""),58.0)</f>
        <v>58</v>
      </c>
      <c r="E218" s="12" t="str">
        <f>IFERROR(__xludf.DUMMYFUNCTION("""COMPUTED_VALUE"""),"Energético 3")</f>
        <v>Energético 3</v>
      </c>
      <c r="F218" s="11" t="str">
        <f>IFERROR(__xludf.DUMMYFUNCTION("""COMPUTED_VALUE"""),"Lendário")</f>
        <v>Lendário</v>
      </c>
      <c r="G218" s="12" t="str">
        <f>IFERROR(__xludf.DUMMYFUNCTION("""COMPUTED_VALUE"""),"Reduz o tempo de espera depois da missão em 100%")</f>
        <v>Reduz o tempo de espera depois da missão em 100%</v>
      </c>
      <c r="H218" s="9" t="b">
        <f>IFERROR(__xludf.DUMMYFUNCTION("""COMPUTED_VALUE"""),TRUE)</f>
        <v>1</v>
      </c>
      <c r="I218" s="10"/>
    </row>
    <row r="219">
      <c r="A219" s="10"/>
      <c r="B219" s="10" t="str">
        <f>IFERROR(__xludf.DUMMYFUNCTION("""COMPUTED_VALUE"""),"Estrela D'alva")</f>
        <v>Estrela D'alva</v>
      </c>
      <c r="C219" s="11" t="str">
        <f>IFERROR(__xludf.DUMMYFUNCTION("""COMPUTED_VALUE"""),"Martelo")</f>
        <v>Martelo</v>
      </c>
      <c r="D219" s="12">
        <f>IFERROR(__xludf.DUMMYFUNCTION("""COMPUTED_VALUE"""),8.0)</f>
        <v>8</v>
      </c>
      <c r="E219" s="12" t="str">
        <f>IFERROR(__xludf.DUMMYFUNCTION("""COMPUTED_VALUE"""),"Esmagar")</f>
        <v>Esmagar</v>
      </c>
      <c r="F219" s="11" t="str">
        <f>IFERROR(__xludf.DUMMYFUNCTION("""COMPUTED_VALUE"""),"Impecável")</f>
        <v>Impecável</v>
      </c>
      <c r="G219" s="12" t="str">
        <f>IFERROR(__xludf.DUMMYFUNCTION("""COMPUTED_VALUE"""),"Aumenta a força em 25%")</f>
        <v>Aumenta a força em 25%</v>
      </c>
      <c r="H219" s="9" t="b">
        <f>IFERROR(__xludf.DUMMYFUNCTION("""COMPUTED_VALUE"""),TRUE)</f>
        <v>1</v>
      </c>
      <c r="I219" s="10"/>
    </row>
    <row r="220">
      <c r="A220" s="10"/>
      <c r="B220" s="10" t="str">
        <f>IFERROR(__xludf.DUMMYFUNCTION("""COMPUTED_VALUE"""),"Tronco de árvore")</f>
        <v>Tronco de árvore</v>
      </c>
      <c r="C220" s="11" t="str">
        <f>IFERROR(__xludf.DUMMYFUNCTION("""COMPUTED_VALUE"""),"Martelo")</f>
        <v>Martelo</v>
      </c>
      <c r="D220" s="12">
        <f>IFERROR(__xludf.DUMMYFUNCTION("""COMPUTED_VALUE"""),15.0)</f>
        <v>15</v>
      </c>
      <c r="E220" s="12" t="str">
        <f>IFERROR(__xludf.DUMMYFUNCTION("""COMPUTED_VALUE"""),"Comandante 1")</f>
        <v>Comandante 1</v>
      </c>
      <c r="F220" s="11" t="str">
        <f>IFERROR(__xludf.DUMMYFUNCTION("""COMPUTED_VALUE"""),"Impecável")</f>
        <v>Impecável</v>
      </c>
      <c r="G220" s="12" t="str">
        <f>IFERROR(__xludf.DUMMYFUNCTION("""COMPUTED_VALUE"""),"Aumenta a força dos guerreiros do grupo em 15%")</f>
        <v>Aumenta a força dos guerreiros do grupo em 15%</v>
      </c>
      <c r="H220" s="9" t="b">
        <f>IFERROR(__xludf.DUMMYFUNCTION("""COMPUTED_VALUE"""),TRUE)</f>
        <v>1</v>
      </c>
      <c r="I220" s="10"/>
    </row>
    <row r="221">
      <c r="A221" s="10"/>
      <c r="B221" s="10" t="str">
        <f>IFERROR(__xludf.DUMMYFUNCTION("""COMPUTED_VALUE"""),"Martelo-Punho")</f>
        <v>Martelo-Punho</v>
      </c>
      <c r="C221" s="11" t="str">
        <f>IFERROR(__xludf.DUMMYFUNCTION("""COMPUTED_VALUE"""),"Martelo")</f>
        <v>Martelo</v>
      </c>
      <c r="D221" s="12">
        <f>IFERROR(__xludf.DUMMYFUNCTION("""COMPUTED_VALUE"""),22.0)</f>
        <v>22</v>
      </c>
      <c r="E221" s="12" t="str">
        <f>IFERROR(__xludf.DUMMYFUNCTION("""COMPUTED_VALUE"""),"Companheiro de Guerra 1")</f>
        <v>Companheiro de Guerra 1</v>
      </c>
      <c r="F221" s="11" t="str">
        <f>IFERROR(__xludf.DUMMYFUNCTION("""COMPUTED_VALUE"""),"Épico")</f>
        <v>Épico</v>
      </c>
      <c r="G221" s="12" t="str">
        <f>IFERROR(__xludf.DUMMYFUNCTION("""COMPUTED_VALUE"""),"Aumenta a taxa de sobrevivência de membros masculinos do grupo em 5%")</f>
        <v>Aumenta a taxa de sobrevivência de membros masculinos do grupo em 5%</v>
      </c>
      <c r="H221" s="9" t="b">
        <f>IFERROR(__xludf.DUMMYFUNCTION("""COMPUTED_VALUE"""),TRUE)</f>
        <v>1</v>
      </c>
      <c r="I221" s="10"/>
    </row>
    <row r="222">
      <c r="A222" s="10"/>
      <c r="B222" s="10" t="str">
        <f>IFERROR(__xludf.DUMMYFUNCTION("""COMPUTED_VALUE"""),"Cetro Real")</f>
        <v>Cetro Real</v>
      </c>
      <c r="C222" s="11" t="str">
        <f>IFERROR(__xludf.DUMMYFUNCTION("""COMPUTED_VALUE"""),"Martelo")</f>
        <v>Martelo</v>
      </c>
      <c r="D222" s="12">
        <f>IFERROR(__xludf.DUMMYFUNCTION("""COMPUTED_VALUE"""),27.0)</f>
        <v>27</v>
      </c>
      <c r="E222" s="12" t="str">
        <f>IFERROR(__xludf.DUMMYFUNCTION("""COMPUTED_VALUE"""),"Líder 1")</f>
        <v>Líder 1</v>
      </c>
      <c r="F222" s="11" t="str">
        <f>IFERROR(__xludf.DUMMYFUNCTION("""COMPUTED_VALUE"""),"Épico")</f>
        <v>Épico</v>
      </c>
      <c r="G222" s="12" t="str">
        <f>IFERROR(__xludf.DUMMYFUNCTION("""COMPUTED_VALUE"""),"Aumenta o número de companheiros em +1")</f>
        <v>Aumenta o número de companheiros em +1</v>
      </c>
      <c r="H222" s="9" t="b">
        <f>IFERROR(__xludf.DUMMYFUNCTION("""COMPUTED_VALUE"""),TRUE)</f>
        <v>1</v>
      </c>
      <c r="I222" s="10"/>
    </row>
    <row r="223">
      <c r="A223" s="10"/>
      <c r="B223" s="10" t="str">
        <f>IFERROR(__xludf.DUMMYFUNCTION("""COMPUTED_VALUE"""),"Martelo Relíquia")</f>
        <v>Martelo Relíquia</v>
      </c>
      <c r="C223" s="11" t="str">
        <f>IFERROR(__xludf.DUMMYFUNCTION("""COMPUTED_VALUE"""),"Martelo")</f>
        <v>Martelo</v>
      </c>
      <c r="D223" s="12">
        <f>IFERROR(__xludf.DUMMYFUNCTION("""COMPUTED_VALUE"""),30.0)</f>
        <v>30</v>
      </c>
      <c r="E223" s="12" t="str">
        <f>IFERROR(__xludf.DUMMYFUNCTION("""COMPUTED_VALUE"""),"Suporte 1")</f>
        <v>Suporte 1</v>
      </c>
      <c r="F223" s="11" t="str">
        <f>IFERROR(__xludf.DUMMYFUNCTION("""COMPUTED_VALUE"""),"Impecável")</f>
        <v>Impecável</v>
      </c>
      <c r="G223" s="12" t="str">
        <f>IFERROR(__xludf.DUMMYFUNCTION("""COMPUTED_VALUE"""),"Impede que o equipamento de um companheiro se quebre 1 vez")</f>
        <v>Impede que o equipamento de um companheiro se quebre 1 vez</v>
      </c>
      <c r="H223" s="9" t="b">
        <f>IFERROR(__xludf.DUMMYFUNCTION("""COMPUTED_VALUE"""),TRUE)</f>
        <v>1</v>
      </c>
      <c r="I223" s="10"/>
    </row>
    <row r="224">
      <c r="A224" s="10"/>
      <c r="B224" s="10" t="str">
        <f>IFERROR(__xludf.DUMMYFUNCTION("""COMPUTED_VALUE"""),"Apocalipto")</f>
        <v>Apocalipto</v>
      </c>
      <c r="C224" s="11" t="str">
        <f>IFERROR(__xludf.DUMMYFUNCTION("""COMPUTED_VALUE"""),"Martelo")</f>
        <v>Martelo</v>
      </c>
      <c r="D224" s="12">
        <f>IFERROR(__xludf.DUMMYFUNCTION("""COMPUTED_VALUE"""),32.0)</f>
        <v>32</v>
      </c>
      <c r="E224" s="12" t="str">
        <f>IFERROR(__xludf.DUMMYFUNCTION("""COMPUTED_VALUE"""),"Energético 1")</f>
        <v>Energético 1</v>
      </c>
      <c r="F224" s="11" t="str">
        <f>IFERROR(__xludf.DUMMYFUNCTION("""COMPUTED_VALUE"""),"Épico")</f>
        <v>Épico</v>
      </c>
      <c r="G224" s="12" t="str">
        <f>IFERROR(__xludf.DUMMYFUNCTION("""COMPUTED_VALUE"""),"Reduz o tempo de espera depois da missão em 50%")</f>
        <v>Reduz o tempo de espera depois da missão em 50%</v>
      </c>
      <c r="H224" s="9" t="b">
        <f>IFERROR(__xludf.DUMMYFUNCTION("""COMPUTED_VALUE"""),TRUE)</f>
        <v>1</v>
      </c>
      <c r="I224" s="10"/>
    </row>
    <row r="225">
      <c r="A225" s="10"/>
      <c r="B225" s="10" t="str">
        <f>IFERROR(__xludf.DUMMYFUNCTION("""COMPUTED_VALUE"""),"Estrela Noturna")</f>
        <v>Estrela Noturna</v>
      </c>
      <c r="C225" s="11" t="str">
        <f>IFERROR(__xludf.DUMMYFUNCTION("""COMPUTED_VALUE"""),"Martelo")</f>
        <v>Martelo</v>
      </c>
      <c r="D225" s="12">
        <f>IFERROR(__xludf.DUMMYFUNCTION("""COMPUTED_VALUE"""),38.0)</f>
        <v>38</v>
      </c>
      <c r="E225" s="12" t="str">
        <f>IFERROR(__xludf.DUMMYFUNCTION("""COMPUTED_VALUE"""),"Sortudo 1")</f>
        <v>Sortudo 1</v>
      </c>
      <c r="F225" s="11" t="str">
        <f>IFERROR(__xludf.DUMMYFUNCTION("""COMPUTED_VALUE"""),"Lendário")</f>
        <v>Lendário</v>
      </c>
      <c r="G225" s="12" t="str">
        <f>IFERROR(__xludf.DUMMYFUNCTION("""COMPUTED_VALUE"""),"Evita ferimentos 10% das vezes")</f>
        <v>Evita ferimentos 10% das vezes</v>
      </c>
      <c r="H225" s="9" t="b">
        <f>IFERROR(__xludf.DUMMYFUNCTION("""COMPUTED_VALUE"""),TRUE)</f>
        <v>1</v>
      </c>
      <c r="I225" s="10"/>
    </row>
    <row r="226">
      <c r="A226" s="10"/>
      <c r="B226" s="10" t="str">
        <f>IFERROR(__xludf.DUMMYFUNCTION("""COMPUTED_VALUE"""),"Cem-Toneladas")</f>
        <v>Cem-Toneladas</v>
      </c>
      <c r="C226" s="11" t="str">
        <f>IFERROR(__xludf.DUMMYFUNCTION("""COMPUTED_VALUE"""),"Martelo")</f>
        <v>Martelo</v>
      </c>
      <c r="D226" s="12">
        <f>IFERROR(__xludf.DUMMYFUNCTION("""COMPUTED_VALUE"""),40.0)</f>
        <v>40</v>
      </c>
      <c r="E226" s="12" t="str">
        <f>IFERROR(__xludf.DUMMYFUNCTION("""COMPUTED_VALUE"""),"Esmagar")</f>
        <v>Esmagar</v>
      </c>
      <c r="F226" s="11" t="str">
        <f>IFERROR(__xludf.DUMMYFUNCTION("""COMPUTED_VALUE"""),"Lendário")</f>
        <v>Lendário</v>
      </c>
      <c r="G226" s="12" t="str">
        <f>IFERROR(__xludf.DUMMYFUNCTION("""COMPUTED_VALUE"""),"Aumenta a força em 25%")</f>
        <v>Aumenta a força em 25%</v>
      </c>
      <c r="H226" s="9" t="b">
        <f>IFERROR(__xludf.DUMMYFUNCTION("""COMPUTED_VALUE"""),TRUE)</f>
        <v>1</v>
      </c>
      <c r="I226" s="10"/>
    </row>
    <row r="227">
      <c r="A227" s="10"/>
      <c r="B227" s="10" t="str">
        <f>IFERROR(__xludf.DUMMYFUNCTION("""COMPUTED_VALUE"""),"Esmagador")</f>
        <v>Esmagador</v>
      </c>
      <c r="C227" s="11" t="str">
        <f>IFERROR(__xludf.DUMMYFUNCTION("""COMPUTED_VALUE"""),"Martelo")</f>
        <v>Martelo</v>
      </c>
      <c r="D227" s="12">
        <f>IFERROR(__xludf.DUMMYFUNCTION("""COMPUTED_VALUE"""),48.0)</f>
        <v>48</v>
      </c>
      <c r="E227" s="12" t="str">
        <f>IFERROR(__xludf.DUMMYFUNCTION("""COMPUTED_VALUE"""),"Esmagar")</f>
        <v>Esmagar</v>
      </c>
      <c r="F227" s="11" t="str">
        <f>IFERROR(__xludf.DUMMYFUNCTION("""COMPUTED_VALUE"""),"Mítico")</f>
        <v>Mítico</v>
      </c>
      <c r="G227" s="12" t="str">
        <f>IFERROR(__xludf.DUMMYFUNCTION("""COMPUTED_VALUE"""),"Aumenta a força em 25%")</f>
        <v>Aumenta a força em 25%</v>
      </c>
      <c r="H227" s="9" t="b">
        <f>IFERROR(__xludf.DUMMYFUNCTION("""COMPUTED_VALUE"""),TRUE)</f>
        <v>1</v>
      </c>
      <c r="I227" s="10"/>
    </row>
    <row r="228">
      <c r="A228" s="10"/>
      <c r="B228" s="10" t="str">
        <f>IFERROR(__xludf.DUMMYFUNCTION("""COMPUTED_VALUE"""),"Amaciador")</f>
        <v>Amaciador</v>
      </c>
      <c r="C228" s="11" t="str">
        <f>IFERROR(__xludf.DUMMYFUNCTION("""COMPUTED_VALUE"""),"Martelo")</f>
        <v>Martelo</v>
      </c>
      <c r="D228" s="12">
        <f>IFERROR(__xludf.DUMMYFUNCTION("""COMPUTED_VALUE"""),50.0)</f>
        <v>50</v>
      </c>
      <c r="E228" s="12" t="str">
        <f>IFERROR(__xludf.DUMMYFUNCTION("""COMPUTED_VALUE"""),"Energético 2")</f>
        <v>Energético 2</v>
      </c>
      <c r="F228" s="11" t="str">
        <f>IFERROR(__xludf.DUMMYFUNCTION("""COMPUTED_VALUE"""),"Épico")</f>
        <v>Épico</v>
      </c>
      <c r="G228" s="12" t="str">
        <f>IFERROR(__xludf.DUMMYFUNCTION("""COMPUTED_VALUE"""),"Reduz o tempo de espera depois da missão em 75%")</f>
        <v>Reduz o tempo de espera depois da missão em 75%</v>
      </c>
      <c r="H228" s="9" t="b">
        <f>IFERROR(__xludf.DUMMYFUNCTION("""COMPUTED_VALUE"""),TRUE)</f>
        <v>1</v>
      </c>
      <c r="I228" s="10"/>
    </row>
    <row r="229">
      <c r="A229" s="10"/>
      <c r="B229" s="10" t="str">
        <f>IFERROR(__xludf.DUMMYFUNCTION("""COMPUTED_VALUE"""),"Rainmakers")</f>
        <v>Rainmakers</v>
      </c>
      <c r="C229" s="11" t="str">
        <f>IFERROR(__xludf.DUMMYFUNCTION("""COMPUTED_VALUE"""),"Martelo")</f>
        <v>Martelo</v>
      </c>
      <c r="D229" s="12">
        <f>IFERROR(__xludf.DUMMYFUNCTION("""COMPUTED_VALUE"""),52.0)</f>
        <v>52</v>
      </c>
      <c r="E229" s="12" t="str">
        <f>IFERROR(__xludf.DUMMYFUNCTION("""COMPUTED_VALUE"""),"Caça-tesouros 3")</f>
        <v>Caça-tesouros 3</v>
      </c>
      <c r="F229" s="11" t="str">
        <f>IFERROR(__xludf.DUMMYFUNCTION("""COMPUTED_VALUE"""),"Lendário")</f>
        <v>Lendário</v>
      </c>
      <c r="G229" s="12" t="str">
        <f>IFERROR(__xludf.DUMMYFUNCTION("""COMPUTED_VALUE"""),"Aumenta o número máximo de artefatos e itens de raid encontrados em +6")</f>
        <v>Aumenta o número máximo de artefatos e itens de raid encontrados em +6</v>
      </c>
      <c r="H229" s="9" t="b">
        <f>IFERROR(__xludf.DUMMYFUNCTION("""COMPUTED_VALUE"""),TRUE)</f>
        <v>1</v>
      </c>
      <c r="I229" s="10"/>
    </row>
    <row r="230">
      <c r="A230" s="10"/>
      <c r="B230" s="10" t="str">
        <f>IFERROR(__xludf.DUMMYFUNCTION("""COMPUTED_VALUE"""),"Shattering Core")</f>
        <v>Shattering Core</v>
      </c>
      <c r="C230" s="11" t="str">
        <f>IFERROR(__xludf.DUMMYFUNCTION("""COMPUTED_VALUE"""),"Martelo")</f>
        <v>Martelo</v>
      </c>
      <c r="D230" s="12">
        <f>IFERROR(__xludf.DUMMYFUNCTION("""COMPUTED_VALUE"""),54.0)</f>
        <v>54</v>
      </c>
      <c r="E230" s="12" t="str">
        <f>IFERROR(__xludf.DUMMYFUNCTION("""COMPUTED_VALUE"""),"Amazona 2")</f>
        <v>Amazona 2</v>
      </c>
      <c r="F230" s="11" t="str">
        <f>IFERROR(__xludf.DUMMYFUNCTION("""COMPUTED_VALUE"""),"Mítico")</f>
        <v>Mítico</v>
      </c>
      <c r="G230" s="12" t="str">
        <f>IFERROR(__xludf.DUMMYFUNCTION("""COMPUTED_VALUE"""),"Aumenta a taxa de sobrevivência de membros femininos do grupo em 10%")</f>
        <v>Aumenta a taxa de sobrevivência de membros femininos do grupo em 10%</v>
      </c>
      <c r="H230" s="9" t="b">
        <f>IFERROR(__xludf.DUMMYFUNCTION("""COMPUTED_VALUE"""),TRUE)</f>
        <v>1</v>
      </c>
      <c r="I230" s="10"/>
    </row>
    <row r="231">
      <c r="A231" s="10"/>
      <c r="B231" s="10" t="str">
        <f>IFERROR(__xludf.DUMMYFUNCTION("""COMPUTED_VALUE"""),"Pharaoh Flail")</f>
        <v>Pharaoh Flail</v>
      </c>
      <c r="C231" s="11" t="str">
        <f>IFERROR(__xludf.DUMMYFUNCTION("""COMPUTED_VALUE"""),"Martelo")</f>
        <v>Martelo</v>
      </c>
      <c r="D231" s="12">
        <f>IFERROR(__xludf.DUMMYFUNCTION("""COMPUTED_VALUE"""),55.0)</f>
        <v>55</v>
      </c>
      <c r="E231" s="12" t="str">
        <f>IFERROR(__xludf.DUMMYFUNCTION("""COMPUTED_VALUE"""),"Encontrar mágica")</f>
        <v>Encontrar mágica</v>
      </c>
      <c r="F231" s="11" t="str">
        <f>IFERROR(__xludf.DUMMYFUNCTION("""COMPUTED_VALUE"""),"Mítico")</f>
        <v>Mítico</v>
      </c>
      <c r="G231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31" s="9" t="b">
        <f>IFERROR(__xludf.DUMMYFUNCTION("""COMPUTED_VALUE"""),TRUE)</f>
        <v>1</v>
      </c>
      <c r="I231" s="10"/>
    </row>
    <row r="232">
      <c r="A232" s="10"/>
      <c r="B232" s="10" t="str">
        <f>IFERROR(__xludf.DUMMYFUNCTION("""COMPUTED_VALUE"""),"Totem da Dor")</f>
        <v>Totem da Dor</v>
      </c>
      <c r="C232" s="11" t="str">
        <f>IFERROR(__xludf.DUMMYFUNCTION("""COMPUTED_VALUE"""),"Pergaminho")</f>
        <v>Pergaminho</v>
      </c>
      <c r="D232" s="12">
        <f>IFERROR(__xludf.DUMMYFUNCTION("""COMPUTED_VALUE"""),13.0)</f>
        <v>13</v>
      </c>
      <c r="E232" s="12" t="str">
        <f>IFERROR(__xludf.DUMMYFUNCTION("""COMPUTED_VALUE"""),"Companheiro de Guerra 1")</f>
        <v>Companheiro de Guerra 1</v>
      </c>
      <c r="F232" s="11" t="str">
        <f>IFERROR(__xludf.DUMMYFUNCTION("""COMPUTED_VALUE"""),"Impecável")</f>
        <v>Impecável</v>
      </c>
      <c r="G232" s="12" t="str">
        <f>IFERROR(__xludf.DUMMYFUNCTION("""COMPUTED_VALUE"""),"Aumenta a taxa de sobrevivência de membros masculinos do grupo em 5%")</f>
        <v>Aumenta a taxa de sobrevivência de membros masculinos do grupo em 5%</v>
      </c>
      <c r="H232" s="9" t="b">
        <f>IFERROR(__xludf.DUMMYFUNCTION("""COMPUTED_VALUE"""),TRUE)</f>
        <v>1</v>
      </c>
      <c r="I232" s="10"/>
    </row>
    <row r="233">
      <c r="A233" s="10"/>
      <c r="B233" s="10" t="str">
        <f>IFERROR(__xludf.DUMMYFUNCTION("""COMPUTED_VALUE"""),"A arte da guerra")</f>
        <v>A arte da guerra</v>
      </c>
      <c r="C233" s="11" t="str">
        <f>IFERROR(__xludf.DUMMYFUNCTION("""COMPUTED_VALUE"""),"Pergaminho")</f>
        <v>Pergaminho</v>
      </c>
      <c r="D233" s="12">
        <f>IFERROR(__xludf.DUMMYFUNCTION("""COMPUTED_VALUE"""),15.0)</f>
        <v>15</v>
      </c>
      <c r="E233" s="12" t="str">
        <f>IFERROR(__xludf.DUMMYFUNCTION("""COMPUTED_VALUE"""),"Detectar segredo")</f>
        <v>Detectar segredo</v>
      </c>
      <c r="F233" s="11" t="str">
        <f>IFERROR(__xludf.DUMMYFUNCTION("""COMPUTED_VALUE"""),"Lendário")</f>
        <v>Lendário</v>
      </c>
      <c r="G233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233" s="9" t="b">
        <f>IFERROR(__xludf.DUMMYFUNCTION("""COMPUTED_VALUE"""),TRUE)</f>
        <v>1</v>
      </c>
      <c r="I233" s="10"/>
    </row>
    <row r="234">
      <c r="A234" s="10"/>
      <c r="B234" s="10" t="str">
        <f>IFERROR(__xludf.DUMMYFUNCTION("""COMPUTED_VALUE"""),"Ordem Imperial")</f>
        <v>Ordem Imperial</v>
      </c>
      <c r="C234" s="11" t="str">
        <f>IFERROR(__xludf.DUMMYFUNCTION("""COMPUTED_VALUE"""),"Pergaminho")</f>
        <v>Pergaminho</v>
      </c>
      <c r="D234" s="12">
        <f>IFERROR(__xludf.DUMMYFUNCTION("""COMPUTED_VALUE"""),17.0)</f>
        <v>17</v>
      </c>
      <c r="E234" s="12" t="str">
        <f>IFERROR(__xludf.DUMMYFUNCTION("""COMPUTED_VALUE"""),"Líder 1")</f>
        <v>Líder 1</v>
      </c>
      <c r="F234" s="11" t="str">
        <f>IFERROR(__xludf.DUMMYFUNCTION("""COMPUTED_VALUE"""),"Impecável")</f>
        <v>Impecável</v>
      </c>
      <c r="G234" s="12" t="str">
        <f>IFERROR(__xludf.DUMMYFUNCTION("""COMPUTED_VALUE"""),"Aumenta o número de companheiros em +1")</f>
        <v>Aumenta o número de companheiros em +1</v>
      </c>
      <c r="H234" s="9" t="b">
        <f>IFERROR(__xludf.DUMMYFUNCTION("""COMPUTED_VALUE"""),TRUE)</f>
        <v>1</v>
      </c>
      <c r="I234" s="10"/>
    </row>
    <row r="235">
      <c r="A235" s="10"/>
      <c r="B235" s="10" t="str">
        <f>IFERROR(__xludf.DUMMYFUNCTION("""COMPUTED_VALUE"""),"Celtic Slate")</f>
        <v>Celtic Slate</v>
      </c>
      <c r="C235" s="11" t="str">
        <f>IFERROR(__xludf.DUMMYFUNCTION("""COMPUTED_VALUE"""),"Pergaminho")</f>
        <v>Pergaminho</v>
      </c>
      <c r="D235" s="12">
        <f>IFERROR(__xludf.DUMMYFUNCTION("""COMPUTED_VALUE"""),20.0)</f>
        <v>20</v>
      </c>
      <c r="E235" s="12" t="str">
        <f>IFERROR(__xludf.DUMMYFUNCTION("""COMPUTED_VALUE"""),"Velocista 1")</f>
        <v>Velocista 1</v>
      </c>
      <c r="F235" s="11" t="str">
        <f>IFERROR(__xludf.DUMMYFUNCTION("""COMPUTED_VALUE"""),"Impecável")</f>
        <v>Impecável</v>
      </c>
      <c r="G235" s="12" t="str">
        <f>IFERROR(__xludf.DUMMYFUNCTION("""COMPUTED_VALUE"""),"Reduz a duração da missão em 10%")</f>
        <v>Reduz a duração da missão em 10%</v>
      </c>
      <c r="H235" s="9" t="b">
        <f>IFERROR(__xludf.DUMMYFUNCTION("""COMPUTED_VALUE"""),TRUE)</f>
        <v>1</v>
      </c>
      <c r="I235" s="10"/>
    </row>
    <row r="236">
      <c r="A236" s="10"/>
      <c r="B236" s="10" t="str">
        <f>IFERROR(__xludf.DUMMYFUNCTION("""COMPUTED_VALUE"""),"Codéx Mágico")</f>
        <v>Codéx Mágico</v>
      </c>
      <c r="C236" s="11" t="str">
        <f>IFERROR(__xludf.DUMMYFUNCTION("""COMPUTED_VALUE"""),"Pergaminho")</f>
        <v>Pergaminho</v>
      </c>
      <c r="D236" s="12">
        <f>IFERROR(__xludf.DUMMYFUNCTION("""COMPUTED_VALUE"""),23.0)</f>
        <v>23</v>
      </c>
      <c r="E236" s="12" t="str">
        <f>IFERROR(__xludf.DUMMYFUNCTION("""COMPUTED_VALUE"""),"Sábio 1")</f>
        <v>Sábio 1</v>
      </c>
      <c r="F236" s="11" t="str">
        <f>IFERROR(__xludf.DUMMYFUNCTION("""COMPUTED_VALUE"""),"Impecável")</f>
        <v>Impecável</v>
      </c>
      <c r="G236" s="12" t="str">
        <f>IFERROR(__xludf.DUMMYFUNCTION("""COMPUTED_VALUE"""),"25% de bônus de experiência")</f>
        <v>25% de bônus de experiência</v>
      </c>
      <c r="H236" s="9" t="b">
        <f>IFERROR(__xludf.DUMMYFUNCTION("""COMPUTED_VALUE"""),TRUE)</f>
        <v>1</v>
      </c>
      <c r="I236" s="10"/>
    </row>
    <row r="237">
      <c r="A237" s="10"/>
      <c r="B237" s="10" t="str">
        <f>IFERROR(__xludf.DUMMYFUNCTION("""COMPUTED_VALUE"""),"Selo do Mal")</f>
        <v>Selo do Mal</v>
      </c>
      <c r="C237" s="11" t="str">
        <f>IFERROR(__xludf.DUMMYFUNCTION("""COMPUTED_VALUE"""),"Pergaminho")</f>
        <v>Pergaminho</v>
      </c>
      <c r="D237" s="12">
        <f>IFERROR(__xludf.DUMMYFUNCTION("""COMPUTED_VALUE"""),26.0)</f>
        <v>26</v>
      </c>
      <c r="E237" s="12" t="str">
        <f>IFERROR(__xludf.DUMMYFUNCTION("""COMPUTED_VALUE"""),"Energético 1")</f>
        <v>Energético 1</v>
      </c>
      <c r="F237" s="11" t="str">
        <f>IFERROR(__xludf.DUMMYFUNCTION("""COMPUTED_VALUE"""),"Épico")</f>
        <v>Épico</v>
      </c>
      <c r="G237" s="12" t="str">
        <f>IFERROR(__xludf.DUMMYFUNCTION("""COMPUTED_VALUE"""),"Reduz o tempo de espera depois da missão em 50%")</f>
        <v>Reduz o tempo de espera depois da missão em 50%</v>
      </c>
      <c r="H237" s="9" t="b">
        <f>IFERROR(__xludf.DUMMYFUNCTION("""COMPUTED_VALUE"""),TRUE)</f>
        <v>1</v>
      </c>
      <c r="I237" s="10"/>
    </row>
    <row r="238">
      <c r="A238" s="10"/>
      <c r="B238" s="10" t="str">
        <f>IFERROR(__xludf.DUMMYFUNCTION("""COMPUTED_VALUE"""),"Selo de Tigre")</f>
        <v>Selo de Tigre</v>
      </c>
      <c r="C238" s="11" t="str">
        <f>IFERROR(__xludf.DUMMYFUNCTION("""COMPUTED_VALUE"""),"Pergaminho")</f>
        <v>Pergaminho</v>
      </c>
      <c r="D238" s="12">
        <f>IFERROR(__xludf.DUMMYFUNCTION("""COMPUTED_VALUE"""),29.0)</f>
        <v>29</v>
      </c>
      <c r="E238" s="12" t="str">
        <f>IFERROR(__xludf.DUMMYFUNCTION("""COMPUTED_VALUE"""),"Comandante 2")</f>
        <v>Comandante 2</v>
      </c>
      <c r="F238" s="11" t="str">
        <f>IFERROR(__xludf.DUMMYFUNCTION("""COMPUTED_VALUE"""),"Épico")</f>
        <v>Épico</v>
      </c>
      <c r="G238" s="12" t="str">
        <f>IFERROR(__xludf.DUMMYFUNCTION("""COMPUTED_VALUE"""),"Aumenta a força dos guerreiros do grupo em 25%")</f>
        <v>Aumenta a força dos guerreiros do grupo em 25%</v>
      </c>
      <c r="H238" s="9" t="b">
        <f>IFERROR(__xludf.DUMMYFUNCTION("""COMPUTED_VALUE"""),TRUE)</f>
        <v>1</v>
      </c>
      <c r="I238" s="10"/>
    </row>
    <row r="239">
      <c r="A239" s="10"/>
      <c r="B239" s="10" t="str">
        <f>IFERROR(__xludf.DUMMYFUNCTION("""COMPUTED_VALUE"""),"Compêndio Arcano")</f>
        <v>Compêndio Arcano</v>
      </c>
      <c r="C239" s="11" t="str">
        <f>IFERROR(__xludf.DUMMYFUNCTION("""COMPUTED_VALUE"""),"Pergaminho")</f>
        <v>Pergaminho</v>
      </c>
      <c r="D239" s="12">
        <f>IFERROR(__xludf.DUMMYFUNCTION("""COMPUTED_VALUE"""),33.0)</f>
        <v>33</v>
      </c>
      <c r="E239" s="12" t="str">
        <f>IFERROR(__xludf.DUMMYFUNCTION("""COMPUTED_VALUE"""),"Arquimago 1")</f>
        <v>Arquimago 1</v>
      </c>
      <c r="F239" s="11" t="str">
        <f>IFERROR(__xludf.DUMMYFUNCTION("""COMPUTED_VALUE"""),"Épico")</f>
        <v>Épico</v>
      </c>
      <c r="G239" s="12" t="str">
        <f>IFERROR(__xludf.DUMMYFUNCTION("""COMPUTED_VALUE"""),"Aumenta a força dos feiticeiros do grupo em 10%")</f>
        <v>Aumenta a força dos feiticeiros do grupo em 10%</v>
      </c>
      <c r="H239" s="9" t="b">
        <f>IFERROR(__xludf.DUMMYFUNCTION("""COMPUTED_VALUE"""),TRUE)</f>
        <v>1</v>
      </c>
      <c r="I239" s="10"/>
    </row>
    <row r="240">
      <c r="A240" s="10"/>
      <c r="B240" s="10" t="str">
        <f>IFERROR(__xludf.DUMMYFUNCTION("""COMPUTED_VALUE"""),"Pergaminho de Retorno")</f>
        <v>Pergaminho de Retorno</v>
      </c>
      <c r="C240" s="11" t="str">
        <f>IFERROR(__xludf.DUMMYFUNCTION("""COMPUTED_VALUE"""),"Pergaminho")</f>
        <v>Pergaminho</v>
      </c>
      <c r="D240" s="12">
        <f>IFERROR(__xludf.DUMMYFUNCTION("""COMPUTED_VALUE"""),37.0)</f>
        <v>37</v>
      </c>
      <c r="E240" s="12" t="str">
        <f>IFERROR(__xludf.DUMMYFUNCTION("""COMPUTED_VALUE"""),"Catador 1")</f>
        <v>Catador 1</v>
      </c>
      <c r="F240" s="11" t="str">
        <f>IFERROR(__xludf.DUMMYFUNCTION("""COMPUTED_VALUE"""),"Lendário")</f>
        <v>Lendário</v>
      </c>
      <c r="G240" s="12" t="str">
        <f>IFERROR(__xludf.DUMMYFUNCTION("""COMPUTED_VALUE"""),"Aumenta o número mínimo de itens e artefatos encontrados em +1")</f>
        <v>Aumenta o número mínimo de itens e artefatos encontrados em +1</v>
      </c>
      <c r="H240" s="9" t="b">
        <f>IFERROR(__xludf.DUMMYFUNCTION("""COMPUTED_VALUE"""),TRUE)</f>
        <v>1</v>
      </c>
      <c r="I240" s="10"/>
    </row>
    <row r="241">
      <c r="A241" s="10"/>
      <c r="B241" s="10" t="str">
        <f>IFERROR(__xludf.DUMMYFUNCTION("""COMPUTED_VALUE"""),"Tomo Divino")</f>
        <v>Tomo Divino</v>
      </c>
      <c r="C241" s="11" t="str">
        <f>IFERROR(__xludf.DUMMYFUNCTION("""COMPUTED_VALUE"""),"Pergaminho")</f>
        <v>Pergaminho</v>
      </c>
      <c r="D241" s="12">
        <f>IFERROR(__xludf.DUMMYFUNCTION("""COMPUTED_VALUE"""),40.0)</f>
        <v>40</v>
      </c>
      <c r="E241" s="12" t="str">
        <f>IFERROR(__xludf.DUMMYFUNCTION("""COMPUTED_VALUE"""),"Reviver 1")</f>
        <v>Reviver 1</v>
      </c>
      <c r="F241" s="11" t="str">
        <f>IFERROR(__xludf.DUMMYFUNCTION("""COMPUTED_VALUE"""),"Lendário")</f>
        <v>Lendário</v>
      </c>
      <c r="G241" s="12" t="str">
        <f>IFERROR(__xludf.DUMMYFUNCTION("""COMPUTED_VALUE"""),"Revive um companheiro derrotado 5% das vezes")</f>
        <v>Revive um companheiro derrotado 5% das vezes</v>
      </c>
      <c r="H241" s="9" t="b">
        <f>IFERROR(__xludf.DUMMYFUNCTION("""COMPUTED_VALUE"""),TRUE)</f>
        <v>1</v>
      </c>
      <c r="I241" s="10"/>
    </row>
    <row r="242">
      <c r="A242" s="10"/>
      <c r="B242" s="10" t="str">
        <f>IFERROR(__xludf.DUMMYFUNCTION("""COMPUTED_VALUE"""),"Pergaminho Assombrado")</f>
        <v>Pergaminho Assombrado</v>
      </c>
      <c r="C242" s="11" t="str">
        <f>IFERROR(__xludf.DUMMYFUNCTION("""COMPUTED_VALUE"""),"Pergaminho")</f>
        <v>Pergaminho</v>
      </c>
      <c r="D242" s="12">
        <f>IFERROR(__xludf.DUMMYFUNCTION("""COMPUTED_VALUE"""),47.0)</f>
        <v>47</v>
      </c>
      <c r="E242" s="12" t="str">
        <f>IFERROR(__xludf.DUMMYFUNCTION("""COMPUTED_VALUE"""),"Passo das Sombras")</f>
        <v>Passo das Sombras</v>
      </c>
      <c r="F242" s="11" t="str">
        <f>IFERROR(__xludf.DUMMYFUNCTION("""COMPUTED_VALUE"""),"Mítico")</f>
        <v>Mítico</v>
      </c>
      <c r="G242" s="12" t="str">
        <f>IFERROR(__xludf.DUMMYFUNCTION("""COMPUTED_VALUE"""),"Evita ferimentos 15% das vezes")</f>
        <v>Evita ferimentos 15% das vezes</v>
      </c>
      <c r="H242" s="9" t="b">
        <f>IFERROR(__xludf.DUMMYFUNCTION("""COMPUTED_VALUE"""),TRUE)</f>
        <v>1</v>
      </c>
      <c r="I242" s="10"/>
    </row>
    <row r="243">
      <c r="A243" s="10"/>
      <c r="B243" s="10" t="str">
        <f>IFERROR(__xludf.DUMMYFUNCTION("""COMPUTED_VALUE"""),"Guardian Seal")</f>
        <v>Guardian Seal</v>
      </c>
      <c r="C243" s="11" t="str">
        <f>IFERROR(__xludf.DUMMYFUNCTION("""COMPUTED_VALUE"""),"Pergaminho")</f>
        <v>Pergaminho</v>
      </c>
      <c r="D243" s="12">
        <f>IFERROR(__xludf.DUMMYFUNCTION("""COMPUTED_VALUE"""),50.0)</f>
        <v>50</v>
      </c>
      <c r="E243" s="12" t="str">
        <f>IFERROR(__xludf.DUMMYFUNCTION("""COMPUTED_VALUE"""),"Pele de pedra")</f>
        <v>Pele de pedra</v>
      </c>
      <c r="F243" s="11" t="str">
        <f>IFERROR(__xludf.DUMMYFUNCTION("""COMPUTED_VALUE"""),"Lendário")</f>
        <v>Lendário</v>
      </c>
      <c r="G243" s="12" t="str">
        <f>IFERROR(__xludf.DUMMYFUNCTION("""COMPUTED_VALUE"""),"Aumenta a força em 30%")</f>
        <v>Aumenta a força em 30%</v>
      </c>
      <c r="H243" s="9" t="b">
        <f>IFERROR(__xludf.DUMMYFUNCTION("""COMPUTED_VALUE"""),TRUE)</f>
        <v>1</v>
      </c>
      <c r="I243" s="10"/>
    </row>
    <row r="244">
      <c r="A244" s="10"/>
      <c r="B244" s="10" t="str">
        <f>IFERROR(__xludf.DUMMYFUNCTION("""COMPUTED_VALUE"""),"Pergaminho de sangue")</f>
        <v>Pergaminho de sangue</v>
      </c>
      <c r="C244" s="11" t="str">
        <f>IFERROR(__xludf.DUMMYFUNCTION("""COMPUTED_VALUE"""),"Pergaminho")</f>
        <v>Pergaminho</v>
      </c>
      <c r="D244" s="12">
        <f>IFERROR(__xludf.DUMMYFUNCTION("""COMPUTED_VALUE"""),53.0)</f>
        <v>53</v>
      </c>
      <c r="E244" s="12" t="str">
        <f>IFERROR(__xludf.DUMMYFUNCTION("""COMPUTED_VALUE"""),"Curandeiro 1")</f>
        <v>Curandeiro 1</v>
      </c>
      <c r="F244" s="11" t="str">
        <f>IFERROR(__xludf.DUMMYFUNCTION("""COMPUTED_VALUE"""),"Mítico")</f>
        <v>Mítico</v>
      </c>
      <c r="G244" s="12" t="str">
        <f>IFERROR(__xludf.DUMMYFUNCTION("""COMPUTED_VALUE"""),"Reduz o tempo de cura de companheiros em 10%")</f>
        <v>Reduz o tempo de cura de companheiros em 10%</v>
      </c>
      <c r="H244" s="9" t="b">
        <f>IFERROR(__xludf.DUMMYFUNCTION("""COMPUTED_VALUE"""),TRUE)</f>
        <v>1</v>
      </c>
      <c r="I244" s="10"/>
    </row>
    <row r="245">
      <c r="A245" s="10"/>
      <c r="B245" s="10" t="str">
        <f>IFERROR(__xludf.DUMMYFUNCTION("""COMPUTED_VALUE"""),"Feitiço do Vento ")</f>
        <v>Feitiço do Vento </v>
      </c>
      <c r="C245" s="11" t="str">
        <f>IFERROR(__xludf.DUMMYFUNCTION("""COMPUTED_VALUE"""),"Pingente")</f>
        <v>Pingente</v>
      </c>
      <c r="D245" s="12">
        <f>IFERROR(__xludf.DUMMYFUNCTION("""COMPUTED_VALUE"""),11.0)</f>
        <v>11</v>
      </c>
      <c r="E245" s="12" t="str">
        <f>IFERROR(__xludf.DUMMYFUNCTION("""COMPUTED_VALUE"""),"Arquimago 1")</f>
        <v>Arquimago 1</v>
      </c>
      <c r="F245" s="11" t="str">
        <f>IFERROR(__xludf.DUMMYFUNCTION("""COMPUTED_VALUE"""),"Impecável")</f>
        <v>Impecável</v>
      </c>
      <c r="G245" s="12" t="str">
        <f>IFERROR(__xludf.DUMMYFUNCTION("""COMPUTED_VALUE"""),"Aumenta a força dos feiticeiros do grupo em 10%")</f>
        <v>Aumenta a força dos feiticeiros do grupo em 10%</v>
      </c>
      <c r="H245" s="9" t="b">
        <f>IFERROR(__xludf.DUMMYFUNCTION("""COMPUTED_VALUE"""),TRUE)</f>
        <v>1</v>
      </c>
      <c r="I245" s="10"/>
    </row>
    <row r="246">
      <c r="A246" s="10"/>
      <c r="B246" s="10" t="str">
        <f>IFERROR(__xludf.DUMMYFUNCTION("""COMPUTED_VALUE"""),"Símbolo do Exorcismo")</f>
        <v>Símbolo do Exorcismo</v>
      </c>
      <c r="C246" s="11" t="str">
        <f>IFERROR(__xludf.DUMMYFUNCTION("""COMPUTED_VALUE"""),"Pingente")</f>
        <v>Pingente</v>
      </c>
      <c r="D246" s="12">
        <f>IFERROR(__xludf.DUMMYFUNCTION("""COMPUTED_VALUE"""),24.0)</f>
        <v>24</v>
      </c>
      <c r="E246" s="12" t="str">
        <f>IFERROR(__xludf.DUMMYFUNCTION("""COMPUTED_VALUE"""),"Sortudo 1")</f>
        <v>Sortudo 1</v>
      </c>
      <c r="F246" s="11" t="str">
        <f>IFERROR(__xludf.DUMMYFUNCTION("""COMPUTED_VALUE"""),"Impecável")</f>
        <v>Impecável</v>
      </c>
      <c r="G246" s="12" t="str">
        <f>IFERROR(__xludf.DUMMYFUNCTION("""COMPUTED_VALUE"""),"Evita ferimentos 10% das vezes")</f>
        <v>Evita ferimentos 10% das vezes</v>
      </c>
      <c r="H246" s="9" t="b">
        <f>IFERROR(__xludf.DUMMYFUNCTION("""COMPUTED_VALUE"""),TRUE)</f>
        <v>1</v>
      </c>
      <c r="I246" s="10"/>
    </row>
    <row r="247">
      <c r="A247" s="10"/>
      <c r="B247" s="10" t="str">
        <f>IFERROR(__xludf.DUMMYFUNCTION("""COMPUTED_VALUE"""),"Proteção defensora")</f>
        <v>Proteção defensora</v>
      </c>
      <c r="C247" s="11" t="str">
        <f>IFERROR(__xludf.DUMMYFUNCTION("""COMPUTED_VALUE"""),"Pingente")</f>
        <v>Pingente</v>
      </c>
      <c r="D247" s="12">
        <f>IFERROR(__xludf.DUMMYFUNCTION("""COMPUTED_VALUE"""),27.0)</f>
        <v>27</v>
      </c>
      <c r="E247" s="12" t="str">
        <f>IFERROR(__xludf.DUMMYFUNCTION("""COMPUTED_VALUE"""),"Protetor 1")</f>
        <v>Protetor 1</v>
      </c>
      <c r="F247" s="11" t="str">
        <f>IFERROR(__xludf.DUMMYFUNCTION("""COMPUTED_VALUE"""),"Épico")</f>
        <v>Épico</v>
      </c>
      <c r="G247" s="12" t="str">
        <f>IFERROR(__xludf.DUMMYFUNCTION("""COMPUTED_VALUE"""),"Aumenta a taxa de sobrevivência do grupo em 2%")</f>
        <v>Aumenta a taxa de sobrevivência do grupo em 2%</v>
      </c>
      <c r="H247" s="9" t="b">
        <f>IFERROR(__xludf.DUMMYFUNCTION("""COMPUTED_VALUE"""),TRUE)</f>
        <v>1</v>
      </c>
      <c r="I247" s="10"/>
    </row>
    <row r="248">
      <c r="A248" s="10"/>
      <c r="B248" s="10" t="str">
        <f>IFERROR(__xludf.DUMMYFUNCTION("""COMPUTED_VALUE"""),"Amuleto Ankh")</f>
        <v>Amuleto Ankh</v>
      </c>
      <c r="C248" s="11" t="str">
        <f>IFERROR(__xludf.DUMMYFUNCTION("""COMPUTED_VALUE"""),"Pingente")</f>
        <v>Pingente</v>
      </c>
      <c r="D248" s="12">
        <f>IFERROR(__xludf.DUMMYFUNCTION("""COMPUTED_VALUE"""),33.0)</f>
        <v>33</v>
      </c>
      <c r="E248" s="12" t="str">
        <f>IFERROR(__xludf.DUMMYFUNCTION("""COMPUTED_VALUE"""),"Reviver 2")</f>
        <v>Reviver 2</v>
      </c>
      <c r="F248" s="11" t="str">
        <f>IFERROR(__xludf.DUMMYFUNCTION("""COMPUTED_VALUE"""),"Lendário")</f>
        <v>Lendário</v>
      </c>
      <c r="G248" s="12" t="str">
        <f>IFERROR(__xludf.DUMMYFUNCTION("""COMPUTED_VALUE"""),"Revive um companheiro derrotado 10% das vezes")</f>
        <v>Revive um companheiro derrotado 10% das vezes</v>
      </c>
      <c r="H248" s="9" t="b">
        <f>IFERROR(__xludf.DUMMYFUNCTION("""COMPUTED_VALUE"""),TRUE)</f>
        <v>1</v>
      </c>
      <c r="I248" s="10"/>
    </row>
    <row r="249">
      <c r="A249" s="10"/>
      <c r="B249" s="10" t="str">
        <f>IFERROR(__xludf.DUMMYFUNCTION("""COMPUTED_VALUE"""),"Coração de Lich")</f>
        <v>Coração de Lich</v>
      </c>
      <c r="C249" s="11" t="str">
        <f>IFERROR(__xludf.DUMMYFUNCTION("""COMPUTED_VALUE"""),"Pingente")</f>
        <v>Pingente</v>
      </c>
      <c r="D249" s="12">
        <f>IFERROR(__xludf.DUMMYFUNCTION("""COMPUTED_VALUE"""),35.0)</f>
        <v>35</v>
      </c>
      <c r="E249" s="12" t="str">
        <f>IFERROR(__xludf.DUMMYFUNCTION("""COMPUTED_VALUE"""),"Reviver 1")</f>
        <v>Reviver 1</v>
      </c>
      <c r="F249" s="11" t="str">
        <f>IFERROR(__xludf.DUMMYFUNCTION("""COMPUTED_VALUE"""),"Épico")</f>
        <v>Épico</v>
      </c>
      <c r="G249" s="12" t="str">
        <f>IFERROR(__xludf.DUMMYFUNCTION("""COMPUTED_VALUE"""),"Revive um companheiro derrotado 5% das vezes")</f>
        <v>Revive um companheiro derrotado 5% das vezes</v>
      </c>
      <c r="H249" s="9" t="b">
        <f>IFERROR(__xludf.DUMMYFUNCTION("""COMPUTED_VALUE"""),TRUE)</f>
        <v>1</v>
      </c>
      <c r="I249" s="10"/>
    </row>
    <row r="250">
      <c r="A250" s="10"/>
      <c r="B250" s="10" t="str">
        <f>IFERROR(__xludf.DUMMYFUNCTION("""COMPUTED_VALUE"""),"Amuleto dracônico")</f>
        <v>Amuleto dracônico</v>
      </c>
      <c r="C250" s="11" t="str">
        <f>IFERROR(__xludf.DUMMYFUNCTION("""COMPUTED_VALUE"""),"Pingente")</f>
        <v>Pingente</v>
      </c>
      <c r="D250" s="12">
        <f>IFERROR(__xludf.DUMMYFUNCTION("""COMPUTED_VALUE"""),36.0)</f>
        <v>36</v>
      </c>
      <c r="E250" s="12" t="str">
        <f>IFERROR(__xludf.DUMMYFUNCTION("""COMPUTED_VALUE"""),"Ganancioso 1")</f>
        <v>Ganancioso 1</v>
      </c>
      <c r="F250" s="11" t="str">
        <f>IFERROR(__xludf.DUMMYFUNCTION("""COMPUTED_VALUE"""),"Lendário")</f>
        <v>Lendário</v>
      </c>
      <c r="G250" s="12" t="str">
        <f>IFERROR(__xludf.DUMMYFUNCTION("""COMPUTED_VALUE"""),"Encontra mais 50% de ouro durante as missões")</f>
        <v>Encontra mais 50% de ouro durante as missões</v>
      </c>
      <c r="H250" s="9" t="b">
        <f>IFERROR(__xludf.DUMMYFUNCTION("""COMPUTED_VALUE"""),TRUE)</f>
        <v>1</v>
      </c>
      <c r="I250" s="10"/>
    </row>
    <row r="251">
      <c r="A251" s="10"/>
      <c r="B251" s="10" t="str">
        <f>IFERROR(__xludf.DUMMYFUNCTION("""COMPUTED_VALUE"""),"Lágrima da Deusa")</f>
        <v>Lágrima da Deusa</v>
      </c>
      <c r="C251" s="11" t="str">
        <f>IFERROR(__xludf.DUMMYFUNCTION("""COMPUTED_VALUE"""),"Pingente")</f>
        <v>Pingente</v>
      </c>
      <c r="D251" s="12">
        <f>IFERROR(__xludf.DUMMYFUNCTION("""COMPUTED_VALUE"""),38.0)</f>
        <v>38</v>
      </c>
      <c r="E251" s="12" t="str">
        <f>IFERROR(__xludf.DUMMYFUNCTION("""COMPUTED_VALUE"""),"Curandeiro 1")</f>
        <v>Curandeiro 1</v>
      </c>
      <c r="F251" s="11" t="str">
        <f>IFERROR(__xludf.DUMMYFUNCTION("""COMPUTED_VALUE"""),"Lendário")</f>
        <v>Lendário</v>
      </c>
      <c r="G251" s="12" t="str">
        <f>IFERROR(__xludf.DUMMYFUNCTION("""COMPUTED_VALUE"""),"Reduz o tempo de cura de companheiros em 10%")</f>
        <v>Reduz o tempo de cura de companheiros em 10%</v>
      </c>
      <c r="H251" s="9" t="b">
        <f>IFERROR(__xludf.DUMMYFUNCTION("""COMPUTED_VALUE"""),TRUE)</f>
        <v>1</v>
      </c>
      <c r="I251" s="10"/>
    </row>
    <row r="252">
      <c r="A252" s="10"/>
      <c r="B252" s="10" t="str">
        <f>IFERROR(__xludf.DUMMYFUNCTION("""COMPUTED_VALUE"""),"Coração do Sol")</f>
        <v>Coração do Sol</v>
      </c>
      <c r="C252" s="11" t="str">
        <f>IFERROR(__xludf.DUMMYFUNCTION("""COMPUTED_VALUE"""),"Pingente")</f>
        <v>Pingente</v>
      </c>
      <c r="D252" s="12">
        <f>IFERROR(__xludf.DUMMYFUNCTION("""COMPUTED_VALUE"""),39.0)</f>
        <v>39</v>
      </c>
      <c r="E252" s="12" t="str">
        <f>IFERROR(__xludf.DUMMYFUNCTION("""COMPUTED_VALUE"""),"Energético 2")</f>
        <v>Energético 2</v>
      </c>
      <c r="F252" s="11" t="str">
        <f>IFERROR(__xludf.DUMMYFUNCTION("""COMPUTED_VALUE"""),"Lendário")</f>
        <v>Lendário</v>
      </c>
      <c r="G252" s="12" t="str">
        <f>IFERROR(__xludf.DUMMYFUNCTION("""COMPUTED_VALUE"""),"Reduz o tempo de espera depois da missão em 75%")</f>
        <v>Reduz o tempo de espera depois da missão em 75%</v>
      </c>
      <c r="H252" s="9" t="b">
        <f>IFERROR(__xludf.DUMMYFUNCTION("""COMPUTED_VALUE"""),TRUE)</f>
        <v>1</v>
      </c>
      <c r="I252" s="10"/>
    </row>
    <row r="253">
      <c r="A253" s="10"/>
      <c r="B253" s="10" t="str">
        <f>IFERROR(__xludf.DUMMYFUNCTION("""COMPUTED_VALUE"""),"Herança de Azbandar")</f>
        <v>Herança de Azbandar</v>
      </c>
      <c r="C253" s="11" t="str">
        <f>IFERROR(__xludf.DUMMYFUNCTION("""COMPUTED_VALUE"""),"Pingente")</f>
        <v>Pingente</v>
      </c>
      <c r="D253" s="12">
        <f>IFERROR(__xludf.DUMMYFUNCTION("""COMPUTED_VALUE"""),43.0)</f>
        <v>43</v>
      </c>
      <c r="E253" s="12" t="str">
        <f>IFERROR(__xludf.DUMMYFUNCTION("""COMPUTED_VALUE"""),"Velocista 3")</f>
        <v>Velocista 3</v>
      </c>
      <c r="F253" s="11" t="str">
        <f>IFERROR(__xludf.DUMMYFUNCTION("""COMPUTED_VALUE"""),"Mítico")</f>
        <v>Mítico</v>
      </c>
      <c r="G253" s="12" t="str">
        <f>IFERROR(__xludf.DUMMYFUNCTION("""COMPUTED_VALUE"""),"Reduz a duração da missão em 50%")</f>
        <v>Reduz a duração da missão em 50%</v>
      </c>
      <c r="H253" s="9" t="b">
        <f>IFERROR(__xludf.DUMMYFUNCTION("""COMPUTED_VALUE"""),TRUE)</f>
        <v>1</v>
      </c>
      <c r="I253" s="10"/>
    </row>
    <row r="254">
      <c r="A254" s="10"/>
      <c r="B254" s="10" t="str">
        <f>IFERROR(__xludf.DUMMYFUNCTION("""COMPUTED_VALUE"""),"Herança de Família")</f>
        <v>Herança de Família</v>
      </c>
      <c r="C254" s="11" t="str">
        <f>IFERROR(__xludf.DUMMYFUNCTION("""COMPUTED_VALUE"""),"Pingente")</f>
        <v>Pingente</v>
      </c>
      <c r="D254" s="12">
        <f>IFERROR(__xludf.DUMMYFUNCTION("""COMPUTED_VALUE"""),44.0)</f>
        <v>44</v>
      </c>
      <c r="E254" s="12" t="str">
        <f>IFERROR(__xludf.DUMMYFUNCTION("""COMPUTED_VALUE"""),"Engenhoso 3")</f>
        <v>Engenhoso 3</v>
      </c>
      <c r="F254" s="11" t="str">
        <f>IFERROR(__xludf.DUMMYFUNCTION("""COMPUTED_VALUE"""),"Mítico")</f>
        <v>Mítico</v>
      </c>
      <c r="G254" s="12" t="str">
        <f>IFERROR(__xludf.DUMMYFUNCTION("""COMPUTED_VALUE"""),"Impede que 3 peças de equipamento se quebre durante a missão")</f>
        <v>Impede que 3 peças de equipamento se quebre durante a missão</v>
      </c>
      <c r="H254" s="9" t="b">
        <f>IFERROR(__xludf.DUMMYFUNCTION("""COMPUTED_VALUE"""),TRUE)</f>
        <v>1</v>
      </c>
      <c r="I254" s="10"/>
    </row>
    <row r="255">
      <c r="A255" s="10"/>
      <c r="B255" s="10" t="str">
        <f>IFERROR(__xludf.DUMMYFUNCTION("""COMPUTED_VALUE"""),"Talismã do fogo-gelo")</f>
        <v>Talismã do fogo-gelo</v>
      </c>
      <c r="C255" s="11" t="str">
        <f>IFERROR(__xludf.DUMMYFUNCTION("""COMPUTED_VALUE"""),"Pingente")</f>
        <v>Pingente</v>
      </c>
      <c r="D255" s="12">
        <f>IFERROR(__xludf.DUMMYFUNCTION("""COMPUTED_VALUE"""),47.0)</f>
        <v>47</v>
      </c>
      <c r="E255" s="12" t="str">
        <f>IFERROR(__xludf.DUMMYFUNCTION("""COMPUTED_VALUE"""),"Cone-gélido")</f>
        <v>Cone-gélido</v>
      </c>
      <c r="F255" s="11" t="str">
        <f>IFERROR(__xludf.DUMMYFUNCTION("""COMPUTED_VALUE"""),"Lendário")</f>
        <v>Lendário</v>
      </c>
      <c r="G255" s="12" t="str">
        <f>IFERROR(__xludf.DUMMYFUNCTION("""COMPUTED_VALUE"""),"Aumenta a força em 40%")</f>
        <v>Aumenta a força em 40%</v>
      </c>
      <c r="H255" s="9" t="b">
        <f>IFERROR(__xludf.DUMMYFUNCTION("""COMPUTED_VALUE"""),TRUE)</f>
        <v>1</v>
      </c>
      <c r="I255" s="10"/>
    </row>
    <row r="256">
      <c r="A256" s="10"/>
      <c r="B256" s="10" t="str">
        <f>IFERROR(__xludf.DUMMYFUNCTION("""COMPUTED_VALUE"""),"Coração de Gaia")</f>
        <v>Coração de Gaia</v>
      </c>
      <c r="C256" s="11" t="str">
        <f>IFERROR(__xludf.DUMMYFUNCTION("""COMPUTED_VALUE"""),"Pingente")</f>
        <v>Pingente</v>
      </c>
      <c r="D256" s="12">
        <f>IFERROR(__xludf.DUMMYFUNCTION("""COMPUTED_VALUE"""),50.0)</f>
        <v>50</v>
      </c>
      <c r="E256" s="12" t="str">
        <f>IFERROR(__xludf.DUMMYFUNCTION("""COMPUTED_VALUE"""),"Bola de fogo")</f>
        <v>Bola de fogo</v>
      </c>
      <c r="F256" s="11" t="str">
        <f>IFERROR(__xludf.DUMMYFUNCTION("""COMPUTED_VALUE"""),"Mítico")</f>
        <v>Mítico</v>
      </c>
      <c r="G256" s="12" t="str">
        <f>IFERROR(__xludf.DUMMYFUNCTION("""COMPUTED_VALUE"""),"Aumenta a força em 25%")</f>
        <v>Aumenta a força em 25%</v>
      </c>
      <c r="H256" s="9" t="b">
        <f>IFERROR(__xludf.DUMMYFUNCTION("""COMPUTED_VALUE"""),TRUE)</f>
        <v>1</v>
      </c>
      <c r="I256" s="10"/>
    </row>
    <row r="257">
      <c r="A257" s="10"/>
      <c r="B257" s="10" t="str">
        <f>IFERROR(__xludf.DUMMYFUNCTION("""COMPUTED_VALUE"""),"Amuleto primordial")</f>
        <v>Amuleto primordial</v>
      </c>
      <c r="C257" s="11" t="str">
        <f>IFERROR(__xludf.DUMMYFUNCTION("""COMPUTED_VALUE"""),"Pingente")</f>
        <v>Pingente</v>
      </c>
      <c r="D257" s="12">
        <f>IFERROR(__xludf.DUMMYFUNCTION("""COMPUTED_VALUE"""),53.0)</f>
        <v>53</v>
      </c>
      <c r="E257" s="12" t="str">
        <f>IFERROR(__xludf.DUMMYFUNCTION("""COMPUTED_VALUE"""),"Caça-tesouros 1")</f>
        <v>Caça-tesouros 1</v>
      </c>
      <c r="F257" s="11" t="str">
        <f>IFERROR(__xludf.DUMMYFUNCTION("""COMPUTED_VALUE"""),"Mítico")</f>
        <v>Mítico</v>
      </c>
      <c r="G257" s="12" t="str">
        <f>IFERROR(__xludf.DUMMYFUNCTION("""COMPUTED_VALUE"""),"Aumenta o número máximo de artefatos e itens de raid encontrados em +2")</f>
        <v>Aumenta o número máximo de artefatos e itens de raid encontrados em +2</v>
      </c>
      <c r="H257" s="9" t="b">
        <f>IFERROR(__xludf.DUMMYFUNCTION("""COMPUTED_VALUE"""),TRUE)</f>
        <v>1</v>
      </c>
      <c r="I257" s="10"/>
    </row>
    <row r="258">
      <c r="A258" s="10"/>
      <c r="B258" s="10" t="str">
        <f>IFERROR(__xludf.DUMMYFUNCTION("""COMPUTED_VALUE"""),"Ominous Charm")</f>
        <v>Ominous Charm</v>
      </c>
      <c r="C258" s="11" t="str">
        <f>IFERROR(__xludf.DUMMYFUNCTION("""COMPUTED_VALUE"""),"Pingente")</f>
        <v>Pingente</v>
      </c>
      <c r="D258" s="12">
        <f>IFERROR(__xludf.DUMMYFUNCTION("""COMPUTED_VALUE"""),55.0)</f>
        <v>55</v>
      </c>
      <c r="E258" s="12" t="str">
        <f>IFERROR(__xludf.DUMMYFUNCTION("""COMPUTED_VALUE"""),"Passo das Sombras")</f>
        <v>Passo das Sombras</v>
      </c>
      <c r="F258" s="11" t="str">
        <f>IFERROR(__xludf.DUMMYFUNCTION("""COMPUTED_VALUE"""),"Lendário")</f>
        <v>Lendário</v>
      </c>
      <c r="G258" s="12" t="str">
        <f>IFERROR(__xludf.DUMMYFUNCTION("""COMPUTED_VALUE"""),"Evita ferimentos 15% das vezes")</f>
        <v>Evita ferimentos 15% das vezes</v>
      </c>
      <c r="H258" s="9" t="b">
        <f>IFERROR(__xludf.DUMMYFUNCTION("""COMPUTED_VALUE"""),TRUE)</f>
        <v>1</v>
      </c>
      <c r="I258" s="10"/>
    </row>
    <row r="259">
      <c r="A259" s="10"/>
      <c r="B259" s="10" t="str">
        <f>IFERROR(__xludf.DUMMYFUNCTION("""COMPUTED_VALUE"""),"Rifle")</f>
        <v>Rifle</v>
      </c>
      <c r="C259" s="11" t="str">
        <f>IFERROR(__xludf.DUMMYFUNCTION("""COMPUTED_VALUE"""),"Pistola")</f>
        <v>Pistola</v>
      </c>
      <c r="D259" s="12">
        <f>IFERROR(__xludf.DUMMYFUNCTION("""COMPUTED_VALUE"""),13.0)</f>
        <v>13</v>
      </c>
      <c r="E259" s="12" t="str">
        <f>IFERROR(__xludf.DUMMYFUNCTION("""COMPUTED_VALUE"""),"Cuidadoso 1")</f>
        <v>Cuidadoso 1</v>
      </c>
      <c r="F259" s="11" t="str">
        <f>IFERROR(__xludf.DUMMYFUNCTION("""COMPUTED_VALUE"""),"Impecável")</f>
        <v>Impecável</v>
      </c>
      <c r="G259" s="12" t="str">
        <f>IFERROR(__xludf.DUMMYFUNCTION("""COMPUTED_VALUE"""),"Diminui a chance de quebra de equipamento em 15% das vezes")</f>
        <v>Diminui a chance de quebra de equipamento em 15% das vezes</v>
      </c>
      <c r="H259" s="9" t="b">
        <f>IFERROR(__xludf.DUMMYFUNCTION("""COMPUTED_VALUE"""),TRUE)</f>
        <v>1</v>
      </c>
      <c r="I259" s="10"/>
    </row>
    <row r="260">
      <c r="A260" s="10"/>
      <c r="B260" s="10" t="str">
        <f>IFERROR(__xludf.DUMMYFUNCTION("""COMPUTED_VALUE"""),"Espingarda Negra")</f>
        <v>Espingarda Negra</v>
      </c>
      <c r="C260" s="11" t="str">
        <f>IFERROR(__xludf.DUMMYFUNCTION("""COMPUTED_VALUE"""),"Pistola")</f>
        <v>Pistola</v>
      </c>
      <c r="D260" s="12">
        <f>IFERROR(__xludf.DUMMYFUNCTION("""COMPUTED_VALUE"""),18.0)</f>
        <v>18</v>
      </c>
      <c r="E260" s="12" t="str">
        <f>IFERROR(__xludf.DUMMYFUNCTION("""COMPUTED_VALUE"""),"Resistente 1")</f>
        <v>Resistente 1</v>
      </c>
      <c r="F260" s="11" t="str">
        <f>IFERROR(__xludf.DUMMYFUNCTION("""COMPUTED_VALUE"""),"Impecável")</f>
        <v>Impecável</v>
      </c>
      <c r="G260" s="12" t="str">
        <f>IFERROR(__xludf.DUMMYFUNCTION("""COMPUTED_VALUE"""),"Obtém pelo menos 25% de experiência quando ferido e a missão é bem sucedida")</f>
        <v>Obtém pelo menos 25% de experiência quando ferido e a missão é bem sucedida</v>
      </c>
      <c r="H260" s="9" t="b">
        <f>IFERROR(__xludf.DUMMYFUNCTION("""COMPUTED_VALUE"""),TRUE)</f>
        <v>1</v>
      </c>
      <c r="I260" s="10"/>
    </row>
    <row r="261">
      <c r="A261" s="10"/>
      <c r="B261" s="10" t="str">
        <f>IFERROR(__xludf.DUMMYFUNCTION("""COMPUTED_VALUE"""),"Conquistador")</f>
        <v>Conquistador</v>
      </c>
      <c r="C261" s="11" t="str">
        <f>IFERROR(__xludf.DUMMYFUNCTION("""COMPUTED_VALUE"""),"Pistola")</f>
        <v>Pistola</v>
      </c>
      <c r="D261" s="12">
        <f>IFERROR(__xludf.DUMMYFUNCTION("""COMPUTED_VALUE"""),22.0)</f>
        <v>22</v>
      </c>
      <c r="E261" s="12" t="str">
        <f>IFERROR(__xludf.DUMMYFUNCTION("""COMPUTED_VALUE"""),"Comandante 1")</f>
        <v>Comandante 1</v>
      </c>
      <c r="F261" s="11" t="str">
        <f>IFERROR(__xludf.DUMMYFUNCTION("""COMPUTED_VALUE"""),"Épico")</f>
        <v>Épico</v>
      </c>
      <c r="G261" s="12" t="str">
        <f>IFERROR(__xludf.DUMMYFUNCTION("""COMPUTED_VALUE"""),"Aumenta a força dos guerreiros do grupo em 15%")</f>
        <v>Aumenta a força dos guerreiros do grupo em 15%</v>
      </c>
      <c r="H261" s="9" t="b">
        <f>IFERROR(__xludf.DUMMYFUNCTION("""COMPUTED_VALUE"""),TRUE)</f>
        <v>1</v>
      </c>
      <c r="I261" s="10"/>
    </row>
    <row r="262">
      <c r="A262" s="10"/>
      <c r="B262" s="10" t="str">
        <f>IFERROR(__xludf.DUMMYFUNCTION("""COMPUTED_VALUE"""),"A Respiração de Dragão")</f>
        <v>A Respiração de Dragão</v>
      </c>
      <c r="C262" s="11" t="str">
        <f>IFERROR(__xludf.DUMMYFUNCTION("""COMPUTED_VALUE"""),"Pistola")</f>
        <v>Pistola</v>
      </c>
      <c r="D262" s="12">
        <f>IFERROR(__xludf.DUMMYFUNCTION("""COMPUTED_VALUE"""),28.0)</f>
        <v>28</v>
      </c>
      <c r="E262" s="12" t="str">
        <f>IFERROR(__xludf.DUMMYFUNCTION("""COMPUTED_VALUE"""),"Velocista 2")</f>
        <v>Velocista 2</v>
      </c>
      <c r="F262" s="11" t="str">
        <f>IFERROR(__xludf.DUMMYFUNCTION("""COMPUTED_VALUE"""),"Épico")</f>
        <v>Épico</v>
      </c>
      <c r="G262" s="12" t="str">
        <f>IFERROR(__xludf.DUMMYFUNCTION("""COMPUTED_VALUE"""),"Reduz a duração da missão em 25%")</f>
        <v>Reduz a duração da missão em 25%</v>
      </c>
      <c r="H262" s="9" t="b">
        <f>IFERROR(__xludf.DUMMYFUNCTION("""COMPUTED_VALUE"""),TRUE)</f>
        <v>1</v>
      </c>
      <c r="I262" s="10"/>
    </row>
    <row r="263">
      <c r="A263" s="10"/>
      <c r="B263" s="10" t="str">
        <f>IFERROR(__xludf.DUMMYFUNCTION("""COMPUTED_VALUE"""),"Arcabuz de relíquia")</f>
        <v>Arcabuz de relíquia</v>
      </c>
      <c r="C263" s="11" t="str">
        <f>IFERROR(__xludf.DUMMYFUNCTION("""COMPUTED_VALUE"""),"Pistola")</f>
        <v>Pistola</v>
      </c>
      <c r="D263" s="12">
        <f>IFERROR(__xludf.DUMMYFUNCTION("""COMPUTED_VALUE"""),30.0)</f>
        <v>30</v>
      </c>
      <c r="E263" s="12" t="str">
        <f>IFERROR(__xludf.DUMMYFUNCTION("""COMPUTED_VALUE"""),"Caça-tesouros 3")</f>
        <v>Caça-tesouros 3</v>
      </c>
      <c r="F263" s="11" t="str">
        <f>IFERROR(__xludf.DUMMYFUNCTION("""COMPUTED_VALUE"""),"Épico")</f>
        <v>Épico</v>
      </c>
      <c r="G263" s="12" t="str">
        <f>IFERROR(__xludf.DUMMYFUNCTION("""COMPUTED_VALUE"""),"Aumenta o número máximo de artefatos e itens de raid encontrados em +6")</f>
        <v>Aumenta o número máximo de artefatos e itens de raid encontrados em +6</v>
      </c>
      <c r="H263" s="9" t="b">
        <f>IFERROR(__xludf.DUMMYFUNCTION("""COMPUTED_VALUE"""),TRUE)</f>
        <v>1</v>
      </c>
      <c r="I263" s="10"/>
    </row>
    <row r="264">
      <c r="A264" s="10"/>
      <c r="B264" s="10" t="str">
        <f>IFERROR(__xludf.DUMMYFUNCTION("""COMPUTED_VALUE"""),"Julgamento")</f>
        <v>Julgamento</v>
      </c>
      <c r="C264" s="11" t="str">
        <f>IFERROR(__xludf.DUMMYFUNCTION("""COMPUTED_VALUE"""),"Pistola")</f>
        <v>Pistola</v>
      </c>
      <c r="D264" s="12">
        <f>IFERROR(__xludf.DUMMYFUNCTION("""COMPUTED_VALUE"""),36.0)</f>
        <v>36</v>
      </c>
      <c r="E264" s="12" t="str">
        <f>IFERROR(__xludf.DUMMYFUNCTION("""COMPUTED_VALUE"""),"Companheiro de Guerra 1")</f>
        <v>Companheiro de Guerra 1</v>
      </c>
      <c r="F264" s="11" t="str">
        <f>IFERROR(__xludf.DUMMYFUNCTION("""COMPUTED_VALUE"""),"Épico")</f>
        <v>Épico</v>
      </c>
      <c r="G264" s="12" t="str">
        <f>IFERROR(__xludf.DUMMYFUNCTION("""COMPUTED_VALUE"""),"Aumenta a taxa de sobrevivência de membros masculinos do grupo em 5%")</f>
        <v>Aumenta a taxa de sobrevivência de membros masculinos do grupo em 5%</v>
      </c>
      <c r="H264" s="9" t="b">
        <f>IFERROR(__xludf.DUMMYFUNCTION("""COMPUTED_VALUE"""),TRUE)</f>
        <v>1</v>
      </c>
      <c r="I264" s="10"/>
    </row>
    <row r="265">
      <c r="A265" s="10"/>
      <c r="B265" s="10" t="str">
        <f>IFERROR(__xludf.DUMMYFUNCTION("""COMPUTED_VALUE"""),"Lança Bombas")</f>
        <v>Lança Bombas</v>
      </c>
      <c r="C265" s="11" t="str">
        <f>IFERROR(__xludf.DUMMYFUNCTION("""COMPUTED_VALUE"""),"Pistola")</f>
        <v>Pistola</v>
      </c>
      <c r="D265" s="12">
        <f>IFERROR(__xludf.DUMMYFUNCTION("""COMPUTED_VALUE"""),37.0)</f>
        <v>37</v>
      </c>
      <c r="E265" s="12" t="str">
        <f>IFERROR(__xludf.DUMMYFUNCTION("""COMPUTED_VALUE"""),"Gangster 1")</f>
        <v>Gangster 1</v>
      </c>
      <c r="F265" s="11" t="str">
        <f>IFERROR(__xludf.DUMMYFUNCTION("""COMPUTED_VALUE"""),"Lendário")</f>
        <v>Lendário</v>
      </c>
      <c r="G265" s="12" t="str">
        <f>IFERROR(__xludf.DUMMYFUNCTION("""COMPUTED_VALUE"""),"Aumenta a força do equipamento em 10%")</f>
        <v>Aumenta a força do equipamento em 10%</v>
      </c>
      <c r="H265" s="9" t="b">
        <f>IFERROR(__xludf.DUMMYFUNCTION("""COMPUTED_VALUE"""),TRUE)</f>
        <v>1</v>
      </c>
      <c r="I265" s="10"/>
    </row>
    <row r="266">
      <c r="A266" s="10"/>
      <c r="B266" s="10" t="str">
        <f>IFERROR(__xludf.DUMMYFUNCTION("""COMPUTED_VALUE"""),"Guerra Nórdica")</f>
        <v>Guerra Nórdica</v>
      </c>
      <c r="C266" s="11" t="str">
        <f>IFERROR(__xludf.DUMMYFUNCTION("""COMPUTED_VALUE"""),"Pistola")</f>
        <v>Pistola</v>
      </c>
      <c r="D266" s="12">
        <f>IFERROR(__xludf.DUMMYFUNCTION("""COMPUTED_VALUE"""),39.0)</f>
        <v>39</v>
      </c>
      <c r="E266" s="12" t="str">
        <f>IFERROR(__xludf.DUMMYFUNCTION("""COMPUTED_VALUE"""),"Comandante 1")</f>
        <v>Comandante 1</v>
      </c>
      <c r="F266" s="11" t="str">
        <f>IFERROR(__xludf.DUMMYFUNCTION("""COMPUTED_VALUE"""),"Lendário")</f>
        <v>Lendário</v>
      </c>
      <c r="G266" s="12" t="str">
        <f>IFERROR(__xludf.DUMMYFUNCTION("""COMPUTED_VALUE"""),"Aumenta a força dos guerreiros do grupo em 15%")</f>
        <v>Aumenta a força dos guerreiros do grupo em 15%</v>
      </c>
      <c r="H266" s="9" t="b">
        <f>IFERROR(__xludf.DUMMYFUNCTION("""COMPUTED_VALUE"""),TRUE)</f>
        <v>1</v>
      </c>
      <c r="I266" s="10"/>
    </row>
    <row r="267">
      <c r="A267" s="10"/>
      <c r="B267" s="10" t="str">
        <f>IFERROR(__xludf.DUMMYFUNCTION("""COMPUTED_VALUE"""),"Pilgrim Blunderbus")</f>
        <v>Pilgrim Blunderbus</v>
      </c>
      <c r="C267" s="11" t="str">
        <f>IFERROR(__xludf.DUMMYFUNCTION("""COMPUTED_VALUE"""),"Pistola")</f>
        <v>Pistola</v>
      </c>
      <c r="D267" s="12">
        <f>IFERROR(__xludf.DUMMYFUNCTION("""COMPUTED_VALUE"""),40.0)</f>
        <v>40</v>
      </c>
      <c r="E267" s="12" t="str">
        <f>IFERROR(__xludf.DUMMYFUNCTION("""COMPUTED_VALUE"""),"Aura de proteção")</f>
        <v>Aura de proteção</v>
      </c>
      <c r="F267" s="11" t="str">
        <f>IFERROR(__xludf.DUMMYFUNCTION("""COMPUTED_VALUE"""),"Impecável")</f>
        <v>Impecável</v>
      </c>
      <c r="G267" s="12" t="str">
        <f>IFERROR(__xludf.DUMMYFUNCTION("""COMPUTED_VALUE"""),"Aumenta a taxa de sobrevivência do grupo em 8%")</f>
        <v>Aumenta a taxa de sobrevivência do grupo em 8%</v>
      </c>
      <c r="H267" s="9" t="b">
        <f>IFERROR(__xludf.DUMMYFUNCTION("""COMPUTED_VALUE"""),TRUE)</f>
        <v>1</v>
      </c>
      <c r="I267" s="10"/>
    </row>
    <row r="268">
      <c r="A268" s="10"/>
      <c r="B268" s="10" t="str">
        <f>IFERROR(__xludf.DUMMYFUNCTION("""COMPUTED_VALUE"""),"Pistola de Pirata")</f>
        <v>Pistola de Pirata</v>
      </c>
      <c r="C268" s="11" t="str">
        <f>IFERROR(__xludf.DUMMYFUNCTION("""COMPUTED_VALUE"""),"Pistola")</f>
        <v>Pistola</v>
      </c>
      <c r="D268" s="12">
        <f>IFERROR(__xludf.DUMMYFUNCTION("""COMPUTED_VALUE"""),47.0)</f>
        <v>47</v>
      </c>
      <c r="E268" s="12" t="str">
        <f>IFERROR(__xludf.DUMMYFUNCTION("""COMPUTED_VALUE"""),"Fornecedor 2")</f>
        <v>Fornecedor 2</v>
      </c>
      <c r="F268" s="11" t="str">
        <f>IFERROR(__xludf.DUMMYFUNCTION("""COMPUTED_VALUE"""),"Mítico")</f>
        <v>Mítico</v>
      </c>
      <c r="G268" s="12" t="str">
        <f>IFERROR(__xludf.DUMMYFUNCTION("""COMPUTED_VALUE"""),"Reduz a chance de companheiros quebrarem o equipamento em 10%")</f>
        <v>Reduz a chance de companheiros quebrarem o equipamento em 10%</v>
      </c>
      <c r="H268" s="9" t="b">
        <f>IFERROR(__xludf.DUMMYFUNCTION("""COMPUTED_VALUE"""),TRUE)</f>
        <v>1</v>
      </c>
      <c r="I268" s="10"/>
    </row>
    <row r="269">
      <c r="A269" s="10"/>
      <c r="B269" s="10" t="str">
        <f>IFERROR(__xludf.DUMMYFUNCTION("""COMPUTED_VALUE"""),"Arma Grandona")</f>
        <v>Arma Grandona</v>
      </c>
      <c r="C269" s="11" t="str">
        <f>IFERROR(__xludf.DUMMYFUNCTION("""COMPUTED_VALUE"""),"Pistola")</f>
        <v>Pistola</v>
      </c>
      <c r="D269" s="12">
        <f>IFERROR(__xludf.DUMMYFUNCTION("""COMPUTED_VALUE"""),48.0)</f>
        <v>48</v>
      </c>
      <c r="E269" s="12" t="str">
        <f>IFERROR(__xludf.DUMMYFUNCTION("""COMPUTED_VALUE"""),"Cuidadoso 2")</f>
        <v>Cuidadoso 2</v>
      </c>
      <c r="F269" s="11" t="str">
        <f>IFERROR(__xludf.DUMMYFUNCTION("""COMPUTED_VALUE"""),"Impecável")</f>
        <v>Impecável</v>
      </c>
      <c r="G269" s="12" t="str">
        <f>IFERROR(__xludf.DUMMYFUNCTION("""COMPUTED_VALUE"""),"Diminui a chance de quebra de equipamento em 30% das vezes")</f>
        <v>Diminui a chance de quebra de equipamento em 30% das vezes</v>
      </c>
      <c r="H269" s="9" t="b">
        <f>IFERROR(__xludf.DUMMYFUNCTION("""COMPUTED_VALUE"""),TRUE)</f>
        <v>1</v>
      </c>
      <c r="I269" s="10"/>
    </row>
    <row r="270">
      <c r="A270" s="10"/>
      <c r="B270" s="10" t="str">
        <f>IFERROR(__xludf.DUMMYFUNCTION("""COMPUTED_VALUE"""),"Lança Estacas")</f>
        <v>Lança Estacas</v>
      </c>
      <c r="C270" s="11" t="str">
        <f>IFERROR(__xludf.DUMMYFUNCTION("""COMPUTED_VALUE"""),"Pistola")</f>
        <v>Pistola</v>
      </c>
      <c r="D270" s="12">
        <f>IFERROR(__xludf.DUMMYFUNCTION("""COMPUTED_VALUE"""),49.0)</f>
        <v>49</v>
      </c>
      <c r="E270" s="12" t="str">
        <f>IFERROR(__xludf.DUMMYFUNCTION("""COMPUTED_VALUE"""),"Reviver 1")</f>
        <v>Reviver 1</v>
      </c>
      <c r="F270" s="11" t="str">
        <f>IFERROR(__xludf.DUMMYFUNCTION("""COMPUTED_VALUE"""),"Mítico")</f>
        <v>Mítico</v>
      </c>
      <c r="G270" s="12" t="str">
        <f>IFERROR(__xludf.DUMMYFUNCTION("""COMPUTED_VALUE"""),"Revive um companheiro derrotado 5% das vezes")</f>
        <v>Revive um companheiro derrotado 5% das vezes</v>
      </c>
      <c r="H270" s="9" t="b">
        <f>IFERROR(__xludf.DUMMYFUNCTION("""COMPUTED_VALUE"""),TRUE)</f>
        <v>1</v>
      </c>
      <c r="I270" s="10"/>
    </row>
    <row r="271">
      <c r="A271" s="10"/>
      <c r="B271" s="10" t="str">
        <f>IFERROR(__xludf.DUMMYFUNCTION("""COMPUTED_VALUE"""),"Disparo do Demônio")</f>
        <v>Disparo do Demônio</v>
      </c>
      <c r="C271" s="11" t="str">
        <f>IFERROR(__xludf.DUMMYFUNCTION("""COMPUTED_VALUE"""),"Pistola")</f>
        <v>Pistola</v>
      </c>
      <c r="D271" s="12">
        <f>IFERROR(__xludf.DUMMYFUNCTION("""COMPUTED_VALUE"""),50.0)</f>
        <v>50</v>
      </c>
      <c r="E271" s="12" t="str">
        <f>IFERROR(__xludf.DUMMYFUNCTION("""COMPUTED_VALUE"""),"Amazona 2")</f>
        <v>Amazona 2</v>
      </c>
      <c r="F271" s="11" t="str">
        <f>IFERROR(__xludf.DUMMYFUNCTION("""COMPUTED_VALUE"""),"Lendário")</f>
        <v>Lendário</v>
      </c>
      <c r="G271" s="12" t="str">
        <f>IFERROR(__xludf.DUMMYFUNCTION("""COMPUTED_VALUE"""),"Aumenta a taxa de sobrevivência de membros femininos do grupo em 10%")</f>
        <v>Aumenta a taxa de sobrevivência de membros femininos do grupo em 10%</v>
      </c>
      <c r="H271" s="9" t="b">
        <f>IFERROR(__xludf.DUMMYFUNCTION("""COMPUTED_VALUE"""),TRUE)</f>
        <v>1</v>
      </c>
      <c r="I271" s="10"/>
    </row>
    <row r="272">
      <c r="A272" s="10"/>
      <c r="B272" s="10" t="str">
        <f>IFERROR(__xludf.DUMMYFUNCTION("""COMPUTED_VALUE"""),"Dragon Fire")</f>
        <v>Dragon Fire</v>
      </c>
      <c r="C272" s="11" t="str">
        <f>IFERROR(__xludf.DUMMYFUNCTION("""COMPUTED_VALUE"""),"Pistola")</f>
        <v>Pistola</v>
      </c>
      <c r="D272" s="12">
        <f>IFERROR(__xludf.DUMMYFUNCTION("""COMPUTED_VALUE"""),53.0)</f>
        <v>53</v>
      </c>
      <c r="E272" s="12" t="str">
        <f>IFERROR(__xludf.DUMMYFUNCTION("""COMPUTED_VALUE"""),"Catador 2")</f>
        <v>Catador 2</v>
      </c>
      <c r="F272" s="11" t="str">
        <f>IFERROR(__xludf.DUMMYFUNCTION("""COMPUTED_VALUE"""),"Mítico")</f>
        <v>Mítico</v>
      </c>
      <c r="G272" s="12" t="str">
        <f>IFERROR(__xludf.DUMMYFUNCTION("""COMPUTED_VALUE"""),"Aumenta o número mínimo de itens e artefatos encontrados em +2")</f>
        <v>Aumenta o número mínimo de itens e artefatos encontrados em +2</v>
      </c>
      <c r="H272" s="9" t="b">
        <f>IFERROR(__xludf.DUMMYFUNCTION("""COMPUTED_VALUE"""),TRUE)</f>
        <v>1</v>
      </c>
      <c r="I272" s="10"/>
    </row>
    <row r="273">
      <c r="A273" s="10"/>
      <c r="B273" s="10" t="str">
        <f>IFERROR(__xludf.DUMMYFUNCTION("""COMPUTED_VALUE"""),"Arma Pirata")</f>
        <v>Arma Pirata</v>
      </c>
      <c r="C273" s="11" t="str">
        <f>IFERROR(__xludf.DUMMYFUNCTION("""COMPUTED_VALUE"""),"Pistola")</f>
        <v>Pistola</v>
      </c>
      <c r="D273" s="12">
        <f>IFERROR(__xludf.DUMMYFUNCTION("""COMPUTED_VALUE"""),55.0)</f>
        <v>55</v>
      </c>
      <c r="E273" s="12" t="str">
        <f>IFERROR(__xludf.DUMMYFUNCTION("""COMPUTED_VALUE"""),"Encontrar mágica")</f>
        <v>Encontrar mágica</v>
      </c>
      <c r="F273" s="11" t="str">
        <f>IFERROR(__xludf.DUMMYFUNCTION("""COMPUTED_VALUE"""),"Mítico")</f>
        <v>Mítico</v>
      </c>
      <c r="G273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73" s="9" t="b">
        <f>IFERROR(__xludf.DUMMYFUNCTION("""COMPUTED_VALUE"""),TRUE)</f>
        <v>1</v>
      </c>
      <c r="I273" s="10"/>
    </row>
    <row r="274">
      <c r="A274" s="10"/>
      <c r="B274" s="10" t="str">
        <f>IFERROR(__xludf.DUMMYFUNCTION("""COMPUTED_VALUE"""),"Gotas de Elíxir")</f>
        <v>Gotas de Elíxir</v>
      </c>
      <c r="C274" s="11" t="str">
        <f>IFERROR(__xludf.DUMMYFUNCTION("""COMPUTED_VALUE"""),"Poção")</f>
        <v>Poção</v>
      </c>
      <c r="D274" s="12">
        <f>IFERROR(__xludf.DUMMYFUNCTION("""COMPUTED_VALUE"""),9.0)</f>
        <v>9</v>
      </c>
      <c r="E274" s="12" t="str">
        <f>IFERROR(__xludf.DUMMYFUNCTION("""COMPUTED_VALUE"""),"Sortudo 1")</f>
        <v>Sortudo 1</v>
      </c>
      <c r="F274" s="11" t="str">
        <f>IFERROR(__xludf.DUMMYFUNCTION("""COMPUTED_VALUE"""),"Impecável")</f>
        <v>Impecável</v>
      </c>
      <c r="G274" s="12" t="str">
        <f>IFERROR(__xludf.DUMMYFUNCTION("""COMPUTED_VALUE"""),"Evita ferimentos 10% das vezes")</f>
        <v>Evita ferimentos 10% das vezes</v>
      </c>
      <c r="H274" s="9" t="b">
        <f>IFERROR(__xludf.DUMMYFUNCTION("""COMPUTED_VALUE"""),TRUE)</f>
        <v>1</v>
      </c>
      <c r="I274" s="10"/>
    </row>
    <row r="275">
      <c r="A275" s="10"/>
      <c r="B275" s="10" t="str">
        <f>IFERROR(__xludf.DUMMYFUNCTION("""COMPUTED_VALUE"""),"Cálice")</f>
        <v>Cálice</v>
      </c>
      <c r="C275" s="11" t="str">
        <f>IFERROR(__xludf.DUMMYFUNCTION("""COMPUTED_VALUE"""),"Poção")</f>
        <v>Poção</v>
      </c>
      <c r="D275" s="12">
        <f>IFERROR(__xludf.DUMMYFUNCTION("""COMPUTED_VALUE"""),12.0)</f>
        <v>12</v>
      </c>
      <c r="E275" s="12" t="str">
        <f>IFERROR(__xludf.DUMMYFUNCTION("""COMPUTED_VALUE"""),"Curandeiro 1")</f>
        <v>Curandeiro 1</v>
      </c>
      <c r="F275" s="11" t="str">
        <f>IFERROR(__xludf.DUMMYFUNCTION("""COMPUTED_VALUE"""),"Impecável")</f>
        <v>Impecável</v>
      </c>
      <c r="G275" s="12" t="str">
        <f>IFERROR(__xludf.DUMMYFUNCTION("""COMPUTED_VALUE"""),"Reduz o tempo de cura de companheiros em 10%")</f>
        <v>Reduz o tempo de cura de companheiros em 10%</v>
      </c>
      <c r="H275" s="9" t="b">
        <f>IFERROR(__xludf.DUMMYFUNCTION("""COMPUTED_VALUE"""),TRUE)</f>
        <v>1</v>
      </c>
      <c r="I275" s="10"/>
    </row>
    <row r="276">
      <c r="A276" s="10"/>
      <c r="B276" s="10" t="str">
        <f>IFERROR(__xludf.DUMMYFUNCTION("""COMPUTED_VALUE"""),"Sangue de Demônio")</f>
        <v>Sangue de Demônio</v>
      </c>
      <c r="C276" s="11" t="str">
        <f>IFERROR(__xludf.DUMMYFUNCTION("""COMPUTED_VALUE"""),"Poção")</f>
        <v>Poção</v>
      </c>
      <c r="D276" s="12">
        <f>IFERROR(__xludf.DUMMYFUNCTION("""COMPUTED_VALUE"""),24.0)</f>
        <v>24</v>
      </c>
      <c r="E276" s="12" t="str">
        <f>IFERROR(__xludf.DUMMYFUNCTION("""COMPUTED_VALUE"""),"Velocista 1")</f>
        <v>Velocista 1</v>
      </c>
      <c r="F276" s="11" t="str">
        <f>IFERROR(__xludf.DUMMYFUNCTION("""COMPUTED_VALUE"""),"Impecável")</f>
        <v>Impecável</v>
      </c>
      <c r="G276" s="12" t="str">
        <f>IFERROR(__xludf.DUMMYFUNCTION("""COMPUTED_VALUE"""),"Reduz a duração da missão em 10%")</f>
        <v>Reduz a duração da missão em 10%</v>
      </c>
      <c r="H276" s="9" t="b">
        <f>IFERROR(__xludf.DUMMYFUNCTION("""COMPUTED_VALUE"""),TRUE)</f>
        <v>1</v>
      </c>
      <c r="I276" s="10"/>
    </row>
    <row r="277">
      <c r="A277" s="10"/>
      <c r="B277" s="10" t="str">
        <f>IFERROR(__xludf.DUMMYFUNCTION("""COMPUTED_VALUE"""),"Elven Sunblock")</f>
        <v>Elven Sunblock</v>
      </c>
      <c r="C277" s="11" t="str">
        <f>IFERROR(__xludf.DUMMYFUNCTION("""COMPUTED_VALUE"""),"Poção")</f>
        <v>Poção</v>
      </c>
      <c r="D277" s="12">
        <f>IFERROR(__xludf.DUMMYFUNCTION("""COMPUTED_VALUE"""),24.0)</f>
        <v>24</v>
      </c>
      <c r="E277" s="12" t="str">
        <f>IFERROR(__xludf.DUMMYFUNCTION("""COMPUTED_VALUE"""),"Bola de fogo")</f>
        <v>Bola de fogo</v>
      </c>
      <c r="F277" s="11" t="str">
        <f>IFERROR(__xludf.DUMMYFUNCTION("""COMPUTED_VALUE"""),"Impecável")</f>
        <v>Impecável</v>
      </c>
      <c r="G277" s="12" t="str">
        <f>IFERROR(__xludf.DUMMYFUNCTION("""COMPUTED_VALUE"""),"Aumenta a força em 25%")</f>
        <v>Aumenta a força em 25%</v>
      </c>
      <c r="H277" s="9" t="b">
        <f>IFERROR(__xludf.DUMMYFUNCTION("""COMPUTED_VALUE"""),TRUE)</f>
        <v>1</v>
      </c>
      <c r="I277" s="10"/>
    </row>
    <row r="278">
      <c r="A278" s="10"/>
      <c r="B278" s="10" t="str">
        <f>IFERROR(__xludf.DUMMYFUNCTION("""COMPUTED_VALUE"""),"Elixir ")</f>
        <v>Elixir </v>
      </c>
      <c r="C278" s="11" t="str">
        <f>IFERROR(__xludf.DUMMYFUNCTION("""COMPUTED_VALUE"""),"Poção")</f>
        <v>Poção</v>
      </c>
      <c r="D278" s="12">
        <f>IFERROR(__xludf.DUMMYFUNCTION("""COMPUTED_VALUE"""),26.0)</f>
        <v>26</v>
      </c>
      <c r="E278" s="12" t="str">
        <f>IFERROR(__xludf.DUMMYFUNCTION("""COMPUTED_VALUE"""),"Curandeiro 1")</f>
        <v>Curandeiro 1</v>
      </c>
      <c r="F278" s="11" t="str">
        <f>IFERROR(__xludf.DUMMYFUNCTION("""COMPUTED_VALUE"""),"Épico")</f>
        <v>Épico</v>
      </c>
      <c r="G278" s="12" t="str">
        <f>IFERROR(__xludf.DUMMYFUNCTION("""COMPUTED_VALUE"""),"Reduz o tempo de cura de companheiros em 10%")</f>
        <v>Reduz o tempo de cura de companheiros em 10%</v>
      </c>
      <c r="H278" s="9" t="b">
        <f>IFERROR(__xludf.DUMMYFUNCTION("""COMPUTED_VALUE"""),TRUE)</f>
        <v>1</v>
      </c>
      <c r="I278" s="10"/>
    </row>
    <row r="279">
      <c r="A279" s="10"/>
      <c r="B279" s="10" t="str">
        <f>IFERROR(__xludf.DUMMYFUNCTION("""COMPUTED_VALUE"""),"Sangue de Dragão ")</f>
        <v>Sangue de Dragão </v>
      </c>
      <c r="C279" s="11" t="str">
        <f>IFERROR(__xludf.DUMMYFUNCTION("""COMPUTED_VALUE"""),"Poção")</f>
        <v>Poção</v>
      </c>
      <c r="D279" s="12">
        <f>IFERROR(__xludf.DUMMYFUNCTION("""COMPUTED_VALUE"""),34.0)</f>
        <v>34</v>
      </c>
      <c r="E279" s="12" t="str">
        <f>IFERROR(__xludf.DUMMYFUNCTION("""COMPUTED_VALUE"""),"Ganancioso 1")</f>
        <v>Ganancioso 1</v>
      </c>
      <c r="F279" s="11" t="str">
        <f>IFERROR(__xludf.DUMMYFUNCTION("""COMPUTED_VALUE"""),"Épico")</f>
        <v>Épico</v>
      </c>
      <c r="G279" s="12" t="str">
        <f>IFERROR(__xludf.DUMMYFUNCTION("""COMPUTED_VALUE"""),"Encontra mais 50% de ouro durante as missões")</f>
        <v>Encontra mais 50% de ouro durante as missões</v>
      </c>
      <c r="H279" s="9" t="b">
        <f>IFERROR(__xludf.DUMMYFUNCTION("""COMPUTED_VALUE"""),TRUE)</f>
        <v>1</v>
      </c>
      <c r="I279" s="10"/>
    </row>
    <row r="280">
      <c r="A280" s="10"/>
      <c r="B280" s="10" t="str">
        <f>IFERROR(__xludf.DUMMYFUNCTION("""COMPUTED_VALUE"""),"Megalixir ")</f>
        <v>Megalixir </v>
      </c>
      <c r="C280" s="11" t="str">
        <f>IFERROR(__xludf.DUMMYFUNCTION("""COMPUTED_VALUE"""),"Poção")</f>
        <v>Poção</v>
      </c>
      <c r="D280" s="12">
        <f>IFERROR(__xludf.DUMMYFUNCTION("""COMPUTED_VALUE"""),36.0)</f>
        <v>36</v>
      </c>
      <c r="E280" s="12" t="str">
        <f>IFERROR(__xludf.DUMMYFUNCTION("""COMPUTED_VALUE"""),"Energético 1")</f>
        <v>Energético 1</v>
      </c>
      <c r="F280" s="11" t="str">
        <f>IFERROR(__xludf.DUMMYFUNCTION("""COMPUTED_VALUE"""),"Lendário")</f>
        <v>Lendário</v>
      </c>
      <c r="G280" s="12" t="str">
        <f>IFERROR(__xludf.DUMMYFUNCTION("""COMPUTED_VALUE"""),"Reduz o tempo de espera depois da missão em 50%")</f>
        <v>Reduz o tempo de espera depois da missão em 50%</v>
      </c>
      <c r="H280" s="9" t="b">
        <f>IFERROR(__xludf.DUMMYFUNCTION("""COMPUTED_VALUE"""),TRUE)</f>
        <v>1</v>
      </c>
      <c r="I280" s="10"/>
    </row>
    <row r="281">
      <c r="A281" s="10"/>
      <c r="B281" s="10" t="str">
        <f>IFERROR(__xludf.DUMMYFUNCTION("""COMPUTED_VALUE"""),"Elixir of Immortality")</f>
        <v>Elixir of Immortality</v>
      </c>
      <c r="C281" s="11" t="str">
        <f>IFERROR(__xludf.DUMMYFUNCTION("""COMPUTED_VALUE"""),"Poção")</f>
        <v>Poção</v>
      </c>
      <c r="D281" s="12">
        <f>IFERROR(__xludf.DUMMYFUNCTION("""COMPUTED_VALUE"""),38.0)</f>
        <v>38</v>
      </c>
      <c r="E281" s="12" t="str">
        <f>IFERROR(__xludf.DUMMYFUNCTION("""COMPUTED_VALUE"""),"Velocista 2")</f>
        <v>Velocista 2</v>
      </c>
      <c r="F281" s="11" t="str">
        <f>IFERROR(__xludf.DUMMYFUNCTION("""COMPUTED_VALUE"""),"Mítico")</f>
        <v>Mítico</v>
      </c>
      <c r="G281" s="12" t="str">
        <f>IFERROR(__xludf.DUMMYFUNCTION("""COMPUTED_VALUE"""),"Reduz a duração da missão em 25%")</f>
        <v>Reduz a duração da missão em 25%</v>
      </c>
      <c r="H281" s="9" t="b">
        <f>IFERROR(__xludf.DUMMYFUNCTION("""COMPUTED_VALUE"""),TRUE)</f>
        <v>1</v>
      </c>
      <c r="I281" s="10"/>
    </row>
    <row r="282">
      <c r="A282" s="10"/>
      <c r="B282" s="10" t="str">
        <f>IFERROR(__xludf.DUMMYFUNCTION("""COMPUTED_VALUE"""),"Essência de Deus")</f>
        <v>Essência de Deus</v>
      </c>
      <c r="C282" s="11" t="str">
        <f>IFERROR(__xludf.DUMMYFUNCTION("""COMPUTED_VALUE"""),"Poção")</f>
        <v>Poção</v>
      </c>
      <c r="D282" s="12">
        <f>IFERROR(__xludf.DUMMYFUNCTION("""COMPUTED_VALUE"""),39.0)</f>
        <v>39</v>
      </c>
      <c r="E282" s="12" t="str">
        <f>IFERROR(__xludf.DUMMYFUNCTION("""COMPUTED_VALUE"""),"Reviver 1")</f>
        <v>Reviver 1</v>
      </c>
      <c r="F282" s="11" t="str">
        <f>IFERROR(__xludf.DUMMYFUNCTION("""COMPUTED_VALUE"""),"Lendário")</f>
        <v>Lendário</v>
      </c>
      <c r="G282" s="12" t="str">
        <f>IFERROR(__xludf.DUMMYFUNCTION("""COMPUTED_VALUE"""),"Revive um companheiro derrotado 5% das vezes")</f>
        <v>Revive um companheiro derrotado 5% das vezes</v>
      </c>
      <c r="H282" s="9" t="b">
        <f>IFERROR(__xludf.DUMMYFUNCTION("""COMPUTED_VALUE"""),TRUE)</f>
        <v>1</v>
      </c>
      <c r="I282" s="10"/>
    </row>
    <row r="283">
      <c r="A283" s="10"/>
      <c r="B283" s="10" t="str">
        <f>IFERROR(__xludf.DUMMYFUNCTION("""COMPUTED_VALUE"""),"Poção de Obsidiana")</f>
        <v>Poção de Obsidiana</v>
      </c>
      <c r="C283" s="11" t="str">
        <f>IFERROR(__xludf.DUMMYFUNCTION("""COMPUTED_VALUE"""),"Poção")</f>
        <v>Poção</v>
      </c>
      <c r="D283" s="12">
        <f>IFERROR(__xludf.DUMMYFUNCTION("""COMPUTED_VALUE"""),47.0)</f>
        <v>47</v>
      </c>
      <c r="E283" s="12" t="str">
        <f>IFERROR(__xludf.DUMMYFUNCTION("""COMPUTED_VALUE"""),"Aura de proteção")</f>
        <v>Aura de proteção</v>
      </c>
      <c r="F283" s="11" t="str">
        <f>IFERROR(__xludf.DUMMYFUNCTION("""COMPUTED_VALUE"""),"Lendário")</f>
        <v>Lendário</v>
      </c>
      <c r="G283" s="12" t="str">
        <f>IFERROR(__xludf.DUMMYFUNCTION("""COMPUTED_VALUE"""),"Aumenta a taxa de sobrevivência do grupo em 8%")</f>
        <v>Aumenta a taxa de sobrevivência do grupo em 8%</v>
      </c>
      <c r="H283" s="9" t="b">
        <f>IFERROR(__xludf.DUMMYFUNCTION("""COMPUTED_VALUE"""),TRUE)</f>
        <v>1</v>
      </c>
      <c r="I283" s="10"/>
    </row>
    <row r="284">
      <c r="A284" s="10"/>
      <c r="B284" s="10" t="str">
        <f>IFERROR(__xludf.DUMMYFUNCTION("""COMPUTED_VALUE"""),"Pirate's Brew")</f>
        <v>Pirate's Brew</v>
      </c>
      <c r="C284" s="11" t="str">
        <f>IFERROR(__xludf.DUMMYFUNCTION("""COMPUTED_VALUE"""),"Poção")</f>
        <v>Poção</v>
      </c>
      <c r="D284" s="12">
        <f>IFERROR(__xludf.DUMMYFUNCTION("""COMPUTED_VALUE"""),48.0)</f>
        <v>48</v>
      </c>
      <c r="E284" s="12" t="str">
        <f>IFERROR(__xludf.DUMMYFUNCTION("""COMPUTED_VALUE"""),"Comandante 3")</f>
        <v>Comandante 3</v>
      </c>
      <c r="F284" s="11" t="str">
        <f>IFERROR(__xludf.DUMMYFUNCTION("""COMPUTED_VALUE"""),"Lendário")</f>
        <v>Lendário</v>
      </c>
      <c r="G284" s="12" t="str">
        <f>IFERROR(__xludf.DUMMYFUNCTION("""COMPUTED_VALUE"""),"Aumenta a força dos guerreiros do grupo em 50%")</f>
        <v>Aumenta a força dos guerreiros do grupo em 50%</v>
      </c>
      <c r="H284" s="9" t="b">
        <f>IFERROR(__xludf.DUMMYFUNCTION("""COMPUTED_VALUE"""),TRUE)</f>
        <v>1</v>
      </c>
      <c r="I284" s="10"/>
    </row>
    <row r="285">
      <c r="A285" s="10"/>
      <c r="B285" s="10" t="str">
        <f>IFERROR(__xludf.DUMMYFUNCTION("""COMPUTED_VALUE"""),"Poção Fogo de Dragão")</f>
        <v>Poção Fogo de Dragão</v>
      </c>
      <c r="C285" s="11" t="str">
        <f>IFERROR(__xludf.DUMMYFUNCTION("""COMPUTED_VALUE"""),"Poção")</f>
        <v>Poção</v>
      </c>
      <c r="D285" s="12">
        <f>IFERROR(__xludf.DUMMYFUNCTION("""COMPUTED_VALUE"""),49.0)</f>
        <v>49</v>
      </c>
      <c r="E285" s="12" t="str">
        <f>IFERROR(__xludf.DUMMYFUNCTION("""COMPUTED_VALUE"""),"Encontrar mágica")</f>
        <v>Encontrar mágica</v>
      </c>
      <c r="F285" s="11" t="str">
        <f>IFERROR(__xludf.DUMMYFUNCTION("""COMPUTED_VALUE"""),"Mítico")</f>
        <v>Mítico</v>
      </c>
      <c r="G285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85" s="9" t="b">
        <f>IFERROR(__xludf.DUMMYFUNCTION("""COMPUTED_VALUE"""),TRUE)</f>
        <v>1</v>
      </c>
      <c r="I285" s="10"/>
    </row>
    <row r="286">
      <c r="A286" s="10"/>
      <c r="B286" s="10" t="str">
        <f>IFERROR(__xludf.DUMMYFUNCTION("""COMPUTED_VALUE"""),"Gaia's Essence")</f>
        <v>Gaia's Essence</v>
      </c>
      <c r="C286" s="11" t="str">
        <f>IFERROR(__xludf.DUMMYFUNCTION("""COMPUTED_VALUE"""),"Poção")</f>
        <v>Poção</v>
      </c>
      <c r="D286" s="12">
        <f>IFERROR(__xludf.DUMMYFUNCTION("""COMPUTED_VALUE"""),50.0)</f>
        <v>50</v>
      </c>
      <c r="E286" s="12" t="str">
        <f>IFERROR(__xludf.DUMMYFUNCTION("""COMPUTED_VALUE"""),"Curandeiro 2")</f>
        <v>Curandeiro 2</v>
      </c>
      <c r="F286" s="11" t="str">
        <f>IFERROR(__xludf.DUMMYFUNCTION("""COMPUTED_VALUE"""),"Mítico")</f>
        <v>Mítico</v>
      </c>
      <c r="G286" s="12" t="str">
        <f>IFERROR(__xludf.DUMMYFUNCTION("""COMPUTED_VALUE"""),"Reduz o tempo de cura de companheiros em 25%")</f>
        <v>Reduz o tempo de cura de companheiros em 25%</v>
      </c>
      <c r="H286" s="9" t="b">
        <f>IFERROR(__xludf.DUMMYFUNCTION("""COMPUTED_VALUE"""),TRUE)</f>
        <v>1</v>
      </c>
      <c r="I286" s="10"/>
    </row>
    <row r="287">
      <c r="A287" s="10"/>
      <c r="B287" s="10" t="str">
        <f>IFERROR(__xludf.DUMMYFUNCTION("""COMPUTED_VALUE"""),"Unholy Potion")</f>
        <v>Unholy Potion</v>
      </c>
      <c r="C287" s="11" t="str">
        <f>IFERROR(__xludf.DUMMYFUNCTION("""COMPUTED_VALUE"""),"Poção")</f>
        <v>Poção</v>
      </c>
      <c r="D287" s="12">
        <f>IFERROR(__xludf.DUMMYFUNCTION("""COMPUTED_VALUE"""),55.0)</f>
        <v>55</v>
      </c>
      <c r="E287" s="12" t="str">
        <f>IFERROR(__xludf.DUMMYFUNCTION("""COMPUTED_VALUE"""),"Fornecedor 3")</f>
        <v>Fornecedor 3</v>
      </c>
      <c r="F287" s="11" t="str">
        <f>IFERROR(__xludf.DUMMYFUNCTION("""COMPUTED_VALUE"""),"Mítico")</f>
        <v>Mítico</v>
      </c>
      <c r="G287" s="12" t="str">
        <f>IFERROR(__xludf.DUMMYFUNCTION("""COMPUTED_VALUE"""),"Reduz a chance de companheiros quebrarem o equipamento em 15%")</f>
        <v>Reduz a chance de companheiros quebrarem o equipamento em 15%</v>
      </c>
      <c r="H287" s="9" t="b">
        <f>IFERROR(__xludf.DUMMYFUNCTION("""COMPUTED_VALUE"""),TRUE)</f>
        <v>1</v>
      </c>
      <c r="I287" s="10"/>
    </row>
    <row r="288">
      <c r="A288" s="10"/>
      <c r="B288" s="10" t="str">
        <f>IFERROR(__xludf.DUMMYFUNCTION("""COMPUTED_VALUE"""),"Agulhas Envenenadas")</f>
        <v>Agulhas Envenenadas</v>
      </c>
      <c r="C288" s="11" t="str">
        <f>IFERROR(__xludf.DUMMYFUNCTION("""COMPUTED_VALUE"""),"Projétil")</f>
        <v>Projétil</v>
      </c>
      <c r="D288" s="12">
        <f>IFERROR(__xludf.DUMMYFUNCTION("""COMPUTED_VALUE"""),10.0)</f>
        <v>10</v>
      </c>
      <c r="E288" s="12" t="str">
        <f>IFERROR(__xludf.DUMMYFUNCTION("""COMPUTED_VALUE"""),"Emboscada")</f>
        <v>Emboscada</v>
      </c>
      <c r="F288" s="11" t="str">
        <f>IFERROR(__xludf.DUMMYFUNCTION("""COMPUTED_VALUE"""),"Mítico")</f>
        <v>Mítico</v>
      </c>
      <c r="G288" s="12" t="str">
        <f>IFERROR(__xludf.DUMMYFUNCTION("""COMPUTED_VALUE"""),"Aumenta a força 25% das vezes")</f>
        <v>Aumenta a força 25% das vezes</v>
      </c>
      <c r="H288" s="9" t="b">
        <f>IFERROR(__xludf.DUMMYFUNCTION("""COMPUTED_VALUE"""),TRUE)</f>
        <v>1</v>
      </c>
      <c r="I288" s="10"/>
    </row>
    <row r="289">
      <c r="A289" s="10"/>
      <c r="B289" s="10" t="str">
        <f>IFERROR(__xludf.DUMMYFUNCTION("""COMPUTED_VALUE"""),"Bomba Tóxica")</f>
        <v>Bomba Tóxica</v>
      </c>
      <c r="C289" s="11" t="str">
        <f>IFERROR(__xludf.DUMMYFUNCTION("""COMPUTED_VALUE"""),"Projétil")</f>
        <v>Projétil</v>
      </c>
      <c r="D289" s="12">
        <f>IFERROR(__xludf.DUMMYFUNCTION("""COMPUTED_VALUE"""),12.0)</f>
        <v>12</v>
      </c>
      <c r="E289" s="12" t="str">
        <f>IFERROR(__xludf.DUMMYFUNCTION("""COMPUTED_VALUE"""),"Gangster 1")</f>
        <v>Gangster 1</v>
      </c>
      <c r="F289" s="11" t="str">
        <f>IFERROR(__xludf.DUMMYFUNCTION("""COMPUTED_VALUE"""),"Impecável")</f>
        <v>Impecável</v>
      </c>
      <c r="G289" s="12" t="str">
        <f>IFERROR(__xludf.DUMMYFUNCTION("""COMPUTED_VALUE"""),"Aumenta a força do equipamento em 10%")</f>
        <v>Aumenta a força do equipamento em 10%</v>
      </c>
      <c r="H289" s="9" t="b">
        <f>IFERROR(__xludf.DUMMYFUNCTION("""COMPUTED_VALUE"""),TRUE)</f>
        <v>1</v>
      </c>
      <c r="I289" s="10"/>
    </row>
    <row r="290">
      <c r="A290" s="10"/>
      <c r="B290" s="10" t="str">
        <f>IFERROR(__xludf.DUMMYFUNCTION("""COMPUTED_VALUE"""),"Shuriken Mágico")</f>
        <v>Shuriken Mágico</v>
      </c>
      <c r="C290" s="11" t="str">
        <f>IFERROR(__xludf.DUMMYFUNCTION("""COMPUTED_VALUE"""),"Projétil")</f>
        <v>Projétil</v>
      </c>
      <c r="D290" s="12">
        <f>IFERROR(__xludf.DUMMYFUNCTION("""COMPUTED_VALUE"""),24.0)</f>
        <v>24</v>
      </c>
      <c r="E290" s="12" t="str">
        <f>IFERROR(__xludf.DUMMYFUNCTION("""COMPUTED_VALUE"""),"Defesa")</f>
        <v>Defesa</v>
      </c>
      <c r="F290" s="11" t="str">
        <f>IFERROR(__xludf.DUMMYFUNCTION("""COMPUTED_VALUE"""),"Épico")</f>
        <v>Épico</v>
      </c>
      <c r="G290" s="12" t="str">
        <f>IFERROR(__xludf.DUMMYFUNCTION("""COMPUTED_VALUE"""),"Aumenta a defesa do equipamento em 10%")</f>
        <v>Aumenta a defesa do equipamento em 10%</v>
      </c>
      <c r="H290" s="9" t="b">
        <f>IFERROR(__xludf.DUMMYFUNCTION("""COMPUTED_VALUE"""),TRUE)</f>
        <v>1</v>
      </c>
      <c r="I290" s="10"/>
    </row>
    <row r="291">
      <c r="A291" s="10"/>
      <c r="B291" s="10" t="str">
        <f>IFERROR(__xludf.DUMMYFUNCTION("""COMPUTED_VALUE"""),"Milho Arco-íris")</f>
        <v>Milho Arco-íris</v>
      </c>
      <c r="C291" s="11" t="str">
        <f>IFERROR(__xludf.DUMMYFUNCTION("""COMPUTED_VALUE"""),"Projétil")</f>
        <v>Projétil</v>
      </c>
      <c r="D291" s="12">
        <f>IFERROR(__xludf.DUMMYFUNCTION("""COMPUTED_VALUE"""),25.0)</f>
        <v>25</v>
      </c>
      <c r="E291" s="12" t="str">
        <f>IFERROR(__xludf.DUMMYFUNCTION("""COMPUTED_VALUE"""),"Velocista 2")</f>
        <v>Velocista 2</v>
      </c>
      <c r="F291" s="11" t="str">
        <f>IFERROR(__xludf.DUMMYFUNCTION("""COMPUTED_VALUE"""),"Lendário")</f>
        <v>Lendário</v>
      </c>
      <c r="G291" s="12" t="str">
        <f>IFERROR(__xludf.DUMMYFUNCTION("""COMPUTED_VALUE"""),"Reduz a duração da missão em 25%")</f>
        <v>Reduz a duração da missão em 25%</v>
      </c>
      <c r="H291" s="9" t="b">
        <f>IFERROR(__xludf.DUMMYFUNCTION("""COMPUTED_VALUE"""),TRUE)</f>
        <v>1</v>
      </c>
      <c r="I291" s="10"/>
    </row>
    <row r="292">
      <c r="A292" s="10"/>
      <c r="B292" s="10" t="str">
        <f>IFERROR(__xludf.DUMMYFUNCTION("""COMPUTED_VALUE"""),"Chakran Cantante")</f>
        <v>Chakran Cantante</v>
      </c>
      <c r="C292" s="11" t="str">
        <f>IFERROR(__xludf.DUMMYFUNCTION("""COMPUTED_VALUE"""),"Projétil")</f>
        <v>Projétil</v>
      </c>
      <c r="D292" s="12">
        <f>IFERROR(__xludf.DUMMYFUNCTION("""COMPUTED_VALUE"""),26.0)</f>
        <v>26</v>
      </c>
      <c r="E292" s="12" t="str">
        <f>IFERROR(__xludf.DUMMYFUNCTION("""COMPUTED_VALUE"""),"Curandeiro 1")</f>
        <v>Curandeiro 1</v>
      </c>
      <c r="F292" s="11" t="str">
        <f>IFERROR(__xludf.DUMMYFUNCTION("""COMPUTED_VALUE"""),"Impecável")</f>
        <v>Impecável</v>
      </c>
      <c r="G292" s="12" t="str">
        <f>IFERROR(__xludf.DUMMYFUNCTION("""COMPUTED_VALUE"""),"Reduz o tempo de cura de companheiros em 10%")</f>
        <v>Reduz o tempo de cura de companheiros em 10%</v>
      </c>
      <c r="H292" s="9" t="b">
        <f>IFERROR(__xludf.DUMMYFUNCTION("""COMPUTED_VALUE"""),TRUE)</f>
        <v>1</v>
      </c>
      <c r="I292" s="10"/>
    </row>
    <row r="293">
      <c r="A293" s="10"/>
      <c r="B293" s="10" t="str">
        <f>IFERROR(__xludf.DUMMYFUNCTION("""COMPUTED_VALUE"""),"Dardos Explosivos")</f>
        <v>Dardos Explosivos</v>
      </c>
      <c r="C293" s="11" t="str">
        <f>IFERROR(__xludf.DUMMYFUNCTION("""COMPUTED_VALUE"""),"Projétil")</f>
        <v>Projétil</v>
      </c>
      <c r="D293" s="12">
        <f>IFERROR(__xludf.DUMMYFUNCTION("""COMPUTED_VALUE"""),35.0)</f>
        <v>35</v>
      </c>
      <c r="E293" s="12" t="str">
        <f>IFERROR(__xludf.DUMMYFUNCTION("""COMPUTED_VALUE"""),"Bola de fogo")</f>
        <v>Bola de fogo</v>
      </c>
      <c r="F293" s="11" t="str">
        <f>IFERROR(__xludf.DUMMYFUNCTION("""COMPUTED_VALUE"""),"Lendário")</f>
        <v>Lendário</v>
      </c>
      <c r="G293" s="12" t="str">
        <f>IFERROR(__xludf.DUMMYFUNCTION("""COMPUTED_VALUE"""),"Aumenta a força em 25%")</f>
        <v>Aumenta a força em 25%</v>
      </c>
      <c r="H293" s="9" t="b">
        <f>IFERROR(__xludf.DUMMYFUNCTION("""COMPUTED_VALUE"""),TRUE)</f>
        <v>1</v>
      </c>
      <c r="I293" s="10"/>
    </row>
    <row r="294">
      <c r="A294" s="10"/>
      <c r="B294" s="10" t="str">
        <f>IFERROR(__xludf.DUMMYFUNCTION("""COMPUTED_VALUE"""),"Fura-Coração")</f>
        <v>Fura-Coração</v>
      </c>
      <c r="C294" s="11" t="str">
        <f>IFERROR(__xludf.DUMMYFUNCTION("""COMPUTED_VALUE"""),"Projétil")</f>
        <v>Projétil</v>
      </c>
      <c r="D294" s="12">
        <f>IFERROR(__xludf.DUMMYFUNCTION("""COMPUTED_VALUE"""),36.0)</f>
        <v>36</v>
      </c>
      <c r="E294" s="12" t="str">
        <f>IFERROR(__xludf.DUMMYFUNCTION("""COMPUTED_VALUE"""),"Gangster 1")</f>
        <v>Gangster 1</v>
      </c>
      <c r="F294" s="11" t="str">
        <f>IFERROR(__xludf.DUMMYFUNCTION("""COMPUTED_VALUE"""),"Épico")</f>
        <v>Épico</v>
      </c>
      <c r="G294" s="12" t="str">
        <f>IFERROR(__xludf.DUMMYFUNCTION("""COMPUTED_VALUE"""),"Aumenta a força do equipamento em 10%")</f>
        <v>Aumenta a força do equipamento em 10%</v>
      </c>
      <c r="H294" s="9" t="b">
        <f>IFERROR(__xludf.DUMMYFUNCTION("""COMPUTED_VALUE"""),TRUE)</f>
        <v>1</v>
      </c>
      <c r="I294" s="10"/>
    </row>
    <row r="295">
      <c r="A295" s="10"/>
      <c r="B295" s="10" t="str">
        <f>IFERROR(__xludf.DUMMYFUNCTION("""COMPUTED_VALUE"""),"Estrondo de trovão")</f>
        <v>Estrondo de trovão</v>
      </c>
      <c r="C295" s="11" t="str">
        <f>IFERROR(__xludf.DUMMYFUNCTION("""COMPUTED_VALUE"""),"Projétil")</f>
        <v>Projétil</v>
      </c>
      <c r="D295" s="12">
        <f>IFERROR(__xludf.DUMMYFUNCTION("""COMPUTED_VALUE"""),38.0)</f>
        <v>38</v>
      </c>
      <c r="E295" s="12" t="str">
        <f>IFERROR(__xludf.DUMMYFUNCTION("""COMPUTED_VALUE"""),"Raio elétrico")</f>
        <v>Raio elétrico</v>
      </c>
      <c r="F295" s="11" t="str">
        <f>IFERROR(__xludf.DUMMYFUNCTION("""COMPUTED_VALUE"""),"Lendário")</f>
        <v>Lendário</v>
      </c>
      <c r="G295" s="12" t="str">
        <f>IFERROR(__xludf.DUMMYFUNCTION("""COMPUTED_VALUE"""),"Aumenta a força em 50%")</f>
        <v>Aumenta a força em 50%</v>
      </c>
      <c r="H295" s="9" t="b">
        <f>IFERROR(__xludf.DUMMYFUNCTION("""COMPUTED_VALUE"""),TRUE)</f>
        <v>1</v>
      </c>
      <c r="I295" s="10"/>
    </row>
    <row r="296">
      <c r="A296" s="10"/>
      <c r="B296" s="10" t="str">
        <f>IFERROR(__xludf.DUMMYFUNCTION("""COMPUTED_VALUE"""),"Kunai de fogo-gelo")</f>
        <v>Kunai de fogo-gelo</v>
      </c>
      <c r="C296" s="11" t="str">
        <f>IFERROR(__xludf.DUMMYFUNCTION("""COMPUTED_VALUE"""),"Projétil")</f>
        <v>Projétil</v>
      </c>
      <c r="D296" s="12">
        <f>IFERROR(__xludf.DUMMYFUNCTION("""COMPUTED_VALUE"""),45.0)</f>
        <v>45</v>
      </c>
      <c r="E296" s="12" t="str">
        <f>IFERROR(__xludf.DUMMYFUNCTION("""COMPUTED_VALUE"""),"Caça-tesouros 2")</f>
        <v>Caça-tesouros 2</v>
      </c>
      <c r="F296" s="11" t="str">
        <f>IFERROR(__xludf.DUMMYFUNCTION("""COMPUTED_VALUE"""),"Lendário")</f>
        <v>Lendário</v>
      </c>
      <c r="G296" s="12" t="str">
        <f>IFERROR(__xludf.DUMMYFUNCTION("""COMPUTED_VALUE"""),"Aumenta o número máximo de artefatos e itens de raid encontrados em +4")</f>
        <v>Aumenta o número máximo de artefatos e itens de raid encontrados em +4</v>
      </c>
      <c r="H296" s="9" t="b">
        <f>IFERROR(__xludf.DUMMYFUNCTION("""COMPUTED_VALUE"""),TRUE)</f>
        <v>1</v>
      </c>
      <c r="I296" s="10"/>
    </row>
    <row r="297">
      <c r="A297" s="10"/>
      <c r="B297" s="10" t="str">
        <f>IFERROR(__xludf.DUMMYFUNCTION("""COMPUTED_VALUE"""),"Eggsplosives")</f>
        <v>Eggsplosives</v>
      </c>
      <c r="C297" s="11" t="str">
        <f>IFERROR(__xludf.DUMMYFUNCTION("""COMPUTED_VALUE"""),"Projétil")</f>
        <v>Projétil</v>
      </c>
      <c r="D297" s="12">
        <f>IFERROR(__xludf.DUMMYFUNCTION("""COMPUTED_VALUE"""),48.0)</f>
        <v>48</v>
      </c>
      <c r="E297" s="12" t="str">
        <f>IFERROR(__xludf.DUMMYFUNCTION("""COMPUTED_VALUE"""),"Encontrar mágica")</f>
        <v>Encontrar mágica</v>
      </c>
      <c r="F297" s="11" t="str">
        <f>IFERROR(__xludf.DUMMYFUNCTION("""COMPUTED_VALUE"""),"Mítico")</f>
        <v>Mítico</v>
      </c>
      <c r="G297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297" s="9" t="b">
        <f>IFERROR(__xludf.DUMMYFUNCTION("""COMPUTED_VALUE"""),TRUE)</f>
        <v>1</v>
      </c>
      <c r="I297" s="10"/>
    </row>
    <row r="298">
      <c r="A298" s="10"/>
      <c r="B298" s="10" t="str">
        <f>IFERROR(__xludf.DUMMYFUNCTION("""COMPUTED_VALUE"""),"Bomba do Inferno")</f>
        <v>Bomba do Inferno</v>
      </c>
      <c r="C298" s="11" t="str">
        <f>IFERROR(__xludf.DUMMYFUNCTION("""COMPUTED_VALUE"""),"Projétil")</f>
        <v>Projétil</v>
      </c>
      <c r="D298" s="12">
        <f>IFERROR(__xludf.DUMMYFUNCTION("""COMPUTED_VALUE"""),49.0)</f>
        <v>49</v>
      </c>
      <c r="E298" s="12" t="str">
        <f>IFERROR(__xludf.DUMMYFUNCTION("""COMPUTED_VALUE"""),"Berserker")</f>
        <v>Berserker</v>
      </c>
      <c r="F298" s="11" t="str">
        <f>IFERROR(__xludf.DUMMYFUNCTION("""COMPUTED_VALUE"""),"Mítico")</f>
        <v>Mítico</v>
      </c>
      <c r="G298" s="12" t="str">
        <f>IFERROR(__xludf.DUMMYFUNCTION("""COMPUTED_VALUE"""),"Aumenta a força em 35%")</f>
        <v>Aumenta a força em 35%</v>
      </c>
      <c r="H298" s="9" t="b">
        <f>IFERROR(__xludf.DUMMYFUNCTION("""COMPUTED_VALUE"""),TRUE)</f>
        <v>1</v>
      </c>
      <c r="I298" s="10"/>
    </row>
    <row r="299">
      <c r="A299" s="10"/>
      <c r="B299" s="10" t="str">
        <f>IFERROR(__xludf.DUMMYFUNCTION("""COMPUTED_VALUE"""),"Flying Guillotine")</f>
        <v>Flying Guillotine</v>
      </c>
      <c r="C299" s="11" t="str">
        <f>IFERROR(__xludf.DUMMYFUNCTION("""COMPUTED_VALUE"""),"Projétil")</f>
        <v>Projétil</v>
      </c>
      <c r="D299" s="12">
        <f>IFERROR(__xludf.DUMMYFUNCTION("""COMPUTED_VALUE"""),53.0)</f>
        <v>53</v>
      </c>
      <c r="E299" s="12" t="str">
        <f>IFERROR(__xludf.DUMMYFUNCTION("""COMPUTED_VALUE"""),"Gangster 3")</f>
        <v>Gangster 3</v>
      </c>
      <c r="F299" s="11" t="str">
        <f>IFERROR(__xludf.DUMMYFUNCTION("""COMPUTED_VALUE"""),"Mítico")</f>
        <v>Mítico</v>
      </c>
      <c r="G299" s="12" t="str">
        <f>IFERROR(__xludf.DUMMYFUNCTION("""COMPUTED_VALUE"""),"Aumenta a força do equipamento em 50%")</f>
        <v>Aumenta a força do equipamento em 50%</v>
      </c>
      <c r="H299" s="9" t="b">
        <f>IFERROR(__xludf.DUMMYFUNCTION("""COMPUTED_VALUE"""),TRUE)</f>
        <v>1</v>
      </c>
      <c r="I299" s="10"/>
    </row>
    <row r="300">
      <c r="A300" s="10"/>
      <c r="B300" s="10" t="str">
        <f>IFERROR(__xludf.DUMMYFUNCTION("""COMPUTED_VALUE"""),"Quicksilver")</f>
        <v>Quicksilver</v>
      </c>
      <c r="C300" s="11" t="str">
        <f>IFERROR(__xludf.DUMMYFUNCTION("""COMPUTED_VALUE"""),"Projétil")</f>
        <v>Projétil</v>
      </c>
      <c r="D300" s="12">
        <f>IFERROR(__xludf.DUMMYFUNCTION("""COMPUTED_VALUE"""),58.0)</f>
        <v>58</v>
      </c>
      <c r="E300" s="12" t="str">
        <f>IFERROR(__xludf.DUMMYFUNCTION("""COMPUTED_VALUE"""),"Curandeiro 3")</f>
        <v>Curandeiro 3</v>
      </c>
      <c r="F300" s="11" t="str">
        <f>IFERROR(__xludf.DUMMYFUNCTION("""COMPUTED_VALUE"""),"Lendário")</f>
        <v>Lendário</v>
      </c>
      <c r="G300" s="12" t="str">
        <f>IFERROR(__xludf.DUMMYFUNCTION("""COMPUTED_VALUE"""),"Reduz o tempo de cura de companheiros em 50%")</f>
        <v>Reduz o tempo de cura de companheiros em 50%</v>
      </c>
      <c r="H300" s="9" t="b">
        <f>IFERROR(__xludf.DUMMYFUNCTION("""COMPUTED_VALUE"""),TRUE)</f>
        <v>1</v>
      </c>
      <c r="I300" s="10"/>
    </row>
    <row r="301">
      <c r="A301" s="10"/>
      <c r="B301" s="10" t="str">
        <f>IFERROR(__xludf.DUMMYFUNCTION("""COMPUTED_VALUE"""),"Bota dos Elfos")</f>
        <v>Bota dos Elfos</v>
      </c>
      <c r="C301" s="11" t="str">
        <f>IFERROR(__xludf.DUMMYFUNCTION("""COMPUTED_VALUE"""),"Sapatos")</f>
        <v>Sapatos</v>
      </c>
      <c r="D301" s="12">
        <f>IFERROR(__xludf.DUMMYFUNCTION("""COMPUTED_VALUE"""),8.0)</f>
        <v>8</v>
      </c>
      <c r="E301" s="12" t="str">
        <f>IFERROR(__xludf.DUMMYFUNCTION("""COMPUTED_VALUE"""),"Sábio 1")</f>
        <v>Sábio 1</v>
      </c>
      <c r="F301" s="11" t="str">
        <f>IFERROR(__xludf.DUMMYFUNCTION("""COMPUTED_VALUE"""),"Impecável")</f>
        <v>Impecável</v>
      </c>
      <c r="G301" s="12" t="str">
        <f>IFERROR(__xludf.DUMMYFUNCTION("""COMPUTED_VALUE"""),"25% de bônus de experiência")</f>
        <v>25% de bônus de experiência</v>
      </c>
      <c r="H301" s="9" t="b">
        <f>IFERROR(__xludf.DUMMYFUNCTION("""COMPUTED_VALUE"""),TRUE)</f>
        <v>1</v>
      </c>
      <c r="I301" s="10"/>
    </row>
    <row r="302">
      <c r="A302" s="10"/>
      <c r="B302" s="10" t="str">
        <f>IFERROR(__xludf.DUMMYFUNCTION("""COMPUTED_VALUE"""),"Calçado Lunar ")</f>
        <v>Calçado Lunar </v>
      </c>
      <c r="C302" s="11" t="str">
        <f>IFERROR(__xludf.DUMMYFUNCTION("""COMPUTED_VALUE"""),"Sapatos")</f>
        <v>Sapatos</v>
      </c>
      <c r="D302" s="12">
        <f>IFERROR(__xludf.DUMMYFUNCTION("""COMPUTED_VALUE"""),15.0)</f>
        <v>15</v>
      </c>
      <c r="E302" s="12" t="str">
        <f>IFERROR(__xludf.DUMMYFUNCTION("""COMPUTED_VALUE"""),"Energético 1")</f>
        <v>Energético 1</v>
      </c>
      <c r="F302" s="11" t="str">
        <f>IFERROR(__xludf.DUMMYFUNCTION("""COMPUTED_VALUE"""),"Impecável")</f>
        <v>Impecável</v>
      </c>
      <c r="G302" s="12" t="str">
        <f>IFERROR(__xludf.DUMMYFUNCTION("""COMPUTED_VALUE"""),"Reduz o tempo de espera depois da missão em 50%")</f>
        <v>Reduz o tempo de espera depois da missão em 50%</v>
      </c>
      <c r="H302" s="9" t="b">
        <f>IFERROR(__xludf.DUMMYFUNCTION("""COMPUTED_VALUE"""),TRUE)</f>
        <v>1</v>
      </c>
      <c r="I302" s="10"/>
    </row>
    <row r="303">
      <c r="A303" s="10"/>
      <c r="B303" s="10" t="str">
        <f>IFERROR(__xludf.DUMMYFUNCTION("""COMPUTED_VALUE"""),"Meh-ticulosamente Feito")</f>
        <v>Meh-ticulosamente Feito</v>
      </c>
      <c r="C303" s="11" t="str">
        <f>IFERROR(__xludf.DUMMYFUNCTION("""COMPUTED_VALUE"""),"Sapatos")</f>
        <v>Sapatos</v>
      </c>
      <c r="D303" s="12">
        <f>IFERROR(__xludf.DUMMYFUNCTION("""COMPUTED_VALUE"""),15.0)</f>
        <v>15</v>
      </c>
      <c r="E303" s="12" t="str">
        <f>IFERROR(__xludf.DUMMYFUNCTION("""COMPUTED_VALUE"""),"Detectar segredo")</f>
        <v>Detectar segredo</v>
      </c>
      <c r="F303" s="11" t="str">
        <f>IFERROR(__xludf.DUMMYFUNCTION("""COMPUTED_VALUE"""),"Mítico")</f>
        <v>Mítico</v>
      </c>
      <c r="G303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303" s="9" t="b">
        <f>IFERROR(__xludf.DUMMYFUNCTION("""COMPUTED_VALUE"""),TRUE)</f>
        <v>1</v>
      </c>
      <c r="I303" s="10"/>
    </row>
    <row r="304">
      <c r="A304" s="10"/>
      <c r="B304" s="10" t="str">
        <f>IFERROR(__xludf.DUMMYFUNCTION("""COMPUTED_VALUE"""),"Sandálias de Asas ")</f>
        <v>Sandálias de Asas </v>
      </c>
      <c r="C304" s="11" t="str">
        <f>IFERROR(__xludf.DUMMYFUNCTION("""COMPUTED_VALUE"""),"Sapatos")</f>
        <v>Sapatos</v>
      </c>
      <c r="D304" s="12">
        <f>IFERROR(__xludf.DUMMYFUNCTION("""COMPUTED_VALUE"""),22.0)</f>
        <v>22</v>
      </c>
      <c r="E304" s="12" t="str">
        <f>IFERROR(__xludf.DUMMYFUNCTION("""COMPUTED_VALUE"""),"Suporte 1")</f>
        <v>Suporte 1</v>
      </c>
      <c r="F304" s="11" t="str">
        <f>IFERROR(__xludf.DUMMYFUNCTION("""COMPUTED_VALUE"""),"Épico")</f>
        <v>Épico</v>
      </c>
      <c r="G304" s="12" t="str">
        <f>IFERROR(__xludf.DUMMYFUNCTION("""COMPUTED_VALUE"""),"Impede que o equipamento de um companheiro se quebre 1 vez")</f>
        <v>Impede que o equipamento de um companheiro se quebre 1 vez</v>
      </c>
      <c r="H304" s="9" t="b">
        <f>IFERROR(__xludf.DUMMYFUNCTION("""COMPUTED_VALUE"""),TRUE)</f>
        <v>1</v>
      </c>
      <c r="I304" s="10"/>
    </row>
    <row r="305">
      <c r="A305" s="10"/>
      <c r="B305" s="10" t="str">
        <f>IFERROR(__xludf.DUMMYFUNCTION("""COMPUTED_VALUE"""),"Encontra-Caminho")</f>
        <v>Encontra-Caminho</v>
      </c>
      <c r="C305" s="11" t="str">
        <f>IFERROR(__xludf.DUMMYFUNCTION("""COMPUTED_VALUE"""),"Sapatos")</f>
        <v>Sapatos</v>
      </c>
      <c r="D305" s="12">
        <f>IFERROR(__xludf.DUMMYFUNCTION("""COMPUTED_VALUE"""),29.0)</f>
        <v>29</v>
      </c>
      <c r="E305" s="12" t="str">
        <f>IFERROR(__xludf.DUMMYFUNCTION("""COMPUTED_VALUE"""),"Resistente 1")</f>
        <v>Resistente 1</v>
      </c>
      <c r="F305" s="11" t="str">
        <f>IFERROR(__xludf.DUMMYFUNCTION("""COMPUTED_VALUE"""),"Épico")</f>
        <v>Épico</v>
      </c>
      <c r="G305" s="12" t="str">
        <f>IFERROR(__xludf.DUMMYFUNCTION("""COMPUTED_VALUE"""),"Obtém pelo menos 25% de experiência quando ferido e a missão é bem sucedida")</f>
        <v>Obtém pelo menos 25% de experiência quando ferido e a missão é bem sucedida</v>
      </c>
      <c r="H305" s="9" t="b">
        <f>IFERROR(__xludf.DUMMYFUNCTION("""COMPUTED_VALUE"""),TRUE)</f>
        <v>1</v>
      </c>
      <c r="I305" s="10"/>
    </row>
    <row r="306">
      <c r="A306" s="10"/>
      <c r="B306" s="10" t="str">
        <f>IFERROR(__xludf.DUMMYFUNCTION("""COMPUTED_VALUE"""),"Botas piratas")</f>
        <v>Botas piratas</v>
      </c>
      <c r="C306" s="11" t="str">
        <f>IFERROR(__xludf.DUMMYFUNCTION("""COMPUTED_VALUE"""),"Sapatos")</f>
        <v>Sapatos</v>
      </c>
      <c r="D306" s="12">
        <f>IFERROR(__xludf.DUMMYFUNCTION("""COMPUTED_VALUE"""),36.0)</f>
        <v>36</v>
      </c>
      <c r="E306" s="12" t="str">
        <f>IFERROR(__xludf.DUMMYFUNCTION("""COMPUTED_VALUE"""),"Aura de proteção")</f>
        <v>Aura de proteção</v>
      </c>
      <c r="F306" s="11" t="str">
        <f>IFERROR(__xludf.DUMMYFUNCTION("""COMPUTED_VALUE"""),"Épico")</f>
        <v>Épico</v>
      </c>
      <c r="G306" s="12" t="str">
        <f>IFERROR(__xludf.DUMMYFUNCTION("""COMPUTED_VALUE"""),"Aumenta a taxa de sobrevivência do grupo em 8%")</f>
        <v>Aumenta a taxa de sobrevivência do grupo em 8%</v>
      </c>
      <c r="H306" s="9" t="b">
        <f>IFERROR(__xludf.DUMMYFUNCTION("""COMPUTED_VALUE"""),TRUE)</f>
        <v>1</v>
      </c>
      <c r="I306" s="10"/>
    </row>
    <row r="307">
      <c r="A307" s="10"/>
      <c r="B307" s="10" t="str">
        <f>IFERROR(__xludf.DUMMYFUNCTION("""COMPUTED_VALUE"""),"Anda-em-planos")</f>
        <v>Anda-em-planos</v>
      </c>
      <c r="C307" s="11" t="str">
        <f>IFERROR(__xludf.DUMMYFUNCTION("""COMPUTED_VALUE"""),"Sapatos")</f>
        <v>Sapatos</v>
      </c>
      <c r="D307" s="12">
        <f>IFERROR(__xludf.DUMMYFUNCTION("""COMPUTED_VALUE"""),38.0)</f>
        <v>38</v>
      </c>
      <c r="E307" s="12" t="str">
        <f>IFERROR(__xludf.DUMMYFUNCTION("""COMPUTED_VALUE"""),"Curandeiro 1")</f>
        <v>Curandeiro 1</v>
      </c>
      <c r="F307" s="11" t="str">
        <f>IFERROR(__xludf.DUMMYFUNCTION("""COMPUTED_VALUE"""),"Lendário")</f>
        <v>Lendário</v>
      </c>
      <c r="G307" s="12" t="str">
        <f>IFERROR(__xludf.DUMMYFUNCTION("""COMPUTED_VALUE"""),"Reduz o tempo de cura de companheiros em 10%")</f>
        <v>Reduz o tempo de cura de companheiros em 10%</v>
      </c>
      <c r="H307" s="9" t="b">
        <f>IFERROR(__xludf.DUMMYFUNCTION("""COMPUTED_VALUE"""),TRUE)</f>
        <v>1</v>
      </c>
      <c r="I307" s="10"/>
    </row>
    <row r="308">
      <c r="A308" s="10"/>
      <c r="B308" s="10" t="str">
        <f>IFERROR(__xludf.DUMMYFUNCTION("""COMPUTED_VALUE"""),"Botas dracônicas")</f>
        <v>Botas dracônicas</v>
      </c>
      <c r="C308" s="11" t="str">
        <f>IFERROR(__xludf.DUMMYFUNCTION("""COMPUTED_VALUE"""),"Sapatos")</f>
        <v>Sapatos</v>
      </c>
      <c r="D308" s="12">
        <f>IFERROR(__xludf.DUMMYFUNCTION("""COMPUTED_VALUE"""),40.0)</f>
        <v>40</v>
      </c>
      <c r="E308" s="12" t="str">
        <f>IFERROR(__xludf.DUMMYFUNCTION("""COMPUTED_VALUE"""),"Protetor 1")</f>
        <v>Protetor 1</v>
      </c>
      <c r="F308" s="11" t="str">
        <f>IFERROR(__xludf.DUMMYFUNCTION("""COMPUTED_VALUE"""),"Lendário")</f>
        <v>Lendário</v>
      </c>
      <c r="G308" s="12" t="str">
        <f>IFERROR(__xludf.DUMMYFUNCTION("""COMPUTED_VALUE"""),"Aumenta a taxa de sobrevivência do grupo em 2%")</f>
        <v>Aumenta a taxa de sobrevivência do grupo em 2%</v>
      </c>
      <c r="H308" s="9" t="b">
        <f>IFERROR(__xludf.DUMMYFUNCTION("""COMPUTED_VALUE"""),TRUE)</f>
        <v>1</v>
      </c>
      <c r="I308" s="10"/>
    </row>
    <row r="309">
      <c r="A309" s="10"/>
      <c r="B309" s="10" t="str">
        <f>IFERROR(__xludf.DUMMYFUNCTION("""COMPUTED_VALUE"""),"Sapatos do fogo-gelo")</f>
        <v>Sapatos do fogo-gelo</v>
      </c>
      <c r="C309" s="11" t="str">
        <f>IFERROR(__xludf.DUMMYFUNCTION("""COMPUTED_VALUE"""),"Sapatos")</f>
        <v>Sapatos</v>
      </c>
      <c r="D309" s="12">
        <f>IFERROR(__xludf.DUMMYFUNCTION("""COMPUTED_VALUE"""),45.0)</f>
        <v>45</v>
      </c>
      <c r="E309" s="12" t="str">
        <f>IFERROR(__xludf.DUMMYFUNCTION("""COMPUTED_VALUE"""),"Arquimago 2")</f>
        <v>Arquimago 2</v>
      </c>
      <c r="F309" s="11" t="str">
        <f>IFERROR(__xludf.DUMMYFUNCTION("""COMPUTED_VALUE"""),"Mítico")</f>
        <v>Mítico</v>
      </c>
      <c r="G309" s="12" t="str">
        <f>IFERROR(__xludf.DUMMYFUNCTION("""COMPUTED_VALUE"""),"Aumenta a força dos feiticeiros do grupo em 20%")</f>
        <v>Aumenta a força dos feiticeiros do grupo em 20%</v>
      </c>
      <c r="H309" s="9" t="b">
        <f>IFERROR(__xludf.DUMMYFUNCTION("""COMPUTED_VALUE"""),TRUE)</f>
        <v>1</v>
      </c>
      <c r="I309" s="10"/>
    </row>
    <row r="310">
      <c r="A310" s="10"/>
      <c r="B310" s="10" t="str">
        <f>IFERROR(__xludf.DUMMYFUNCTION("""COMPUTED_VALUE"""),"Marcha ardente")</f>
        <v>Marcha ardente</v>
      </c>
      <c r="C310" s="11" t="str">
        <f>IFERROR(__xludf.DUMMYFUNCTION("""COMPUTED_VALUE"""),"Sapatos")</f>
        <v>Sapatos</v>
      </c>
      <c r="D310" s="12">
        <f>IFERROR(__xludf.DUMMYFUNCTION("""COMPUTED_VALUE"""),49.0)</f>
        <v>49</v>
      </c>
      <c r="E310" s="12" t="str">
        <f>IFERROR(__xludf.DUMMYFUNCTION("""COMPUTED_VALUE"""),"Armadura do Mago")</f>
        <v>Armadura do Mago</v>
      </c>
      <c r="F310" s="11" t="str">
        <f>IFERROR(__xludf.DUMMYFUNCTION("""COMPUTED_VALUE"""),"Lendário")</f>
        <v>Lendário</v>
      </c>
      <c r="G310" s="12" t="str">
        <f>IFERROR(__xludf.DUMMYFUNCTION("""COMPUTED_VALUE"""),"Aumenta a força do equipamento em 25%")</f>
        <v>Aumenta a força do equipamento em 25%</v>
      </c>
      <c r="H310" s="9" t="b">
        <f>IFERROR(__xludf.DUMMYFUNCTION("""COMPUTED_VALUE"""),TRUE)</f>
        <v>1</v>
      </c>
      <c r="I310" s="10"/>
    </row>
    <row r="311">
      <c r="A311" s="10"/>
      <c r="B311" s="10" t="str">
        <f>IFERROR(__xludf.DUMMYFUNCTION("""COMPUTED_VALUE"""),"Ice Walkers")</f>
        <v>Ice Walkers</v>
      </c>
      <c r="C311" s="11" t="str">
        <f>IFERROR(__xludf.DUMMYFUNCTION("""COMPUTED_VALUE"""),"Sapatos")</f>
        <v>Sapatos</v>
      </c>
      <c r="D311" s="12">
        <f>IFERROR(__xludf.DUMMYFUNCTION("""COMPUTED_VALUE"""),55.0)</f>
        <v>55</v>
      </c>
      <c r="E311" s="12" t="str">
        <f>IFERROR(__xludf.DUMMYFUNCTION("""COMPUTED_VALUE"""),"Catador 1")</f>
        <v>Catador 1</v>
      </c>
      <c r="F311" s="11" t="str">
        <f>IFERROR(__xludf.DUMMYFUNCTION("""COMPUTED_VALUE"""),"Lendário")</f>
        <v>Lendário</v>
      </c>
      <c r="G311" s="12" t="str">
        <f>IFERROR(__xludf.DUMMYFUNCTION("""COMPUTED_VALUE"""),"Aumenta o número mínimo de itens e artefatos encontrados em +1")</f>
        <v>Aumenta o número mínimo de itens e artefatos encontrados em +1</v>
      </c>
      <c r="H311" s="9" t="b">
        <f>IFERROR(__xludf.DUMMYFUNCTION("""COMPUTED_VALUE"""),TRUE)</f>
        <v>1</v>
      </c>
      <c r="I311" s="10"/>
    </row>
    <row r="312">
      <c r="A312" s="10"/>
      <c r="B312" s="10" t="str">
        <f>IFERROR(__xludf.DUMMYFUNCTION("""COMPUTED_VALUE"""),"Swimming Fins")</f>
        <v>Swimming Fins</v>
      </c>
      <c r="C312" s="11" t="str">
        <f>IFERROR(__xludf.DUMMYFUNCTION("""COMPUTED_VALUE"""),"Sapatos")</f>
        <v>Sapatos</v>
      </c>
      <c r="D312" s="12">
        <f>IFERROR(__xludf.DUMMYFUNCTION("""COMPUTED_VALUE"""),56.0)</f>
        <v>56</v>
      </c>
      <c r="E312" s="12" t="str">
        <f>IFERROR(__xludf.DUMMYFUNCTION("""COMPUTED_VALUE"""),"Mestre das armas")</f>
        <v>Mestre das armas</v>
      </c>
      <c r="F312" s="11" t="str">
        <f>IFERROR(__xludf.DUMMYFUNCTION("""COMPUTED_VALUE"""),"Lendário")</f>
        <v>Lendário</v>
      </c>
      <c r="G312" s="12" t="str">
        <f>IFERROR(__xludf.DUMMYFUNCTION("""COMPUTED_VALUE"""),"Aumenta a força do equipamento em 75%")</f>
        <v>Aumenta a força do equipamento em 75%</v>
      </c>
      <c r="H312" s="9" t="b">
        <f>IFERROR(__xludf.DUMMYFUNCTION("""COMPUTED_VALUE"""),TRUE)</f>
        <v>1</v>
      </c>
      <c r="I312" s="10"/>
    </row>
    <row r="313">
      <c r="A313" s="10"/>
      <c r="B313" s="10" t="str">
        <f>IFERROR(__xludf.DUMMYFUNCTION("""COMPUTED_VALUE"""),"Rodas Celestiais de Fogo")</f>
        <v>Rodas Celestiais de Fogo</v>
      </c>
      <c r="C313" s="11" t="str">
        <f>IFERROR(__xludf.DUMMYFUNCTION("""COMPUTED_VALUE"""),"Sapatos")</f>
        <v>Sapatos</v>
      </c>
      <c r="D313" s="12">
        <f>IFERROR(__xludf.DUMMYFUNCTION("""COMPUTED_VALUE"""),57.0)</f>
        <v>57</v>
      </c>
      <c r="E313" s="12" t="str">
        <f>IFERROR(__xludf.DUMMYFUNCTION("""COMPUTED_VALUE"""),"Velocista 3")</f>
        <v>Velocista 3</v>
      </c>
      <c r="F313" s="11" t="str">
        <f>IFERROR(__xludf.DUMMYFUNCTION("""COMPUTED_VALUE"""),"Mítico")</f>
        <v>Mítico</v>
      </c>
      <c r="G313" s="12" t="str">
        <f>IFERROR(__xludf.DUMMYFUNCTION("""COMPUTED_VALUE"""),"Reduz a duração da missão em 50%")</f>
        <v>Reduz a duração da missão em 50%</v>
      </c>
      <c r="H313" s="9" t="b">
        <f>IFERROR(__xludf.DUMMYFUNCTION("""COMPUTED_VALUE"""),TRUE)</f>
        <v>1</v>
      </c>
      <c r="I313" s="10"/>
    </row>
    <row r="314">
      <c r="A314" s="10"/>
      <c r="B314" s="10" t="str">
        <f>IFERROR(__xludf.DUMMYFUNCTION("""COMPUTED_VALUE"""),"Capa do Gelo")</f>
        <v>Capa do Gelo</v>
      </c>
      <c r="C314" s="11" t="str">
        <f>IFERROR(__xludf.DUMMYFUNCTION("""COMPUTED_VALUE"""),"Túnica")</f>
        <v>Túnica</v>
      </c>
      <c r="D314" s="12">
        <f>IFERROR(__xludf.DUMMYFUNCTION("""COMPUTED_VALUE"""),13.0)</f>
        <v>13</v>
      </c>
      <c r="E314" s="12" t="str">
        <f>IFERROR(__xludf.DUMMYFUNCTION("""COMPUTED_VALUE"""),"Cone-gélido")</f>
        <v>Cone-gélido</v>
      </c>
      <c r="F314" s="11" t="str">
        <f>IFERROR(__xludf.DUMMYFUNCTION("""COMPUTED_VALUE"""),"Épico")</f>
        <v>Épico</v>
      </c>
      <c r="G314" s="12" t="str">
        <f>IFERROR(__xludf.DUMMYFUNCTION("""COMPUTED_VALUE"""),"Aumenta a força em 40%")</f>
        <v>Aumenta a força em 40%</v>
      </c>
      <c r="H314" s="9" t="b">
        <f>IFERROR(__xludf.DUMMYFUNCTION("""COMPUTED_VALUE"""),TRUE)</f>
        <v>1</v>
      </c>
      <c r="I314" s="10"/>
    </row>
    <row r="315">
      <c r="A315" s="10"/>
      <c r="B315" s="10" t="str">
        <f>IFERROR(__xludf.DUMMYFUNCTION("""COMPUTED_VALUE"""),"Toga do Mago")</f>
        <v>Toga do Mago</v>
      </c>
      <c r="C315" s="11" t="str">
        <f>IFERROR(__xludf.DUMMYFUNCTION("""COMPUTED_VALUE"""),"Túnica")</f>
        <v>Túnica</v>
      </c>
      <c r="D315" s="12">
        <f>IFERROR(__xludf.DUMMYFUNCTION("""COMPUTED_VALUE"""),19.0)</f>
        <v>19</v>
      </c>
      <c r="E315" s="12" t="str">
        <f>IFERROR(__xludf.DUMMYFUNCTION("""COMPUTED_VALUE"""),"Arquimago 1")</f>
        <v>Arquimago 1</v>
      </c>
      <c r="F315" s="11" t="str">
        <f>IFERROR(__xludf.DUMMYFUNCTION("""COMPUTED_VALUE"""),"Impecável")</f>
        <v>Impecável</v>
      </c>
      <c r="G315" s="12" t="str">
        <f>IFERROR(__xludf.DUMMYFUNCTION("""COMPUTED_VALUE"""),"Aumenta a força dos feiticeiros do grupo em 10%")</f>
        <v>Aumenta a força dos feiticeiros do grupo em 10%</v>
      </c>
      <c r="H315" s="9" t="b">
        <f>IFERROR(__xludf.DUMMYFUNCTION("""COMPUTED_VALUE"""),TRUE)</f>
        <v>1</v>
      </c>
      <c r="I315" s="10"/>
    </row>
    <row r="316">
      <c r="A316" s="10"/>
      <c r="B316" s="10" t="str">
        <f>IFERROR(__xludf.DUMMYFUNCTION("""COMPUTED_VALUE"""),"Poseidon's Toga")</f>
        <v>Poseidon's Toga</v>
      </c>
      <c r="C316" s="11" t="str">
        <f>IFERROR(__xludf.DUMMYFUNCTION("""COMPUTED_VALUE"""),"Túnica")</f>
        <v>Túnica</v>
      </c>
      <c r="D316" s="12">
        <f>IFERROR(__xludf.DUMMYFUNCTION("""COMPUTED_VALUE"""),28.0)</f>
        <v>28</v>
      </c>
      <c r="E316" s="12" t="str">
        <f>IFERROR(__xludf.DUMMYFUNCTION("""COMPUTED_VALUE"""),"Velocista 2")</f>
        <v>Velocista 2</v>
      </c>
      <c r="F316" s="11" t="str">
        <f>IFERROR(__xludf.DUMMYFUNCTION("""COMPUTED_VALUE"""),"Mítico")</f>
        <v>Mítico</v>
      </c>
      <c r="G316" s="12" t="str">
        <f>IFERROR(__xludf.DUMMYFUNCTION("""COMPUTED_VALUE"""),"Reduz a duração da missão em 25%")</f>
        <v>Reduz a duração da missão em 25%</v>
      </c>
      <c r="H316" s="9" t="b">
        <f>IFERROR(__xludf.DUMMYFUNCTION("""COMPUTED_VALUE"""),TRUE)</f>
        <v>1</v>
      </c>
      <c r="I316" s="10"/>
    </row>
    <row r="317">
      <c r="A317" s="10"/>
      <c r="B317" s="10" t="str">
        <f>IFERROR(__xludf.DUMMYFUNCTION("""COMPUTED_VALUE"""),"Traje de Tempestade")</f>
        <v>Traje de Tempestade</v>
      </c>
      <c r="C317" s="11" t="str">
        <f>IFERROR(__xludf.DUMMYFUNCTION("""COMPUTED_VALUE"""),"Túnica")</f>
        <v>Túnica</v>
      </c>
      <c r="D317" s="12">
        <f>IFERROR(__xludf.DUMMYFUNCTION("""COMPUTED_VALUE"""),29.0)</f>
        <v>29</v>
      </c>
      <c r="E317" s="12" t="str">
        <f>IFERROR(__xludf.DUMMYFUNCTION("""COMPUTED_VALUE"""),"Sábio 1")</f>
        <v>Sábio 1</v>
      </c>
      <c r="F317" s="11" t="str">
        <f>IFERROR(__xludf.DUMMYFUNCTION("""COMPUTED_VALUE"""),"Lendário")</f>
        <v>Lendário</v>
      </c>
      <c r="G317" s="12" t="str">
        <f>IFERROR(__xludf.DUMMYFUNCTION("""COMPUTED_VALUE"""),"25% de bônus de experiência")</f>
        <v>25% de bônus de experiência</v>
      </c>
      <c r="H317" s="9" t="b">
        <f>IFERROR(__xludf.DUMMYFUNCTION("""COMPUTED_VALUE"""),TRUE)</f>
        <v>1</v>
      </c>
      <c r="I317" s="10"/>
    </row>
    <row r="318">
      <c r="A318" s="10"/>
      <c r="B318" s="10" t="str">
        <f>IFERROR(__xludf.DUMMYFUNCTION("""COMPUTED_VALUE"""),"Toga do Bruxo ")</f>
        <v>Toga do Bruxo </v>
      </c>
      <c r="C318" s="11" t="str">
        <f>IFERROR(__xludf.DUMMYFUNCTION("""COMPUTED_VALUE"""),"Túnica")</f>
        <v>Túnica</v>
      </c>
      <c r="D318" s="12">
        <f>IFERROR(__xludf.DUMMYFUNCTION("""COMPUTED_VALUE"""),32.0)</f>
        <v>32</v>
      </c>
      <c r="E318" s="12" t="str">
        <f>IFERROR(__xludf.DUMMYFUNCTION("""COMPUTED_VALUE"""),"Arquimago 1")</f>
        <v>Arquimago 1</v>
      </c>
      <c r="F318" s="11" t="str">
        <f>IFERROR(__xludf.DUMMYFUNCTION("""COMPUTED_VALUE"""),"Épico")</f>
        <v>Épico</v>
      </c>
      <c r="G318" s="12" t="str">
        <f>IFERROR(__xludf.DUMMYFUNCTION("""COMPUTED_VALUE"""),"Aumenta a força dos feiticeiros do grupo em 10%")</f>
        <v>Aumenta a força dos feiticeiros do grupo em 10%</v>
      </c>
      <c r="H318" s="9" t="b">
        <f>IFERROR(__xludf.DUMMYFUNCTION("""COMPUTED_VALUE"""),TRUE)</f>
        <v>1</v>
      </c>
      <c r="I318" s="10"/>
    </row>
    <row r="319">
      <c r="A319" s="10"/>
      <c r="B319" s="10" t="str">
        <f>IFERROR(__xludf.DUMMYFUNCTION("""COMPUTED_VALUE"""),"Life Vest")</f>
        <v>Life Vest</v>
      </c>
      <c r="C319" s="11" t="str">
        <f>IFERROR(__xludf.DUMMYFUNCTION("""COMPUTED_VALUE"""),"Túnica")</f>
        <v>Túnica</v>
      </c>
      <c r="D319" s="12">
        <f>IFERROR(__xludf.DUMMYFUNCTION("""COMPUTED_VALUE"""),37.0)</f>
        <v>37</v>
      </c>
      <c r="E319" s="12" t="str">
        <f>IFERROR(__xludf.DUMMYFUNCTION("""COMPUTED_VALUE"""),"Sortudo 3")</f>
        <v>Sortudo 3</v>
      </c>
      <c r="F319" s="11" t="str">
        <f>IFERROR(__xludf.DUMMYFUNCTION("""COMPUTED_VALUE"""),"Lendário")</f>
        <v>Lendário</v>
      </c>
      <c r="G319" s="12" t="str">
        <f>IFERROR(__xludf.DUMMYFUNCTION("""COMPUTED_VALUE"""),"Evita ferimentos 30% das vezes")</f>
        <v>Evita ferimentos 30% das vezes</v>
      </c>
      <c r="H319" s="9" t="b">
        <f>IFERROR(__xludf.DUMMYFUNCTION("""COMPUTED_VALUE"""),TRUE)</f>
        <v>1</v>
      </c>
      <c r="I319" s="10"/>
    </row>
    <row r="320">
      <c r="A320" s="10"/>
      <c r="B320" s="10" t="str">
        <f>IFERROR(__xludf.DUMMYFUNCTION("""COMPUTED_VALUE"""),"Toga Plásmica")</f>
        <v>Toga Plásmica</v>
      </c>
      <c r="C320" s="11" t="str">
        <f>IFERROR(__xludf.DUMMYFUNCTION("""COMPUTED_VALUE"""),"Túnica")</f>
        <v>Túnica</v>
      </c>
      <c r="D320" s="12">
        <f>IFERROR(__xludf.DUMMYFUNCTION("""COMPUTED_VALUE"""),38.0)</f>
        <v>38</v>
      </c>
      <c r="E320" s="12" t="str">
        <f>IFERROR(__xludf.DUMMYFUNCTION("""COMPUTED_VALUE"""),"Curandeiro 1")</f>
        <v>Curandeiro 1</v>
      </c>
      <c r="F320" s="11" t="str">
        <f>IFERROR(__xludf.DUMMYFUNCTION("""COMPUTED_VALUE"""),"Lendário")</f>
        <v>Lendário</v>
      </c>
      <c r="G320" s="12" t="str">
        <f>IFERROR(__xludf.DUMMYFUNCTION("""COMPUTED_VALUE"""),"Reduz o tempo de cura de companheiros em 10%")</f>
        <v>Reduz o tempo de cura de companheiros em 10%</v>
      </c>
      <c r="H320" s="9" t="b">
        <f>IFERROR(__xludf.DUMMYFUNCTION("""COMPUTED_VALUE"""),TRUE)</f>
        <v>1</v>
      </c>
      <c r="I320" s="10"/>
    </row>
    <row r="321">
      <c r="A321" s="10"/>
      <c r="B321" s="10" t="str">
        <f>IFERROR(__xludf.DUMMYFUNCTION("""COMPUTED_VALUE"""),"Toga do Arquimago")</f>
        <v>Toga do Arquimago</v>
      </c>
      <c r="C321" s="11" t="str">
        <f>IFERROR(__xludf.DUMMYFUNCTION("""COMPUTED_VALUE"""),"Túnica")</f>
        <v>Túnica</v>
      </c>
      <c r="D321" s="12">
        <f>IFERROR(__xludf.DUMMYFUNCTION("""COMPUTED_VALUE"""),39.0)</f>
        <v>39</v>
      </c>
      <c r="E321" s="12" t="str">
        <f>IFERROR(__xludf.DUMMYFUNCTION("""COMPUTED_VALUE"""),"Arquimago 1")</f>
        <v>Arquimago 1</v>
      </c>
      <c r="F321" s="11" t="str">
        <f>IFERROR(__xludf.DUMMYFUNCTION("""COMPUTED_VALUE"""),"Lendário")</f>
        <v>Lendário</v>
      </c>
      <c r="G321" s="12" t="str">
        <f>IFERROR(__xludf.DUMMYFUNCTION("""COMPUTED_VALUE"""),"Aumenta a força dos feiticeiros do grupo em 10%")</f>
        <v>Aumenta a força dos feiticeiros do grupo em 10%</v>
      </c>
      <c r="H321" s="9" t="b">
        <f>IFERROR(__xludf.DUMMYFUNCTION("""COMPUTED_VALUE"""),TRUE)</f>
        <v>1</v>
      </c>
      <c r="I321" s="10"/>
    </row>
    <row r="322">
      <c r="A322" s="10"/>
      <c r="B322" s="10" t="str">
        <f>IFERROR(__xludf.DUMMYFUNCTION("""COMPUTED_VALUE"""),"Veste do Dragão ")</f>
        <v>Veste do Dragão </v>
      </c>
      <c r="C322" s="11" t="str">
        <f>IFERROR(__xludf.DUMMYFUNCTION("""COMPUTED_VALUE"""),"Túnica")</f>
        <v>Túnica</v>
      </c>
      <c r="D322" s="12">
        <f>IFERROR(__xludf.DUMMYFUNCTION("""COMPUTED_VALUE"""),41.0)</f>
        <v>41</v>
      </c>
      <c r="E322" s="12" t="str">
        <f>IFERROR(__xludf.DUMMYFUNCTION("""COMPUTED_VALUE"""),"Sortudo 2")</f>
        <v>Sortudo 2</v>
      </c>
      <c r="F322" s="11" t="str">
        <f>IFERROR(__xludf.DUMMYFUNCTION("""COMPUTED_VALUE"""),"Lendário")</f>
        <v>Lendário</v>
      </c>
      <c r="G322" s="12" t="str">
        <f>IFERROR(__xludf.DUMMYFUNCTION("""COMPUTED_VALUE"""),"Evita ferimentos 20% das vezes")</f>
        <v>Evita ferimentos 20% das vezes</v>
      </c>
      <c r="H322" s="9" t="b">
        <f>IFERROR(__xludf.DUMMYFUNCTION("""COMPUTED_VALUE"""),TRUE)</f>
        <v>1</v>
      </c>
      <c r="I322" s="10"/>
    </row>
    <row r="323">
      <c r="A323" s="10"/>
      <c r="B323" s="10" t="str">
        <f>IFERROR(__xludf.DUMMYFUNCTION("""COMPUTED_VALUE"""),"Dublê de Mago")</f>
        <v>Dublê de Mago</v>
      </c>
      <c r="C323" s="11" t="str">
        <f>IFERROR(__xludf.DUMMYFUNCTION("""COMPUTED_VALUE"""),"Túnica")</f>
        <v>Túnica</v>
      </c>
      <c r="D323" s="12">
        <f>IFERROR(__xludf.DUMMYFUNCTION("""COMPUTED_VALUE"""),47.0)</f>
        <v>47</v>
      </c>
      <c r="E323" s="12" t="str">
        <f>IFERROR(__xludf.DUMMYFUNCTION("""COMPUTED_VALUE"""),"Arquimago 2")</f>
        <v>Arquimago 2</v>
      </c>
      <c r="F323" s="11" t="str">
        <f>IFERROR(__xludf.DUMMYFUNCTION("""COMPUTED_VALUE"""),"Épico")</f>
        <v>Épico</v>
      </c>
      <c r="G323" s="12" t="str">
        <f>IFERROR(__xludf.DUMMYFUNCTION("""COMPUTED_VALUE"""),"Aumenta a força dos feiticeiros do grupo em 20%")</f>
        <v>Aumenta a força dos feiticeiros do grupo em 20%</v>
      </c>
      <c r="H323" s="9" t="b">
        <f>IFERROR(__xludf.DUMMYFUNCTION("""COMPUTED_VALUE"""),TRUE)</f>
        <v>1</v>
      </c>
      <c r="I323" s="10"/>
    </row>
    <row r="324">
      <c r="A324" s="10"/>
      <c r="B324" s="10" t="str">
        <f>IFERROR(__xludf.DUMMYFUNCTION("""COMPUTED_VALUE"""),"Holy Tunic")</f>
        <v>Holy Tunic</v>
      </c>
      <c r="C324" s="11" t="str">
        <f>IFERROR(__xludf.DUMMYFUNCTION("""COMPUTED_VALUE"""),"Túnica")</f>
        <v>Túnica</v>
      </c>
      <c r="D324" s="12">
        <f>IFERROR(__xludf.DUMMYFUNCTION("""COMPUTED_VALUE"""),50.0)</f>
        <v>50</v>
      </c>
      <c r="E324" s="12" t="str">
        <f>IFERROR(__xludf.DUMMYFUNCTION("""COMPUTED_VALUE"""),"Aura de proteção")</f>
        <v>Aura de proteção</v>
      </c>
      <c r="F324" s="11" t="str">
        <f>IFERROR(__xludf.DUMMYFUNCTION("""COMPUTED_VALUE"""),"Mítico")</f>
        <v>Mítico</v>
      </c>
      <c r="G324" s="12" t="str">
        <f>IFERROR(__xludf.DUMMYFUNCTION("""COMPUTED_VALUE"""),"Aumenta a taxa de sobrevivência do grupo em 8%")</f>
        <v>Aumenta a taxa de sobrevivência do grupo em 8%</v>
      </c>
      <c r="H324" s="9" t="b">
        <f>IFERROR(__xludf.DUMMYFUNCTION("""COMPUTED_VALUE"""),TRUE)</f>
        <v>1</v>
      </c>
      <c r="I324" s="10"/>
    </row>
    <row r="325">
      <c r="A325" s="10"/>
      <c r="B325" s="10" t="str">
        <f>IFERROR(__xludf.DUMMYFUNCTION("""COMPUTED_VALUE"""),"Toga da Alvorada")</f>
        <v>Toga da Alvorada</v>
      </c>
      <c r="C325" s="11" t="str">
        <f>IFERROR(__xludf.DUMMYFUNCTION("""COMPUTED_VALUE"""),"Túnica")</f>
        <v>Túnica</v>
      </c>
      <c r="D325" s="12">
        <f>IFERROR(__xludf.DUMMYFUNCTION("""COMPUTED_VALUE"""),52.0)</f>
        <v>52</v>
      </c>
      <c r="E325" s="12" t="str">
        <f>IFERROR(__xludf.DUMMYFUNCTION("""COMPUTED_VALUE"""),"Arquimago 3")</f>
        <v>Arquimago 3</v>
      </c>
      <c r="F325" s="11" t="str">
        <f>IFERROR(__xludf.DUMMYFUNCTION("""COMPUTED_VALUE"""),"Mítico")</f>
        <v>Mítico</v>
      </c>
      <c r="G325" s="12" t="str">
        <f>IFERROR(__xludf.DUMMYFUNCTION("""COMPUTED_VALUE"""),"Aumenta a força dos feiticeiros do grupo em 30%")</f>
        <v>Aumenta a força dos feiticeiros do grupo em 30%</v>
      </c>
      <c r="H325" s="9" t="b">
        <f>IFERROR(__xludf.DUMMYFUNCTION("""COMPUTED_VALUE"""),TRUE)</f>
        <v>1</v>
      </c>
      <c r="I325" s="10"/>
    </row>
    <row r="326">
      <c r="A326" s="10"/>
      <c r="B326" s="10" t="str">
        <f>IFERROR(__xludf.DUMMYFUNCTION("""COMPUTED_VALUE"""),"Celtic Coat")</f>
        <v>Celtic Coat</v>
      </c>
      <c r="C326" s="11" t="str">
        <f>IFERROR(__xludf.DUMMYFUNCTION("""COMPUTED_VALUE"""),"Túnica")</f>
        <v>Túnica</v>
      </c>
      <c r="D326" s="12">
        <f>IFERROR(__xludf.DUMMYFUNCTION("""COMPUTED_VALUE"""),55.0)</f>
        <v>55</v>
      </c>
      <c r="E326" s="12" t="str">
        <f>IFERROR(__xludf.DUMMYFUNCTION("""COMPUTED_VALUE"""),"Reviver 3")</f>
        <v>Reviver 3</v>
      </c>
      <c r="F326" s="11" t="str">
        <f>IFERROR(__xludf.DUMMYFUNCTION("""COMPUTED_VALUE"""),"Mítico")</f>
        <v>Mítico</v>
      </c>
      <c r="G326" s="12" t="str">
        <f>IFERROR(__xludf.DUMMYFUNCTION("""COMPUTED_VALUE"""),"Revive um companheiro derrotado 15% das vezes")</f>
        <v>Revive um companheiro derrotado 15% das vezes</v>
      </c>
      <c r="H326" s="9" t="b">
        <f>IFERROR(__xludf.DUMMYFUNCTION("""COMPUTED_VALUE"""),TRUE)</f>
        <v>1</v>
      </c>
      <c r="I326" s="10"/>
    </row>
    <row r="327">
      <c r="A327" s="10"/>
      <c r="B327" s="10" t="str">
        <f>IFERROR(__xludf.DUMMYFUNCTION("""COMPUTED_VALUE"""),"Guaxinim Guardião")</f>
        <v>Guaxinim Guardião</v>
      </c>
      <c r="C327" s="11" t="str">
        <f>IFERROR(__xludf.DUMMYFUNCTION("""COMPUTED_VALUE"""),"Veste")</f>
        <v>Veste</v>
      </c>
      <c r="D327" s="12">
        <f>IFERROR(__xludf.DUMMYFUNCTION("""COMPUTED_VALUE"""),12.0)</f>
        <v>12</v>
      </c>
      <c r="E327" s="12" t="str">
        <f>IFERROR(__xludf.DUMMYFUNCTION("""COMPUTED_VALUE"""),"Catador 1")</f>
        <v>Catador 1</v>
      </c>
      <c r="F327" s="11" t="str">
        <f>IFERROR(__xludf.DUMMYFUNCTION("""COMPUTED_VALUE"""),"Lendário")</f>
        <v>Lendário</v>
      </c>
      <c r="G327" s="12" t="str">
        <f>IFERROR(__xludf.DUMMYFUNCTION("""COMPUTED_VALUE"""),"Aumenta o número mínimo de itens e artefatos encontrados em +1")</f>
        <v>Aumenta o número mínimo de itens e artefatos encontrados em +1</v>
      </c>
      <c r="H327" s="9" t="b">
        <f>IFERROR(__xludf.DUMMYFUNCTION("""COMPUTED_VALUE"""),TRUE)</f>
        <v>1</v>
      </c>
      <c r="I327" s="10"/>
    </row>
    <row r="328">
      <c r="A328" s="10"/>
      <c r="B328" s="10" t="str">
        <f>IFERROR(__xludf.DUMMYFUNCTION("""COMPUTED_VALUE"""),"Veste Revestida")</f>
        <v>Veste Revestida</v>
      </c>
      <c r="C328" s="11" t="str">
        <f>IFERROR(__xludf.DUMMYFUNCTION("""COMPUTED_VALUE"""),"Veste")</f>
        <v>Veste</v>
      </c>
      <c r="D328" s="12">
        <f>IFERROR(__xludf.DUMMYFUNCTION("""COMPUTED_VALUE"""),17.0)</f>
        <v>17</v>
      </c>
      <c r="E328" s="12" t="str">
        <f>IFERROR(__xludf.DUMMYFUNCTION("""COMPUTED_VALUE"""),"Líder 1")</f>
        <v>Líder 1</v>
      </c>
      <c r="F328" s="11" t="str">
        <f>IFERROR(__xludf.DUMMYFUNCTION("""COMPUTED_VALUE"""),"Lendário")</f>
        <v>Lendário</v>
      </c>
      <c r="G328" s="12" t="str">
        <f>IFERROR(__xludf.DUMMYFUNCTION("""COMPUTED_VALUE"""),"Aumenta o número de companheiros em +1")</f>
        <v>Aumenta o número de companheiros em +1</v>
      </c>
      <c r="H328" s="9" t="b">
        <f>IFERROR(__xludf.DUMMYFUNCTION("""COMPUTED_VALUE"""),TRUE)</f>
        <v>1</v>
      </c>
      <c r="I328" s="10"/>
    </row>
    <row r="329">
      <c r="A329" s="10"/>
      <c r="B329" s="10" t="str">
        <f>IFERROR(__xludf.DUMMYFUNCTION("""COMPUTED_VALUE"""),"Couro com óleo")</f>
        <v>Couro com óleo</v>
      </c>
      <c r="C329" s="11" t="str">
        <f>IFERROR(__xludf.DUMMYFUNCTION("""COMPUTED_VALUE"""),"Veste")</f>
        <v>Veste</v>
      </c>
      <c r="D329" s="12">
        <f>IFERROR(__xludf.DUMMYFUNCTION("""COMPUTED_VALUE"""),28.0)</f>
        <v>28</v>
      </c>
      <c r="E329" s="12" t="str">
        <f>IFERROR(__xludf.DUMMYFUNCTION("""COMPUTED_VALUE"""),"Energético 1")</f>
        <v>Energético 1</v>
      </c>
      <c r="F329" s="11" t="str">
        <f>IFERROR(__xludf.DUMMYFUNCTION("""COMPUTED_VALUE"""),"Épico")</f>
        <v>Épico</v>
      </c>
      <c r="G329" s="12" t="str">
        <f>IFERROR(__xludf.DUMMYFUNCTION("""COMPUTED_VALUE"""),"Reduz o tempo de espera depois da missão em 50%")</f>
        <v>Reduz o tempo de espera depois da missão em 50%</v>
      </c>
      <c r="H329" s="9" t="b">
        <f>IFERROR(__xludf.DUMMYFUNCTION("""COMPUTED_VALUE"""),TRUE)</f>
        <v>1</v>
      </c>
      <c r="I329" s="10"/>
    </row>
    <row r="330">
      <c r="A330" s="10"/>
      <c r="B330" s="10" t="str">
        <f>IFERROR(__xludf.DUMMYFUNCTION("""COMPUTED_VALUE"""),"Pele de Serpente")</f>
        <v>Pele de Serpente</v>
      </c>
      <c r="C330" s="11" t="str">
        <f>IFERROR(__xludf.DUMMYFUNCTION("""COMPUTED_VALUE"""),"Veste")</f>
        <v>Veste</v>
      </c>
      <c r="D330" s="12">
        <f>IFERROR(__xludf.DUMMYFUNCTION("""COMPUTED_VALUE"""),33.0)</f>
        <v>33</v>
      </c>
      <c r="E330" s="12" t="str">
        <f>IFERROR(__xludf.DUMMYFUNCTION("""COMPUTED_VALUE"""),"Sábio 1")</f>
        <v>Sábio 1</v>
      </c>
      <c r="F330" s="11" t="str">
        <f>IFERROR(__xludf.DUMMYFUNCTION("""COMPUTED_VALUE"""),"Épico")</f>
        <v>Épico</v>
      </c>
      <c r="G330" s="12" t="str">
        <f>IFERROR(__xludf.DUMMYFUNCTION("""COMPUTED_VALUE"""),"25% de bônus de experiência")</f>
        <v>25% de bônus de experiência</v>
      </c>
      <c r="H330" s="9" t="b">
        <f>IFERROR(__xludf.DUMMYFUNCTION("""COMPUTED_VALUE"""),TRUE)</f>
        <v>1</v>
      </c>
      <c r="I330" s="10"/>
    </row>
    <row r="331">
      <c r="A331" s="10"/>
      <c r="B331" s="10" t="str">
        <f>IFERROR(__xludf.DUMMYFUNCTION("""COMPUTED_VALUE"""),"Platemail de Aquiles")</f>
        <v>Platemail de Aquiles</v>
      </c>
      <c r="C331" s="11" t="str">
        <f>IFERROR(__xludf.DUMMYFUNCTION("""COMPUTED_VALUE"""),"Veste")</f>
        <v>Veste</v>
      </c>
      <c r="D331" s="12">
        <f>IFERROR(__xludf.DUMMYFUNCTION("""COMPUTED_VALUE"""),35.0)</f>
        <v>35</v>
      </c>
      <c r="E331" s="12" t="str">
        <f>IFERROR(__xludf.DUMMYFUNCTION("""COMPUTED_VALUE"""),"Detectar segredo")</f>
        <v>Detectar segredo</v>
      </c>
      <c r="F331" s="11" t="str">
        <f>IFERROR(__xludf.DUMMYFUNCTION("""COMPUTED_VALUE"""),"Lendário")</f>
        <v>Lendário</v>
      </c>
      <c r="G331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331" s="9" t="b">
        <f>IFERROR(__xludf.DUMMYFUNCTION("""COMPUTED_VALUE"""),TRUE)</f>
        <v>1</v>
      </c>
      <c r="I331" s="10"/>
    </row>
    <row r="332">
      <c r="A332" s="10"/>
      <c r="B332" s="10" t="str">
        <f>IFERROR(__xludf.DUMMYFUNCTION("""COMPUTED_VALUE"""),"Revestimento de Couro Pirata")</f>
        <v>Revestimento de Couro Pirata</v>
      </c>
      <c r="C332" s="11" t="str">
        <f>IFERROR(__xludf.DUMMYFUNCTION("""COMPUTED_VALUE"""),"Veste")</f>
        <v>Veste</v>
      </c>
      <c r="D332" s="12">
        <f>IFERROR(__xludf.DUMMYFUNCTION("""COMPUTED_VALUE"""),37.0)</f>
        <v>37</v>
      </c>
      <c r="E332" s="12" t="str">
        <f>IFERROR(__xludf.DUMMYFUNCTION("""COMPUTED_VALUE"""),"Catador 2")</f>
        <v>Catador 2</v>
      </c>
      <c r="F332" s="11" t="str">
        <f>IFERROR(__xludf.DUMMYFUNCTION("""COMPUTED_VALUE"""),"Lendário")</f>
        <v>Lendário</v>
      </c>
      <c r="G332" s="12" t="str">
        <f>IFERROR(__xludf.DUMMYFUNCTION("""COMPUTED_VALUE"""),"Aumenta o número mínimo de itens e artefatos encontrados em +2")</f>
        <v>Aumenta o número mínimo de itens e artefatos encontrados em +2</v>
      </c>
      <c r="H332" s="9" t="b">
        <f>IFERROR(__xludf.DUMMYFUNCTION("""COMPUTED_VALUE"""),TRUE)</f>
        <v>1</v>
      </c>
      <c r="I332" s="10"/>
    </row>
    <row r="333">
      <c r="A333" s="10"/>
      <c r="B333" s="10" t="str">
        <f>IFERROR(__xludf.DUMMYFUNCTION("""COMPUTED_VALUE"""),"Shadow Lurker")</f>
        <v>Shadow Lurker</v>
      </c>
      <c r="C333" s="11" t="str">
        <f>IFERROR(__xludf.DUMMYFUNCTION("""COMPUTED_VALUE"""),"Veste")</f>
        <v>Veste</v>
      </c>
      <c r="D333" s="12">
        <f>IFERROR(__xludf.DUMMYFUNCTION("""COMPUTED_VALUE"""),38.0)</f>
        <v>38</v>
      </c>
      <c r="E333" s="12" t="str">
        <f>IFERROR(__xludf.DUMMYFUNCTION("""COMPUTED_VALUE"""),"Gangster 1")</f>
        <v>Gangster 1</v>
      </c>
      <c r="F333" s="11" t="str">
        <f>IFERROR(__xludf.DUMMYFUNCTION("""COMPUTED_VALUE"""),"Lendário")</f>
        <v>Lendário</v>
      </c>
      <c r="G333" s="12" t="str">
        <f>IFERROR(__xludf.DUMMYFUNCTION("""COMPUTED_VALUE"""),"Aumenta a força do equipamento em 10%")</f>
        <v>Aumenta a força do equipamento em 10%</v>
      </c>
      <c r="H333" s="9" t="b">
        <f>IFERROR(__xludf.DUMMYFUNCTION("""COMPUTED_VALUE"""),TRUE)</f>
        <v>1</v>
      </c>
      <c r="I333" s="10"/>
    </row>
    <row r="334">
      <c r="A334" s="10"/>
      <c r="B334" s="10" t="str">
        <f>IFERROR(__xludf.DUMMYFUNCTION("""COMPUTED_VALUE"""),"Pele de Dragão")</f>
        <v>Pele de Dragão</v>
      </c>
      <c r="C334" s="11" t="str">
        <f>IFERROR(__xludf.DUMMYFUNCTION("""COMPUTED_VALUE"""),"Veste")</f>
        <v>Veste</v>
      </c>
      <c r="D334" s="12">
        <f>IFERROR(__xludf.DUMMYFUNCTION("""COMPUTED_VALUE"""),41.0)</f>
        <v>41</v>
      </c>
      <c r="E334" s="12" t="str">
        <f>IFERROR(__xludf.DUMMYFUNCTION("""COMPUTED_VALUE"""),"Amazona 1")</f>
        <v>Amazona 1</v>
      </c>
      <c r="F334" s="11" t="str">
        <f>IFERROR(__xludf.DUMMYFUNCTION("""COMPUTED_VALUE"""),"Lendário")</f>
        <v>Lendário</v>
      </c>
      <c r="G334" s="12" t="str">
        <f>IFERROR(__xludf.DUMMYFUNCTION("""COMPUTED_VALUE"""),"Aumenta a taxa de sobrevivência de membros femininos do grupo em 5%")</f>
        <v>Aumenta a taxa de sobrevivência de membros femininos do grupo em 5%</v>
      </c>
      <c r="H334" s="9" t="b">
        <f>IFERROR(__xludf.DUMMYFUNCTION("""COMPUTED_VALUE"""),TRUE)</f>
        <v>1</v>
      </c>
      <c r="I334" s="10"/>
    </row>
    <row r="335">
      <c r="A335" s="10"/>
      <c r="B335" s="10" t="str">
        <f>IFERROR(__xludf.DUMMYFUNCTION("""COMPUTED_VALUE"""),"Vampire Hunter")</f>
        <v>Vampire Hunter</v>
      </c>
      <c r="C335" s="11" t="str">
        <f>IFERROR(__xludf.DUMMYFUNCTION("""COMPUTED_VALUE"""),"Veste")</f>
        <v>Veste</v>
      </c>
      <c r="D335" s="12">
        <f>IFERROR(__xludf.DUMMYFUNCTION("""COMPUTED_VALUE"""),44.0)</f>
        <v>44</v>
      </c>
      <c r="E335" s="12" t="str">
        <f>IFERROR(__xludf.DUMMYFUNCTION("""COMPUTED_VALUE"""),"Energético 2")</f>
        <v>Energético 2</v>
      </c>
      <c r="F335" s="11" t="str">
        <f>IFERROR(__xludf.DUMMYFUNCTION("""COMPUTED_VALUE"""),"Lendário")</f>
        <v>Lendário</v>
      </c>
      <c r="G335" s="12" t="str">
        <f>IFERROR(__xludf.DUMMYFUNCTION("""COMPUTED_VALUE"""),"Reduz o tempo de espera depois da missão em 75%")</f>
        <v>Reduz o tempo de espera depois da missão em 75%</v>
      </c>
      <c r="H335" s="9" t="b">
        <f>IFERROR(__xludf.DUMMYFUNCTION("""COMPUTED_VALUE"""),TRUE)</f>
        <v>1</v>
      </c>
      <c r="I335" s="10"/>
    </row>
    <row r="336">
      <c r="A336" s="10"/>
      <c r="B336" s="10" t="str">
        <f>IFERROR(__xludf.DUMMYFUNCTION("""COMPUTED_VALUE"""),"Couro do Oceano")</f>
        <v>Couro do Oceano</v>
      </c>
      <c r="C336" s="11" t="str">
        <f>IFERROR(__xludf.DUMMYFUNCTION("""COMPUTED_VALUE"""),"Veste")</f>
        <v>Veste</v>
      </c>
      <c r="D336" s="12">
        <f>IFERROR(__xludf.DUMMYFUNCTION("""COMPUTED_VALUE"""),47.0)</f>
        <v>47</v>
      </c>
      <c r="E336" s="12" t="str">
        <f>IFERROR(__xludf.DUMMYFUNCTION("""COMPUTED_VALUE"""),"Sábio 3")</f>
        <v>Sábio 3</v>
      </c>
      <c r="F336" s="11" t="str">
        <f>IFERROR(__xludf.DUMMYFUNCTION("""COMPUTED_VALUE"""),"Épico")</f>
        <v>Épico</v>
      </c>
      <c r="G336" s="12" t="str">
        <f>IFERROR(__xludf.DUMMYFUNCTION("""COMPUTED_VALUE"""),"100% de bônus de experiência")</f>
        <v>100% de bônus de experiência</v>
      </c>
      <c r="H336" s="9" t="b">
        <f>IFERROR(__xludf.DUMMYFUNCTION("""COMPUTED_VALUE"""),TRUE)</f>
        <v>1</v>
      </c>
      <c r="I336" s="10"/>
    </row>
    <row r="337">
      <c r="A337" s="10"/>
      <c r="B337" s="10" t="str">
        <f>IFERROR(__xludf.DUMMYFUNCTION("""COMPUTED_VALUE"""),"Colete Místico")</f>
        <v>Colete Místico</v>
      </c>
      <c r="C337" s="11" t="str">
        <f>IFERROR(__xludf.DUMMYFUNCTION("""COMPUTED_VALUE"""),"Veste")</f>
        <v>Veste</v>
      </c>
      <c r="D337" s="12">
        <f>IFERROR(__xludf.DUMMYFUNCTION("""COMPUTED_VALUE"""),49.0)</f>
        <v>49</v>
      </c>
      <c r="E337" s="12" t="str">
        <f>IFERROR(__xludf.DUMMYFUNCTION("""COMPUTED_VALUE"""),"Encontrar mágica")</f>
        <v>Encontrar mágica</v>
      </c>
      <c r="F337" s="11" t="str">
        <f>IFERROR(__xludf.DUMMYFUNCTION("""COMPUTED_VALUE"""),"Mítico")</f>
        <v>Mítico</v>
      </c>
      <c r="G337" s="12" t="str">
        <f>IFERROR(__xludf.DUMMYFUNCTION("""COMPUTED_VALUE"""),"Aumenta o número máximo de artefatos e itens de raid encontrados por cada membro do grupo em +2")</f>
        <v>Aumenta o número máximo de artefatos e itens de raid encontrados por cada membro do grupo em +2</v>
      </c>
      <c r="H337" s="9" t="b">
        <f>IFERROR(__xludf.DUMMYFUNCTION("""COMPUTED_VALUE"""),TRUE)</f>
        <v>1</v>
      </c>
      <c r="I337" s="10"/>
    </row>
    <row r="338">
      <c r="A338" s="10"/>
      <c r="B338" s="10" t="str">
        <f>IFERROR(__xludf.DUMMYFUNCTION("""COMPUTED_VALUE"""),"Esmeralda Marcha")</f>
        <v>Esmeralda Marcha</v>
      </c>
      <c r="C338" s="11" t="str">
        <f>IFERROR(__xludf.DUMMYFUNCTION("""COMPUTED_VALUE"""),"Veste")</f>
        <v>Veste</v>
      </c>
      <c r="D338" s="12">
        <f>IFERROR(__xludf.DUMMYFUNCTION("""COMPUTED_VALUE"""),50.0)</f>
        <v>50</v>
      </c>
      <c r="E338" s="12" t="str">
        <f>IFERROR(__xludf.DUMMYFUNCTION("""COMPUTED_VALUE"""),"Detectar segredo")</f>
        <v>Detectar segredo</v>
      </c>
      <c r="F338" s="11" t="str">
        <f>IFERROR(__xludf.DUMMYFUNCTION("""COMPUTED_VALUE"""),"Impecável")</f>
        <v>Impecável</v>
      </c>
      <c r="G338" s="12" t="str">
        <f>IFERROR(__xludf.DUMMYFUNCTION("""COMPUTED_VALUE"""),"Aumenta o número máximo de artefatos e itens de raid encontrados por cada membro do grupo em +1")</f>
        <v>Aumenta o número máximo de artefatos e itens de raid encontrados por cada membro do grupo em +1</v>
      </c>
      <c r="H338" s="9" t="b">
        <f>IFERROR(__xludf.DUMMYFUNCTION("""COMPUTED_VALUE"""),TRUE)</f>
        <v>1</v>
      </c>
      <c r="I338" s="10"/>
    </row>
    <row r="339">
      <c r="A339" s="10"/>
      <c r="B339" s="10" t="str">
        <f>IFERROR(__xludf.DUMMYFUNCTION("""COMPUTED_VALUE"""),"Corvo Negro")</f>
        <v>Corvo Negro</v>
      </c>
      <c r="C339" s="11" t="str">
        <f>IFERROR(__xludf.DUMMYFUNCTION("""COMPUTED_VALUE"""),"Veste")</f>
        <v>Veste</v>
      </c>
      <c r="D339" s="12">
        <f>IFERROR(__xludf.DUMMYFUNCTION("""COMPUTED_VALUE"""),50.0)</f>
        <v>50</v>
      </c>
      <c r="E339" s="12" t="str">
        <f>IFERROR(__xludf.DUMMYFUNCTION("""COMPUTED_VALUE"""),"Passo das Sombras")</f>
        <v>Passo das Sombras</v>
      </c>
      <c r="F339" s="11" t="str">
        <f>IFERROR(__xludf.DUMMYFUNCTION("""COMPUTED_VALUE"""),"Mítico")</f>
        <v>Mítico</v>
      </c>
      <c r="G339" s="12" t="str">
        <f>IFERROR(__xludf.DUMMYFUNCTION("""COMPUTED_VALUE"""),"Evita ferimentos 15% das vezes")</f>
        <v>Evita ferimentos 15% das vezes</v>
      </c>
      <c r="H339" s="9" t="b">
        <f>IFERROR(__xludf.DUMMYFUNCTION("""COMPUTED_VALUE"""),TRUE)</f>
        <v>1</v>
      </c>
      <c r="I339" s="10"/>
    </row>
    <row r="340">
      <c r="A340" s="10"/>
      <c r="B340" s="10" t="str">
        <f>IFERROR(__xludf.DUMMYFUNCTION("""COMPUTED_VALUE"""),"Couraça Real")</f>
        <v>Couraça Real</v>
      </c>
      <c r="C340" s="11" t="str">
        <f>IFERROR(__xludf.DUMMYFUNCTION("""COMPUTED_VALUE"""),"Veste")</f>
        <v>Veste</v>
      </c>
      <c r="D340" s="12">
        <f>IFERROR(__xludf.DUMMYFUNCTION("""COMPUTED_VALUE"""),55.0)</f>
        <v>55</v>
      </c>
      <c r="E340" s="12" t="str">
        <f>IFERROR(__xludf.DUMMYFUNCTION("""COMPUTED_VALUE"""),"Engenhoso 3")</f>
        <v>Engenhoso 3</v>
      </c>
      <c r="F340" s="11" t="str">
        <f>IFERROR(__xludf.DUMMYFUNCTION("""COMPUTED_VALUE"""),"Mítico")</f>
        <v>Mítico</v>
      </c>
      <c r="G340" s="12" t="str">
        <f>IFERROR(__xludf.DUMMYFUNCTION("""COMPUTED_VALUE"""),"Impede que 3 peças de equipamento se quebre durante a missão")</f>
        <v>Impede que 3 peças de equipamento se quebre durante a missão</v>
      </c>
      <c r="H340" s="9" t="b">
        <f>IFERROR(__xludf.DUMMYFUNCTION("""COMPUTED_VALUE"""),TRUE)</f>
        <v>1</v>
      </c>
      <c r="I340" s="10"/>
    </row>
    <row r="341">
      <c r="A341" s="10"/>
      <c r="B341" s="10" t="str">
        <f>IFERROR(__xludf.DUMMYFUNCTION("""COMPUTED_VALUE"""),"Invincible Scales")</f>
        <v>Invincible Scales</v>
      </c>
      <c r="C341" s="11" t="str">
        <f>IFERROR(__xludf.DUMMYFUNCTION("""COMPUTED_VALUE"""),"Veste")</f>
        <v>Veste</v>
      </c>
      <c r="D341" s="12">
        <f>IFERROR(__xludf.DUMMYFUNCTION("""COMPUTED_VALUE"""),56.0)</f>
        <v>56</v>
      </c>
      <c r="E341" s="12" t="str">
        <f>IFERROR(__xludf.DUMMYFUNCTION("""COMPUTED_VALUE"""),"Energético 3")</f>
        <v>Energético 3</v>
      </c>
      <c r="F341" s="11" t="str">
        <f>IFERROR(__xludf.DUMMYFUNCTION("""COMPUTED_VALUE"""),"Mítico")</f>
        <v>Mítico</v>
      </c>
      <c r="G341" s="12" t="str">
        <f>IFERROR(__xludf.DUMMYFUNCTION("""COMPUTED_VALUE"""),"Reduz o tempo de espera depois da missão em 100%")</f>
        <v>Reduz o tempo de espera depois da missão em 100%</v>
      </c>
      <c r="H341" s="9" t="b">
        <f>IFERROR(__xludf.DUMMYFUNCTION("""COMPUTED_VALUE"""),TRUE)</f>
        <v>1</v>
      </c>
      <c r="I341" s="10"/>
    </row>
    <row r="342">
      <c r="A342" s="10"/>
      <c r="B342" s="10"/>
      <c r="C342" s="11"/>
      <c r="D342" s="12"/>
      <c r="E342" s="12"/>
      <c r="F342" s="11"/>
      <c r="G342" s="12"/>
      <c r="H342" s="9"/>
      <c r="I342" s="10"/>
    </row>
    <row r="343">
      <c r="A343" s="10"/>
      <c r="B343" s="10"/>
      <c r="C343" s="11"/>
      <c r="D343" s="12"/>
      <c r="E343" s="12"/>
      <c r="F343" s="11"/>
      <c r="G343" s="12"/>
      <c r="H343" s="9"/>
      <c r="I343" s="10"/>
    </row>
    <row r="344">
      <c r="A344" s="10"/>
      <c r="B344" s="10"/>
      <c r="C344" s="11"/>
      <c r="D344" s="12"/>
      <c r="E344" s="12"/>
      <c r="F344" s="11"/>
      <c r="G344" s="12"/>
      <c r="H344" s="9"/>
      <c r="I344" s="10"/>
    </row>
    <row r="345">
      <c r="A345" s="10"/>
      <c r="B345" s="10"/>
      <c r="C345" s="11"/>
      <c r="D345" s="12"/>
      <c r="E345" s="12"/>
      <c r="F345" s="11"/>
      <c r="G345" s="12"/>
      <c r="H345" s="9"/>
      <c r="I345" s="10"/>
    </row>
    <row r="346">
      <c r="A346" s="10"/>
      <c r="B346" s="10"/>
      <c r="C346" s="11"/>
      <c r="D346" s="12"/>
      <c r="E346" s="12"/>
      <c r="F346" s="11"/>
      <c r="G346" s="12"/>
      <c r="H346" s="9"/>
      <c r="I346" s="10"/>
    </row>
    <row r="347">
      <c r="A347" s="10"/>
      <c r="B347" s="10"/>
      <c r="C347" s="11"/>
      <c r="D347" s="12"/>
      <c r="E347" s="12"/>
      <c r="F347" s="11"/>
      <c r="G347" s="12"/>
      <c r="H347" s="9"/>
      <c r="I347" s="10"/>
    </row>
    <row r="348">
      <c r="A348" s="10"/>
      <c r="B348" s="10"/>
      <c r="C348" s="11"/>
      <c r="D348" s="12"/>
      <c r="E348" s="12"/>
      <c r="F348" s="11"/>
      <c r="G348" s="12"/>
      <c r="H348" s="9"/>
      <c r="I348" s="10"/>
    </row>
    <row r="349">
      <c r="A349" s="10"/>
      <c r="B349" s="10"/>
      <c r="C349" s="11"/>
      <c r="D349" s="12"/>
      <c r="E349" s="12"/>
      <c r="F349" s="11"/>
      <c r="G349" s="12"/>
      <c r="H349" s="9"/>
      <c r="I349" s="10"/>
    </row>
    <row r="350">
      <c r="A350" s="10"/>
      <c r="B350" s="10"/>
      <c r="C350" s="11"/>
      <c r="D350" s="12"/>
      <c r="E350" s="12"/>
      <c r="F350" s="11"/>
      <c r="G350" s="12"/>
      <c r="H350" s="9"/>
      <c r="I350" s="10"/>
    </row>
    <row r="351">
      <c r="A351" s="10"/>
      <c r="B351" s="10"/>
      <c r="C351" s="11"/>
      <c r="D351" s="12"/>
      <c r="E351" s="12"/>
      <c r="F351" s="11"/>
      <c r="G351" s="12"/>
      <c r="H351" s="9"/>
      <c r="I351" s="10"/>
    </row>
    <row r="352">
      <c r="A352" s="10"/>
      <c r="B352" s="10"/>
      <c r="C352" s="11"/>
      <c r="D352" s="12"/>
      <c r="E352" s="12"/>
      <c r="F352" s="11"/>
      <c r="G352" s="12"/>
      <c r="H352" s="9"/>
      <c r="I352" s="10"/>
    </row>
    <row r="353">
      <c r="A353" s="10"/>
      <c r="B353" s="10"/>
      <c r="C353" s="11"/>
      <c r="D353" s="12"/>
      <c r="E353" s="12"/>
      <c r="F353" s="11"/>
      <c r="G353" s="12"/>
      <c r="H353" s="9"/>
      <c r="I353" s="10"/>
    </row>
    <row r="354">
      <c r="A354" s="10"/>
      <c r="B354" s="10"/>
      <c r="C354" s="11"/>
      <c r="D354" s="12"/>
      <c r="E354" s="12"/>
      <c r="F354" s="11"/>
      <c r="G354" s="12"/>
      <c r="H354" s="9"/>
      <c r="I354" s="10"/>
    </row>
    <row r="355">
      <c r="A355" s="10"/>
      <c r="B355" s="10"/>
      <c r="C355" s="11"/>
      <c r="D355" s="12"/>
      <c r="E355" s="12"/>
      <c r="F355" s="11"/>
      <c r="G355" s="12"/>
      <c r="H355" s="9"/>
      <c r="I355" s="10"/>
    </row>
    <row r="356">
      <c r="A356" s="10"/>
      <c r="B356" s="10"/>
      <c r="C356" s="11"/>
      <c r="D356" s="12"/>
      <c r="E356" s="12"/>
      <c r="F356" s="11"/>
      <c r="G356" s="12"/>
      <c r="H356" s="9"/>
      <c r="I356" s="10"/>
    </row>
    <row r="357">
      <c r="A357" s="10"/>
      <c r="B357" s="10"/>
      <c r="C357" s="11"/>
      <c r="D357" s="12"/>
      <c r="E357" s="12"/>
      <c r="F357" s="11"/>
      <c r="G357" s="12"/>
      <c r="H357" s="9"/>
      <c r="I357" s="10"/>
    </row>
    <row r="358">
      <c r="A358" s="10"/>
      <c r="B358" s="10"/>
      <c r="C358" s="11"/>
      <c r="D358" s="12"/>
      <c r="E358" s="12"/>
      <c r="F358" s="11"/>
      <c r="G358" s="12"/>
      <c r="H358" s="9"/>
      <c r="I358" s="10"/>
    </row>
    <row r="359">
      <c r="A359" s="10"/>
      <c r="B359" s="10"/>
      <c r="C359" s="11"/>
      <c r="D359" s="12"/>
      <c r="E359" s="12"/>
      <c r="F359" s="11"/>
      <c r="G359" s="12"/>
      <c r="H359" s="9"/>
      <c r="I359" s="10"/>
    </row>
    <row r="360">
      <c r="A360" s="10"/>
      <c r="B360" s="10"/>
      <c r="C360" s="11"/>
      <c r="D360" s="12"/>
      <c r="E360" s="12"/>
      <c r="F360" s="11"/>
      <c r="G360" s="12"/>
      <c r="H360" s="9"/>
      <c r="I360" s="10"/>
    </row>
    <row r="361">
      <c r="A361" s="10"/>
      <c r="B361" s="10"/>
      <c r="C361" s="11"/>
      <c r="D361" s="12"/>
      <c r="E361" s="12"/>
      <c r="F361" s="11"/>
      <c r="G361" s="12"/>
      <c r="H361" s="9"/>
      <c r="I361" s="10"/>
    </row>
    <row r="362">
      <c r="A362" s="10"/>
      <c r="B362" s="10"/>
      <c r="C362" s="11"/>
      <c r="D362" s="12"/>
      <c r="E362" s="12"/>
      <c r="F362" s="11"/>
      <c r="G362" s="12"/>
      <c r="H362" s="9"/>
      <c r="I362" s="10"/>
    </row>
    <row r="363">
      <c r="A363" s="10"/>
      <c r="B363" s="10"/>
      <c r="C363" s="11"/>
      <c r="D363" s="12"/>
      <c r="E363" s="12"/>
      <c r="F363" s="11"/>
      <c r="G363" s="12"/>
      <c r="H363" s="9"/>
      <c r="I363" s="10"/>
    </row>
    <row r="364">
      <c r="A364" s="10"/>
      <c r="B364" s="10"/>
      <c r="C364" s="11"/>
      <c r="D364" s="12"/>
      <c r="E364" s="12"/>
      <c r="F364" s="11"/>
      <c r="G364" s="12"/>
      <c r="H364" s="9"/>
      <c r="I364" s="10"/>
    </row>
    <row r="365">
      <c r="A365" s="10"/>
      <c r="B365" s="10"/>
      <c r="C365" s="11"/>
      <c r="D365" s="12"/>
      <c r="E365" s="12"/>
      <c r="F365" s="11"/>
      <c r="G365" s="12"/>
      <c r="H365" s="9"/>
      <c r="I365" s="10"/>
    </row>
    <row r="366">
      <c r="A366" s="10"/>
      <c r="B366" s="10"/>
      <c r="C366" s="11"/>
      <c r="D366" s="12"/>
      <c r="E366" s="12"/>
      <c r="F366" s="11"/>
      <c r="G366" s="12"/>
      <c r="H366" s="9"/>
      <c r="I366" s="10"/>
    </row>
    <row r="367">
      <c r="A367" s="10"/>
      <c r="B367" s="10"/>
      <c r="C367" s="11"/>
      <c r="D367" s="12"/>
      <c r="E367" s="12"/>
      <c r="F367" s="11"/>
      <c r="G367" s="12"/>
      <c r="H367" s="9"/>
      <c r="I367" s="10"/>
    </row>
    <row r="368">
      <c r="A368" s="10"/>
      <c r="B368" s="10"/>
      <c r="C368" s="11"/>
      <c r="D368" s="12"/>
      <c r="E368" s="12"/>
      <c r="F368" s="11"/>
      <c r="G368" s="12"/>
      <c r="H368" s="9"/>
      <c r="I368" s="10"/>
    </row>
    <row r="369">
      <c r="A369" s="10"/>
      <c r="B369" s="10"/>
      <c r="C369" s="11"/>
      <c r="D369" s="12"/>
      <c r="E369" s="12"/>
      <c r="F369" s="11"/>
      <c r="G369" s="12"/>
      <c r="H369" s="9"/>
      <c r="I369" s="10"/>
    </row>
    <row r="370">
      <c r="A370" s="10"/>
      <c r="B370" s="10"/>
      <c r="C370" s="11"/>
      <c r="D370" s="12"/>
      <c r="E370" s="12"/>
      <c r="F370" s="11"/>
      <c r="G370" s="12"/>
      <c r="H370" s="9"/>
      <c r="I370" s="10"/>
    </row>
    <row r="371">
      <c r="A371" s="10"/>
      <c r="B371" s="10"/>
      <c r="C371" s="11"/>
      <c r="D371" s="12"/>
      <c r="E371" s="12"/>
      <c r="F371" s="11"/>
      <c r="G371" s="12"/>
      <c r="H371" s="9"/>
      <c r="I371" s="10"/>
    </row>
    <row r="372">
      <c r="A372" s="10"/>
      <c r="B372" s="10"/>
      <c r="C372" s="11"/>
      <c r="D372" s="12"/>
      <c r="E372" s="12"/>
      <c r="F372" s="11"/>
      <c r="G372" s="12"/>
      <c r="H372" s="9"/>
      <c r="I372" s="10"/>
    </row>
    <row r="373">
      <c r="A373" s="10"/>
      <c r="B373" s="10"/>
      <c r="C373" s="11"/>
      <c r="D373" s="12"/>
      <c r="E373" s="12"/>
      <c r="F373" s="11"/>
      <c r="G373" s="12"/>
      <c r="H373" s="9"/>
      <c r="I373" s="10"/>
    </row>
    <row r="374">
      <c r="A374" s="10"/>
      <c r="B374" s="10"/>
      <c r="C374" s="11"/>
      <c r="D374" s="12"/>
      <c r="E374" s="12"/>
      <c r="F374" s="11"/>
      <c r="G374" s="12"/>
      <c r="H374" s="9"/>
      <c r="I374" s="10"/>
    </row>
    <row r="375">
      <c r="A375" s="10"/>
      <c r="B375" s="10"/>
      <c r="C375" s="11"/>
      <c r="D375" s="12"/>
      <c r="E375" s="12"/>
      <c r="F375" s="11"/>
      <c r="G375" s="12"/>
      <c r="H375" s="9"/>
      <c r="I375" s="10"/>
    </row>
    <row r="376">
      <c r="A376" s="10"/>
      <c r="B376" s="10"/>
      <c r="C376" s="11"/>
      <c r="D376" s="12"/>
      <c r="E376" s="12"/>
      <c r="F376" s="11"/>
      <c r="G376" s="12"/>
      <c r="H376" s="9"/>
      <c r="I376" s="10"/>
    </row>
    <row r="377">
      <c r="A377" s="10"/>
      <c r="B377" s="10"/>
      <c r="C377" s="11"/>
      <c r="D377" s="12"/>
      <c r="E377" s="12"/>
      <c r="F377" s="11"/>
      <c r="G377" s="12"/>
      <c r="H377" s="9"/>
      <c r="I377" s="10"/>
    </row>
    <row r="378">
      <c r="A378" s="10"/>
      <c r="B378" s="10"/>
      <c r="C378" s="11"/>
      <c r="D378" s="12"/>
      <c r="E378" s="12"/>
      <c r="F378" s="11"/>
      <c r="G378" s="12"/>
      <c r="H378" s="9"/>
      <c r="I378" s="10"/>
    </row>
    <row r="379">
      <c r="A379" s="10"/>
      <c r="B379" s="10"/>
      <c r="C379" s="11"/>
      <c r="D379" s="12"/>
      <c r="E379" s="12"/>
      <c r="F379" s="11"/>
      <c r="G379" s="12"/>
      <c r="H379" s="9"/>
      <c r="I379" s="10"/>
    </row>
    <row r="380">
      <c r="A380" s="10"/>
      <c r="B380" s="10"/>
      <c r="C380" s="11"/>
      <c r="D380" s="12"/>
      <c r="E380" s="12"/>
      <c r="F380" s="11"/>
      <c r="G380" s="12"/>
      <c r="H380" s="9"/>
      <c r="I380" s="10"/>
    </row>
    <row r="381">
      <c r="A381" s="10"/>
      <c r="B381" s="10"/>
      <c r="C381" s="11"/>
      <c r="D381" s="12"/>
      <c r="E381" s="12"/>
      <c r="F381" s="11"/>
      <c r="G381" s="12"/>
      <c r="H381" s="9"/>
      <c r="I381" s="10"/>
    </row>
    <row r="382">
      <c r="A382" s="10"/>
      <c r="B382" s="10"/>
      <c r="C382" s="11"/>
      <c r="D382" s="12"/>
      <c r="E382" s="12"/>
      <c r="F382" s="11"/>
      <c r="G382" s="12"/>
      <c r="H382" s="9"/>
      <c r="I382" s="10"/>
    </row>
    <row r="383">
      <c r="A383" s="10"/>
      <c r="B383" s="10"/>
      <c r="C383" s="11"/>
      <c r="D383" s="12"/>
      <c r="E383" s="12"/>
      <c r="F383" s="11"/>
      <c r="G383" s="12"/>
      <c r="H383" s="9"/>
      <c r="I383" s="10"/>
    </row>
    <row r="384">
      <c r="A384" s="10"/>
      <c r="B384" s="10"/>
      <c r="C384" s="11"/>
      <c r="D384" s="12"/>
      <c r="E384" s="12"/>
      <c r="F384" s="11"/>
      <c r="G384" s="12"/>
      <c r="H384" s="9"/>
      <c r="I384" s="10"/>
    </row>
    <row r="385">
      <c r="A385" s="10"/>
      <c r="B385" s="10"/>
      <c r="C385" s="11"/>
      <c r="D385" s="12"/>
      <c r="E385" s="12"/>
      <c r="F385" s="11"/>
      <c r="G385" s="12"/>
      <c r="H385" s="9"/>
      <c r="I385" s="10"/>
    </row>
    <row r="386">
      <c r="A386" s="10"/>
      <c r="B386" s="10"/>
      <c r="C386" s="11"/>
      <c r="D386" s="12"/>
      <c r="E386" s="12"/>
      <c r="F386" s="11"/>
      <c r="G386" s="12"/>
      <c r="H386" s="9"/>
      <c r="I386" s="10"/>
    </row>
    <row r="387">
      <c r="A387" s="10"/>
      <c r="B387" s="10"/>
      <c r="C387" s="11"/>
      <c r="D387" s="12"/>
      <c r="E387" s="12"/>
      <c r="F387" s="11"/>
      <c r="G387" s="12"/>
      <c r="H387" s="9"/>
      <c r="I387" s="10"/>
    </row>
    <row r="388">
      <c r="A388" s="10"/>
      <c r="B388" s="10"/>
      <c r="C388" s="11"/>
      <c r="D388" s="12"/>
      <c r="E388" s="12"/>
      <c r="F388" s="11"/>
      <c r="G388" s="12"/>
      <c r="H388" s="9"/>
      <c r="I388" s="10"/>
    </row>
    <row r="389">
      <c r="A389" s="10"/>
      <c r="B389" s="10"/>
      <c r="C389" s="11"/>
      <c r="D389" s="12"/>
      <c r="E389" s="12"/>
      <c r="F389" s="11"/>
      <c r="G389" s="12"/>
      <c r="H389" s="9"/>
      <c r="I389" s="10"/>
    </row>
    <row r="390">
      <c r="A390" s="10"/>
      <c r="B390" s="10"/>
      <c r="C390" s="11"/>
      <c r="D390" s="12"/>
      <c r="E390" s="12"/>
      <c r="F390" s="11"/>
      <c r="G390" s="12"/>
      <c r="H390" s="9"/>
      <c r="I390" s="10"/>
    </row>
    <row r="391">
      <c r="A391" s="10"/>
      <c r="B391" s="10"/>
      <c r="C391" s="11"/>
      <c r="D391" s="12"/>
      <c r="E391" s="12"/>
      <c r="F391" s="11"/>
      <c r="G391" s="12"/>
      <c r="H391" s="9"/>
      <c r="I391" s="10"/>
    </row>
    <row r="392">
      <c r="A392" s="10"/>
      <c r="B392" s="10"/>
      <c r="C392" s="11"/>
      <c r="D392" s="12"/>
      <c r="E392" s="12"/>
      <c r="F392" s="11"/>
      <c r="G392" s="12"/>
      <c r="H392" s="9"/>
      <c r="I392" s="10"/>
    </row>
    <row r="393">
      <c r="A393" s="10"/>
      <c r="B393" s="10"/>
      <c r="C393" s="11"/>
      <c r="D393" s="12"/>
      <c r="E393" s="12"/>
      <c r="F393" s="11"/>
      <c r="G393" s="12"/>
      <c r="H393" s="9"/>
      <c r="I393" s="10"/>
    </row>
    <row r="394">
      <c r="A394" s="10"/>
      <c r="B394" s="10"/>
      <c r="C394" s="11"/>
      <c r="D394" s="12"/>
      <c r="E394" s="12"/>
      <c r="F394" s="11"/>
      <c r="G394" s="12"/>
      <c r="H394" s="9"/>
      <c r="I394" s="10"/>
    </row>
    <row r="395">
      <c r="A395" s="10"/>
      <c r="B395" s="10"/>
      <c r="C395" s="11"/>
      <c r="D395" s="12"/>
      <c r="E395" s="12"/>
      <c r="F395" s="11"/>
      <c r="G395" s="12"/>
      <c r="H395" s="9"/>
      <c r="I395" s="10"/>
    </row>
    <row r="396">
      <c r="A396" s="10"/>
      <c r="B396" s="10"/>
      <c r="C396" s="11"/>
      <c r="D396" s="12"/>
      <c r="E396" s="12"/>
      <c r="F396" s="11"/>
      <c r="G396" s="12"/>
      <c r="H396" s="9"/>
      <c r="I396" s="10"/>
    </row>
    <row r="397">
      <c r="A397" s="10"/>
      <c r="B397" s="10"/>
      <c r="C397" s="11"/>
      <c r="D397" s="12"/>
      <c r="E397" s="12"/>
      <c r="F397" s="11"/>
      <c r="G397" s="12"/>
      <c r="H397" s="9"/>
      <c r="I397" s="10"/>
    </row>
    <row r="398">
      <c r="A398" s="10"/>
      <c r="B398" s="10"/>
      <c r="C398" s="11"/>
      <c r="D398" s="12"/>
      <c r="E398" s="12"/>
      <c r="F398" s="11"/>
      <c r="G398" s="12"/>
      <c r="H398" s="9"/>
      <c r="I398" s="10"/>
    </row>
    <row r="399">
      <c r="A399" s="10"/>
      <c r="B399" s="10"/>
      <c r="C399" s="11"/>
      <c r="D399" s="12"/>
      <c r="E399" s="12"/>
      <c r="F399" s="11"/>
      <c r="G399" s="12"/>
      <c r="H399" s="9"/>
      <c r="I399" s="10"/>
    </row>
    <row r="400">
      <c r="A400" s="10"/>
      <c r="B400" s="10"/>
      <c r="C400" s="11"/>
      <c r="D400" s="12"/>
      <c r="E400" s="12"/>
      <c r="F400" s="11"/>
      <c r="G400" s="12"/>
      <c r="H400" s="9"/>
      <c r="I400" s="10"/>
    </row>
    <row r="401">
      <c r="A401" s="10"/>
      <c r="B401" s="10"/>
      <c r="C401" s="11"/>
      <c r="D401" s="12"/>
      <c r="E401" s="12"/>
      <c r="F401" s="11"/>
      <c r="G401" s="12"/>
      <c r="H401" s="9"/>
      <c r="I401" s="10"/>
    </row>
    <row r="402">
      <c r="A402" s="10"/>
      <c r="B402" s="10"/>
      <c r="C402" s="11"/>
      <c r="D402" s="12"/>
      <c r="E402" s="12"/>
      <c r="F402" s="11"/>
      <c r="G402" s="12"/>
      <c r="H402" s="9"/>
      <c r="I402" s="10"/>
    </row>
    <row r="403">
      <c r="A403" s="10"/>
      <c r="B403" s="10"/>
      <c r="C403" s="11"/>
      <c r="D403" s="12"/>
      <c r="E403" s="12"/>
      <c r="F403" s="11"/>
      <c r="G403" s="12"/>
      <c r="H403" s="9"/>
      <c r="I403" s="10"/>
    </row>
    <row r="404">
      <c r="A404" s="10"/>
      <c r="B404" s="10"/>
      <c r="C404" s="11"/>
      <c r="D404" s="12"/>
      <c r="E404" s="12"/>
      <c r="F404" s="11"/>
      <c r="G404" s="12"/>
      <c r="H404" s="9"/>
      <c r="I404" s="10"/>
    </row>
    <row r="405">
      <c r="A405" s="10"/>
      <c r="B405" s="10"/>
      <c r="C405" s="11"/>
      <c r="D405" s="12"/>
      <c r="E405" s="12"/>
      <c r="F405" s="11"/>
      <c r="G405" s="12"/>
      <c r="H405" s="9"/>
      <c r="I405" s="10"/>
    </row>
    <row r="406">
      <c r="A406" s="10"/>
      <c r="B406" s="10"/>
      <c r="C406" s="11"/>
      <c r="D406" s="12"/>
      <c r="E406" s="12"/>
      <c r="F406" s="11"/>
      <c r="G406" s="12"/>
      <c r="H406" s="9"/>
      <c r="I406" s="10"/>
    </row>
    <row r="407">
      <c r="A407" s="10"/>
      <c r="B407" s="10"/>
      <c r="C407" s="11"/>
      <c r="D407" s="12"/>
      <c r="E407" s="12"/>
      <c r="F407" s="11"/>
      <c r="G407" s="12"/>
      <c r="H407" s="9"/>
      <c r="I407" s="10"/>
    </row>
    <row r="408">
      <c r="A408" s="10"/>
      <c r="B408" s="10"/>
      <c r="C408" s="11"/>
      <c r="D408" s="12"/>
      <c r="E408" s="12"/>
      <c r="F408" s="11"/>
      <c r="G408" s="12"/>
      <c r="H408" s="9"/>
      <c r="I408" s="10"/>
    </row>
    <row r="409">
      <c r="A409" s="10"/>
      <c r="B409" s="10"/>
      <c r="C409" s="11"/>
      <c r="D409" s="12"/>
      <c r="E409" s="12"/>
      <c r="F409" s="11"/>
      <c r="G409" s="12"/>
      <c r="H409" s="9"/>
      <c r="I409" s="10"/>
    </row>
    <row r="410">
      <c r="A410" s="10"/>
      <c r="B410" s="10"/>
      <c r="C410" s="11"/>
      <c r="D410" s="12"/>
      <c r="E410" s="12"/>
      <c r="F410" s="11"/>
      <c r="G410" s="12"/>
      <c r="H410" s="9"/>
      <c r="I410" s="10"/>
    </row>
    <row r="411">
      <c r="A411" s="10"/>
      <c r="B411" s="10"/>
      <c r="C411" s="11"/>
      <c r="D411" s="12"/>
      <c r="E411" s="12"/>
      <c r="F411" s="11"/>
      <c r="G411" s="12"/>
      <c r="H411" s="9"/>
      <c r="I411" s="10"/>
    </row>
    <row r="412">
      <c r="A412" s="10"/>
      <c r="B412" s="10"/>
      <c r="C412" s="11"/>
      <c r="D412" s="12"/>
      <c r="E412" s="12"/>
      <c r="F412" s="11"/>
      <c r="G412" s="12"/>
      <c r="H412" s="9"/>
      <c r="I412" s="10"/>
    </row>
    <row r="413">
      <c r="A413" s="10"/>
      <c r="B413" s="10"/>
      <c r="C413" s="11"/>
      <c r="D413" s="12"/>
      <c r="E413" s="12"/>
      <c r="F413" s="11"/>
      <c r="G413" s="12"/>
      <c r="H413" s="9"/>
      <c r="I413" s="10"/>
    </row>
    <row r="414">
      <c r="A414" s="10"/>
      <c r="B414" s="10"/>
      <c r="C414" s="11"/>
      <c r="D414" s="12"/>
      <c r="E414" s="12"/>
      <c r="F414" s="11"/>
      <c r="G414" s="12"/>
      <c r="H414" s="9"/>
      <c r="I414" s="10"/>
    </row>
    <row r="415">
      <c r="A415" s="10"/>
      <c r="B415" s="10"/>
      <c r="C415" s="11"/>
      <c r="D415" s="12"/>
      <c r="E415" s="12"/>
      <c r="F415" s="11"/>
      <c r="G415" s="12"/>
      <c r="H415" s="9"/>
      <c r="I415" s="10"/>
    </row>
    <row r="416">
      <c r="A416" s="10"/>
      <c r="B416" s="10"/>
      <c r="C416" s="11"/>
      <c r="D416" s="12"/>
      <c r="E416" s="12"/>
      <c r="F416" s="11"/>
      <c r="G416" s="12"/>
      <c r="H416" s="9"/>
      <c r="I416" s="10"/>
    </row>
    <row r="417">
      <c r="A417" s="10"/>
      <c r="B417" s="10"/>
      <c r="C417" s="11"/>
      <c r="D417" s="12"/>
      <c r="E417" s="12"/>
      <c r="F417" s="11"/>
      <c r="G417" s="12"/>
      <c r="H417" s="9"/>
      <c r="I417" s="10"/>
    </row>
    <row r="418">
      <c r="A418" s="10"/>
      <c r="B418" s="10"/>
      <c r="C418" s="11"/>
      <c r="D418" s="12"/>
      <c r="E418" s="12"/>
      <c r="F418" s="11"/>
      <c r="G418" s="12"/>
      <c r="H418" s="9"/>
      <c r="I418" s="10"/>
    </row>
    <row r="419">
      <c r="A419" s="10"/>
      <c r="B419" s="10"/>
      <c r="C419" s="11"/>
      <c r="D419" s="12"/>
      <c r="E419" s="12"/>
      <c r="F419" s="11"/>
      <c r="G419" s="12"/>
      <c r="H419" s="9"/>
      <c r="I419" s="10"/>
    </row>
    <row r="420">
      <c r="A420" s="10"/>
      <c r="B420" s="10"/>
      <c r="C420" s="11"/>
      <c r="D420" s="12"/>
      <c r="E420" s="12"/>
      <c r="F420" s="11"/>
      <c r="G420" s="12"/>
      <c r="H420" s="9"/>
      <c r="I420" s="10"/>
    </row>
    <row r="421">
      <c r="A421" s="10"/>
      <c r="B421" s="10"/>
      <c r="C421" s="11"/>
      <c r="D421" s="12"/>
      <c r="E421" s="12"/>
      <c r="F421" s="11"/>
      <c r="G421" s="12"/>
      <c r="H421" s="9"/>
      <c r="I421" s="10"/>
    </row>
    <row r="422">
      <c r="A422" s="10"/>
      <c r="B422" s="10"/>
      <c r="C422" s="11"/>
      <c r="D422" s="12"/>
      <c r="E422" s="12"/>
      <c r="F422" s="11"/>
      <c r="G422" s="12"/>
      <c r="H422" s="9"/>
      <c r="I422" s="10"/>
    </row>
    <row r="423">
      <c r="A423" s="10"/>
      <c r="B423" s="10"/>
      <c r="C423" s="11"/>
      <c r="D423" s="12"/>
      <c r="E423" s="12"/>
      <c r="F423" s="11"/>
      <c r="G423" s="12"/>
      <c r="H423" s="9"/>
      <c r="I423" s="10"/>
    </row>
    <row r="424">
      <c r="A424" s="10"/>
      <c r="B424" s="10"/>
      <c r="C424" s="11"/>
      <c r="D424" s="12"/>
      <c r="E424" s="12"/>
      <c r="F424" s="11"/>
      <c r="G424" s="12"/>
      <c r="H424" s="9"/>
      <c r="I424" s="10"/>
    </row>
    <row r="425">
      <c r="A425" s="10"/>
      <c r="B425" s="10"/>
      <c r="C425" s="11"/>
      <c r="D425" s="12"/>
      <c r="E425" s="12"/>
      <c r="F425" s="11"/>
      <c r="G425" s="12"/>
      <c r="H425" s="9"/>
      <c r="I425" s="10"/>
    </row>
    <row r="426">
      <c r="A426" s="10"/>
      <c r="B426" s="10"/>
      <c r="C426" s="11"/>
      <c r="D426" s="12"/>
      <c r="E426" s="12"/>
      <c r="F426" s="11"/>
      <c r="G426" s="12"/>
      <c r="H426" s="9"/>
      <c r="I426" s="10"/>
    </row>
    <row r="427">
      <c r="A427" s="10"/>
      <c r="B427" s="10"/>
      <c r="C427" s="11"/>
      <c r="D427" s="12"/>
      <c r="E427" s="12"/>
      <c r="F427" s="11"/>
      <c r="G427" s="12"/>
      <c r="H427" s="9"/>
      <c r="I427" s="10"/>
    </row>
    <row r="428">
      <c r="A428" s="10"/>
      <c r="B428" s="10"/>
      <c r="C428" s="11"/>
      <c r="D428" s="12"/>
      <c r="E428" s="12"/>
      <c r="F428" s="11"/>
      <c r="G428" s="12"/>
      <c r="H428" s="9"/>
      <c r="I428" s="10"/>
    </row>
    <row r="429">
      <c r="A429" s="10"/>
      <c r="B429" s="10"/>
      <c r="C429" s="11"/>
      <c r="D429" s="12"/>
      <c r="E429" s="12"/>
      <c r="F429" s="11"/>
      <c r="G429" s="12"/>
      <c r="H429" s="9"/>
      <c r="I429" s="10"/>
    </row>
    <row r="430">
      <c r="A430" s="10"/>
      <c r="B430" s="10"/>
      <c r="C430" s="11"/>
      <c r="D430" s="12"/>
      <c r="E430" s="12"/>
      <c r="F430" s="11"/>
      <c r="G430" s="12"/>
      <c r="H430" s="9"/>
      <c r="I430" s="10"/>
    </row>
    <row r="431">
      <c r="A431" s="10"/>
      <c r="B431" s="10"/>
      <c r="C431" s="11"/>
      <c r="D431" s="12"/>
      <c r="E431" s="12"/>
      <c r="F431" s="11"/>
      <c r="G431" s="12"/>
      <c r="H431" s="9"/>
      <c r="I431" s="10"/>
    </row>
    <row r="432">
      <c r="A432" s="10"/>
      <c r="B432" s="10"/>
      <c r="C432" s="11"/>
      <c r="D432" s="12"/>
      <c r="E432" s="12"/>
      <c r="F432" s="11"/>
      <c r="G432" s="12"/>
      <c r="H432" s="9"/>
      <c r="I432" s="10"/>
    </row>
    <row r="433">
      <c r="A433" s="10"/>
      <c r="B433" s="10"/>
      <c r="C433" s="11"/>
      <c r="D433" s="12"/>
      <c r="E433" s="12"/>
      <c r="F433" s="11"/>
      <c r="G433" s="12"/>
      <c r="H433" s="9"/>
      <c r="I433" s="10"/>
    </row>
    <row r="434">
      <c r="A434" s="10"/>
      <c r="B434" s="10"/>
      <c r="C434" s="11"/>
      <c r="D434" s="12"/>
      <c r="E434" s="12"/>
      <c r="F434" s="11"/>
      <c r="G434" s="12"/>
      <c r="H434" s="9"/>
      <c r="I434" s="10"/>
    </row>
    <row r="435">
      <c r="A435" s="10"/>
      <c r="B435" s="10"/>
      <c r="C435" s="11"/>
      <c r="D435" s="12"/>
      <c r="E435" s="12"/>
      <c r="F435" s="11"/>
      <c r="G435" s="12"/>
      <c r="H435" s="9"/>
      <c r="I435" s="10"/>
    </row>
    <row r="436">
      <c r="A436" s="10"/>
      <c r="B436" s="10"/>
      <c r="C436" s="11"/>
      <c r="D436" s="12"/>
      <c r="E436" s="12"/>
      <c r="F436" s="11"/>
      <c r="G436" s="12"/>
      <c r="H436" s="9"/>
      <c r="I436" s="10"/>
    </row>
    <row r="437">
      <c r="A437" s="10"/>
      <c r="B437" s="10"/>
      <c r="C437" s="11"/>
      <c r="D437" s="12"/>
      <c r="E437" s="12"/>
      <c r="F437" s="11"/>
      <c r="G437" s="12"/>
      <c r="H437" s="9"/>
      <c r="I437" s="10"/>
    </row>
    <row r="438">
      <c r="A438" s="10"/>
      <c r="B438" s="10"/>
      <c r="C438" s="11"/>
      <c r="D438" s="12"/>
      <c r="E438" s="12"/>
      <c r="F438" s="11"/>
      <c r="G438" s="12"/>
      <c r="H438" s="9"/>
      <c r="I438" s="10"/>
    </row>
    <row r="439">
      <c r="A439" s="10"/>
      <c r="B439" s="10"/>
      <c r="C439" s="11"/>
      <c r="D439" s="12"/>
      <c r="E439" s="12"/>
      <c r="F439" s="11"/>
      <c r="G439" s="12"/>
      <c r="H439" s="9"/>
      <c r="I439" s="10"/>
    </row>
    <row r="440">
      <c r="A440" s="10"/>
      <c r="B440" s="10"/>
      <c r="C440" s="11"/>
      <c r="D440" s="12"/>
      <c r="E440" s="12"/>
      <c r="F440" s="11"/>
      <c r="G440" s="12"/>
      <c r="H440" s="9"/>
      <c r="I440" s="10"/>
    </row>
    <row r="441">
      <c r="A441" s="10"/>
      <c r="B441" s="10"/>
      <c r="C441" s="11"/>
      <c r="D441" s="12"/>
      <c r="E441" s="12"/>
      <c r="F441" s="11"/>
      <c r="G441" s="12"/>
      <c r="H441" s="9"/>
      <c r="I441" s="10"/>
    </row>
    <row r="442">
      <c r="A442" s="10"/>
      <c r="B442" s="10"/>
      <c r="C442" s="11"/>
      <c r="D442" s="12"/>
      <c r="E442" s="12"/>
      <c r="F442" s="11"/>
      <c r="G442" s="12"/>
      <c r="H442" s="9"/>
      <c r="I442" s="10"/>
    </row>
    <row r="443">
      <c r="A443" s="10"/>
      <c r="B443" s="10"/>
      <c r="C443" s="11"/>
      <c r="D443" s="12"/>
      <c r="E443" s="12"/>
      <c r="F443" s="11"/>
      <c r="G443" s="12"/>
      <c r="H443" s="9"/>
      <c r="I443" s="10"/>
    </row>
    <row r="444">
      <c r="A444" s="10"/>
      <c r="B444" s="10"/>
      <c r="C444" s="11"/>
      <c r="D444" s="12"/>
      <c r="E444" s="12"/>
      <c r="F444" s="11"/>
      <c r="G444" s="12"/>
      <c r="H444" s="9"/>
      <c r="I444" s="10"/>
    </row>
    <row r="445">
      <c r="A445" s="10"/>
      <c r="B445" s="10"/>
      <c r="C445" s="11"/>
      <c r="D445" s="12"/>
      <c r="E445" s="12"/>
      <c r="F445" s="11"/>
      <c r="G445" s="12"/>
      <c r="H445" s="9"/>
      <c r="I445" s="10"/>
    </row>
    <row r="446">
      <c r="A446" s="10"/>
      <c r="B446" s="10"/>
      <c r="C446" s="11"/>
      <c r="D446" s="12"/>
      <c r="E446" s="12"/>
      <c r="F446" s="11"/>
      <c r="G446" s="12"/>
      <c r="H446" s="9"/>
      <c r="I446" s="10"/>
    </row>
    <row r="447">
      <c r="A447" s="10"/>
      <c r="B447" s="10"/>
      <c r="C447" s="11"/>
      <c r="D447" s="12"/>
      <c r="E447" s="12"/>
      <c r="F447" s="11"/>
      <c r="G447" s="12"/>
      <c r="H447" s="9"/>
      <c r="I447" s="10"/>
    </row>
    <row r="448">
      <c r="A448" s="10"/>
      <c r="B448" s="10"/>
      <c r="C448" s="11"/>
      <c r="D448" s="12"/>
      <c r="E448" s="12"/>
      <c r="F448" s="11"/>
      <c r="G448" s="12"/>
      <c r="H448" s="9"/>
      <c r="I448" s="10"/>
    </row>
    <row r="449">
      <c r="A449" s="10"/>
      <c r="B449" s="10"/>
      <c r="C449" s="11"/>
      <c r="D449" s="12"/>
      <c r="E449" s="12"/>
      <c r="F449" s="11"/>
      <c r="G449" s="12"/>
      <c r="H449" s="9"/>
      <c r="I449" s="10"/>
    </row>
    <row r="450">
      <c r="A450" s="10"/>
      <c r="B450" s="10"/>
      <c r="C450" s="11"/>
      <c r="D450" s="12"/>
      <c r="E450" s="12"/>
      <c r="F450" s="11"/>
      <c r="G450" s="12"/>
      <c r="H450" s="9"/>
      <c r="I450" s="10"/>
    </row>
    <row r="451">
      <c r="A451" s="10"/>
      <c r="B451" s="10"/>
      <c r="C451" s="11"/>
      <c r="D451" s="12"/>
      <c r="E451" s="12"/>
      <c r="F451" s="11"/>
      <c r="G451" s="12"/>
      <c r="H451" s="9"/>
      <c r="I451" s="10"/>
    </row>
    <row r="452">
      <c r="A452" s="10"/>
      <c r="B452" s="10"/>
      <c r="C452" s="11"/>
      <c r="D452" s="12"/>
      <c r="E452" s="12"/>
      <c r="F452" s="11"/>
      <c r="G452" s="12"/>
      <c r="H452" s="9"/>
      <c r="I452" s="10"/>
    </row>
    <row r="453">
      <c r="A453" s="10"/>
      <c r="B453" s="10"/>
      <c r="C453" s="11"/>
      <c r="D453" s="12"/>
      <c r="E453" s="12"/>
      <c r="F453" s="11"/>
      <c r="G453" s="12"/>
      <c r="H453" s="9"/>
      <c r="I453" s="10"/>
    </row>
    <row r="454">
      <c r="A454" s="10"/>
      <c r="B454" s="10"/>
      <c r="C454" s="11"/>
      <c r="D454" s="12"/>
      <c r="E454" s="12"/>
      <c r="F454" s="11"/>
      <c r="G454" s="12"/>
      <c r="H454" s="9"/>
      <c r="I454" s="10"/>
    </row>
    <row r="455">
      <c r="A455" s="10"/>
      <c r="B455" s="10"/>
      <c r="C455" s="11"/>
      <c r="D455" s="12"/>
      <c r="E455" s="12"/>
      <c r="F455" s="11"/>
      <c r="G455" s="12"/>
      <c r="H455" s="9"/>
      <c r="I455" s="10"/>
    </row>
    <row r="456">
      <c r="A456" s="10"/>
      <c r="B456" s="10"/>
      <c r="C456" s="11"/>
      <c r="D456" s="12"/>
      <c r="E456" s="12"/>
      <c r="F456" s="11"/>
      <c r="G456" s="12"/>
      <c r="H456" s="9"/>
      <c r="I456" s="10"/>
    </row>
    <row r="457">
      <c r="A457" s="10"/>
      <c r="B457" s="10"/>
      <c r="C457" s="11"/>
      <c r="D457" s="12"/>
      <c r="E457" s="12"/>
      <c r="F457" s="11"/>
      <c r="G457" s="12"/>
      <c r="H457" s="9"/>
      <c r="I457" s="10"/>
    </row>
    <row r="458">
      <c r="A458" s="10"/>
      <c r="B458" s="10"/>
      <c r="C458" s="11"/>
      <c r="D458" s="12"/>
      <c r="E458" s="12"/>
      <c r="F458" s="11"/>
      <c r="G458" s="12"/>
      <c r="H458" s="9"/>
      <c r="I458" s="10"/>
    </row>
    <row r="459">
      <c r="A459" s="10"/>
      <c r="B459" s="10"/>
      <c r="C459" s="11"/>
      <c r="D459" s="12"/>
      <c r="E459" s="12"/>
      <c r="F459" s="11"/>
      <c r="G459" s="12"/>
      <c r="H459" s="9"/>
      <c r="I459" s="10"/>
    </row>
    <row r="460">
      <c r="A460" s="10"/>
      <c r="B460" s="10"/>
      <c r="C460" s="11"/>
      <c r="D460" s="12"/>
      <c r="E460" s="12"/>
      <c r="F460" s="11"/>
      <c r="G460" s="12"/>
      <c r="H460" s="9"/>
      <c r="I460" s="10"/>
    </row>
    <row r="461">
      <c r="A461" s="10"/>
      <c r="B461" s="10"/>
      <c r="C461" s="11"/>
      <c r="D461" s="12"/>
      <c r="E461" s="12"/>
      <c r="F461" s="11"/>
      <c r="G461" s="12"/>
      <c r="H461" s="9"/>
      <c r="I461" s="10"/>
    </row>
    <row r="462">
      <c r="A462" s="10"/>
      <c r="B462" s="10"/>
      <c r="C462" s="11"/>
      <c r="D462" s="12"/>
      <c r="E462" s="12"/>
      <c r="F462" s="11"/>
      <c r="G462" s="12"/>
      <c r="H462" s="9"/>
      <c r="I462" s="10"/>
    </row>
    <row r="463">
      <c r="A463" s="10"/>
      <c r="B463" s="10"/>
      <c r="C463" s="11"/>
      <c r="D463" s="12"/>
      <c r="E463" s="12"/>
      <c r="F463" s="11"/>
      <c r="G463" s="12"/>
      <c r="H463" s="9"/>
      <c r="I463" s="10"/>
    </row>
    <row r="464">
      <c r="A464" s="10"/>
      <c r="B464" s="10"/>
      <c r="C464" s="11"/>
      <c r="D464" s="12"/>
      <c r="E464" s="12"/>
      <c r="F464" s="11"/>
      <c r="G464" s="12"/>
      <c r="H464" s="9"/>
      <c r="I464" s="10"/>
    </row>
    <row r="465">
      <c r="A465" s="10"/>
      <c r="B465" s="10"/>
      <c r="C465" s="11"/>
      <c r="D465" s="12"/>
      <c r="E465" s="12"/>
      <c r="F465" s="11"/>
      <c r="G465" s="12"/>
      <c r="H465" s="9"/>
      <c r="I465" s="10"/>
    </row>
    <row r="466">
      <c r="A466" s="10"/>
      <c r="B466" s="10"/>
      <c r="C466" s="11"/>
      <c r="D466" s="12"/>
      <c r="E466" s="12"/>
      <c r="F466" s="11"/>
      <c r="G466" s="12"/>
      <c r="H466" s="9"/>
      <c r="I466" s="10"/>
    </row>
    <row r="467">
      <c r="A467" s="10"/>
      <c r="B467" s="10"/>
      <c r="C467" s="11"/>
      <c r="D467" s="12"/>
      <c r="E467" s="12"/>
      <c r="F467" s="11"/>
      <c r="G467" s="12"/>
      <c r="H467" s="9"/>
      <c r="I467" s="10"/>
    </row>
    <row r="468">
      <c r="A468" s="10"/>
      <c r="B468" s="10"/>
      <c r="C468" s="11"/>
      <c r="D468" s="12"/>
      <c r="E468" s="12"/>
      <c r="F468" s="11"/>
      <c r="G468" s="12"/>
      <c r="H468" s="9"/>
      <c r="I468" s="10"/>
    </row>
    <row r="469">
      <c r="A469" s="10"/>
      <c r="B469" s="10"/>
      <c r="C469" s="11"/>
      <c r="D469" s="12"/>
      <c r="E469" s="12"/>
      <c r="F469" s="11"/>
      <c r="G469" s="12"/>
      <c r="H469" s="9"/>
      <c r="I469" s="10"/>
    </row>
    <row r="470">
      <c r="A470" s="10"/>
      <c r="B470" s="10"/>
      <c r="C470" s="11"/>
      <c r="D470" s="12"/>
      <c r="E470" s="12"/>
      <c r="F470" s="11"/>
      <c r="G470" s="12"/>
      <c r="H470" s="9"/>
      <c r="I470" s="10"/>
    </row>
    <row r="471">
      <c r="A471" s="10"/>
      <c r="B471" s="10"/>
      <c r="C471" s="11"/>
      <c r="D471" s="12"/>
      <c r="E471" s="12"/>
      <c r="F471" s="11"/>
      <c r="G471" s="12"/>
      <c r="H471" s="9"/>
      <c r="I471" s="10"/>
    </row>
    <row r="472">
      <c r="A472" s="10"/>
      <c r="B472" s="10"/>
      <c r="C472" s="11"/>
      <c r="D472" s="12"/>
      <c r="E472" s="12"/>
      <c r="F472" s="11"/>
      <c r="G472" s="12"/>
      <c r="H472" s="9"/>
      <c r="I472" s="10"/>
    </row>
    <row r="473">
      <c r="A473" s="10"/>
      <c r="B473" s="10"/>
      <c r="C473" s="11"/>
      <c r="D473" s="12"/>
      <c r="E473" s="12"/>
      <c r="F473" s="11"/>
      <c r="G473" s="12"/>
      <c r="H473" s="9"/>
      <c r="I473" s="10"/>
    </row>
    <row r="474">
      <c r="A474" s="10"/>
      <c r="B474" s="10"/>
      <c r="C474" s="11"/>
      <c r="D474" s="12"/>
      <c r="E474" s="12"/>
      <c r="F474" s="11"/>
      <c r="G474" s="12"/>
      <c r="H474" s="9"/>
      <c r="I474" s="10"/>
    </row>
    <row r="475">
      <c r="A475" s="10"/>
      <c r="B475" s="10"/>
      <c r="C475" s="11"/>
      <c r="D475" s="12"/>
      <c r="E475" s="12"/>
      <c r="F475" s="11"/>
      <c r="G475" s="12"/>
      <c r="H475" s="9"/>
      <c r="I475" s="10"/>
    </row>
    <row r="476">
      <c r="A476" s="10"/>
      <c r="B476" s="10"/>
      <c r="C476" s="11"/>
      <c r="D476" s="12"/>
      <c r="E476" s="12"/>
      <c r="F476" s="11"/>
      <c r="G476" s="12"/>
      <c r="H476" s="9"/>
      <c r="I476" s="10"/>
    </row>
    <row r="477">
      <c r="A477" s="10"/>
      <c r="B477" s="10"/>
      <c r="C477" s="11"/>
      <c r="D477" s="12"/>
      <c r="E477" s="12"/>
      <c r="F477" s="11"/>
      <c r="G477" s="12"/>
      <c r="H477" s="9"/>
      <c r="I477" s="10"/>
    </row>
    <row r="478">
      <c r="A478" s="10"/>
      <c r="B478" s="10"/>
      <c r="C478" s="11"/>
      <c r="D478" s="12"/>
      <c r="E478" s="12"/>
      <c r="F478" s="11"/>
      <c r="G478" s="12"/>
      <c r="H478" s="9"/>
      <c r="I478" s="10"/>
    </row>
    <row r="479">
      <c r="A479" s="10"/>
      <c r="B479" s="10"/>
      <c r="C479" s="11"/>
      <c r="D479" s="12"/>
      <c r="E479" s="12"/>
      <c r="F479" s="11"/>
      <c r="G479" s="12"/>
      <c r="H479" s="9"/>
      <c r="I479" s="10"/>
    </row>
    <row r="480">
      <c r="A480" s="10"/>
      <c r="B480" s="10"/>
      <c r="C480" s="11"/>
      <c r="D480" s="12"/>
      <c r="E480" s="12"/>
      <c r="F480" s="11"/>
      <c r="G480" s="12"/>
      <c r="H480" s="9"/>
      <c r="I480" s="10"/>
    </row>
    <row r="481">
      <c r="A481" s="10"/>
      <c r="B481" s="10"/>
      <c r="C481" s="11"/>
      <c r="D481" s="12"/>
      <c r="E481" s="12"/>
      <c r="F481" s="11"/>
      <c r="G481" s="12"/>
      <c r="H481" s="9"/>
      <c r="I481" s="10"/>
    </row>
    <row r="482">
      <c r="A482" s="10"/>
      <c r="B482" s="10"/>
      <c r="C482" s="11"/>
      <c r="D482" s="12"/>
      <c r="E482" s="12"/>
      <c r="F482" s="11"/>
      <c r="G482" s="12"/>
      <c r="H482" s="9"/>
      <c r="I482" s="10"/>
    </row>
    <row r="483">
      <c r="A483" s="10"/>
      <c r="B483" s="10"/>
      <c r="C483" s="11"/>
      <c r="D483" s="12"/>
      <c r="E483" s="12"/>
      <c r="F483" s="11"/>
      <c r="G483" s="12"/>
      <c r="H483" s="9"/>
      <c r="I483" s="10"/>
    </row>
    <row r="484">
      <c r="A484" s="10"/>
      <c r="B484" s="10"/>
      <c r="C484" s="11"/>
      <c r="D484" s="12"/>
      <c r="E484" s="12"/>
      <c r="F484" s="11"/>
      <c r="G484" s="12"/>
      <c r="H484" s="9"/>
      <c r="I484" s="10"/>
    </row>
    <row r="485">
      <c r="A485" s="10"/>
      <c r="B485" s="10"/>
      <c r="C485" s="11"/>
      <c r="D485" s="12"/>
      <c r="E485" s="12"/>
      <c r="F485" s="11"/>
      <c r="G485" s="12"/>
      <c r="H485" s="9"/>
      <c r="I485" s="10"/>
    </row>
    <row r="486">
      <c r="A486" s="10"/>
      <c r="B486" s="10"/>
      <c r="C486" s="11"/>
      <c r="D486" s="12"/>
      <c r="E486" s="12"/>
      <c r="F486" s="11"/>
      <c r="G486" s="12"/>
      <c r="H486" s="9"/>
      <c r="I486" s="10"/>
    </row>
    <row r="487">
      <c r="A487" s="10"/>
      <c r="B487" s="10"/>
      <c r="C487" s="11"/>
      <c r="D487" s="12"/>
      <c r="E487" s="12"/>
      <c r="F487" s="11"/>
      <c r="G487" s="12"/>
      <c r="H487" s="9"/>
      <c r="I487" s="10"/>
    </row>
    <row r="488">
      <c r="A488" s="10"/>
      <c r="B488" s="10"/>
      <c r="C488" s="11"/>
      <c r="D488" s="12"/>
      <c r="E488" s="12"/>
      <c r="F488" s="11"/>
      <c r="G488" s="12"/>
      <c r="H488" s="9"/>
      <c r="I488" s="10"/>
    </row>
    <row r="489">
      <c r="A489" s="10"/>
      <c r="B489" s="10"/>
      <c r="C489" s="11"/>
      <c r="D489" s="12"/>
      <c r="E489" s="12"/>
      <c r="F489" s="11"/>
      <c r="G489" s="12"/>
      <c r="H489" s="9"/>
      <c r="I489" s="10"/>
    </row>
    <row r="490">
      <c r="A490" s="10"/>
      <c r="B490" s="10"/>
      <c r="C490" s="11"/>
      <c r="D490" s="12"/>
      <c r="E490" s="12"/>
      <c r="F490" s="11"/>
      <c r="G490" s="12"/>
      <c r="H490" s="9"/>
      <c r="I490" s="10"/>
    </row>
    <row r="491">
      <c r="A491" s="10"/>
      <c r="B491" s="10"/>
      <c r="C491" s="11"/>
      <c r="D491" s="12"/>
      <c r="E491" s="12"/>
      <c r="F491" s="11"/>
      <c r="G491" s="12"/>
      <c r="H491" s="9"/>
      <c r="I491" s="10"/>
    </row>
    <row r="492">
      <c r="A492" s="10"/>
      <c r="B492" s="10"/>
      <c r="C492" s="11"/>
      <c r="D492" s="12"/>
      <c r="E492" s="12"/>
      <c r="F492" s="11"/>
      <c r="G492" s="12"/>
      <c r="H492" s="9"/>
      <c r="I492" s="10"/>
    </row>
    <row r="493">
      <c r="A493" s="10"/>
      <c r="B493" s="10"/>
      <c r="C493" s="11"/>
      <c r="D493" s="12"/>
      <c r="E493" s="12"/>
      <c r="F493" s="11"/>
      <c r="G493" s="12"/>
      <c r="H493" s="9"/>
      <c r="I493" s="10"/>
    </row>
    <row r="494">
      <c r="A494" s="10"/>
      <c r="B494" s="10"/>
      <c r="C494" s="11"/>
      <c r="D494" s="12"/>
      <c r="E494" s="12"/>
      <c r="F494" s="11"/>
      <c r="G494" s="12"/>
      <c r="H494" s="9"/>
      <c r="I494" s="10"/>
    </row>
    <row r="495">
      <c r="A495" s="10"/>
      <c r="B495" s="10"/>
      <c r="C495" s="11"/>
      <c r="D495" s="12"/>
      <c r="E495" s="12"/>
      <c r="F495" s="11"/>
      <c r="G495" s="12"/>
      <c r="H495" s="9"/>
      <c r="I495" s="10"/>
    </row>
    <row r="496">
      <c r="A496" s="10"/>
      <c r="B496" s="10"/>
      <c r="C496" s="11"/>
      <c r="D496" s="12"/>
      <c r="E496" s="12"/>
      <c r="F496" s="11"/>
      <c r="G496" s="12"/>
      <c r="H496" s="9"/>
      <c r="I496" s="10"/>
    </row>
    <row r="497">
      <c r="A497" s="10"/>
      <c r="B497" s="10"/>
      <c r="C497" s="11"/>
      <c r="D497" s="12"/>
      <c r="E497" s="12"/>
      <c r="F497" s="11"/>
      <c r="G497" s="12"/>
      <c r="H497" s="9"/>
      <c r="I497" s="10"/>
    </row>
    <row r="498">
      <c r="A498" s="10"/>
      <c r="B498" s="10"/>
      <c r="C498" s="11"/>
      <c r="D498" s="12"/>
      <c r="E498" s="12"/>
      <c r="F498" s="11"/>
      <c r="G498" s="12"/>
      <c r="H498" s="9"/>
      <c r="I498" s="10"/>
    </row>
    <row r="499">
      <c r="A499" s="10"/>
      <c r="B499" s="10"/>
      <c r="C499" s="11"/>
      <c r="D499" s="12"/>
      <c r="E499" s="12"/>
      <c r="F499" s="11"/>
      <c r="G499" s="12"/>
      <c r="H499" s="9"/>
      <c r="I499" s="10"/>
    </row>
    <row r="500">
      <c r="A500" s="10"/>
      <c r="B500" s="10"/>
      <c r="C500" s="11"/>
      <c r="D500" s="12"/>
      <c r="E500" s="12"/>
      <c r="F500" s="11"/>
      <c r="G500" s="12"/>
      <c r="H500" s="9"/>
      <c r="I500" s="10"/>
    </row>
  </sheetData>
  <mergeCells count="2">
    <mergeCell ref="B1:D1"/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5" width="8.0"/>
    <col customWidth="1" min="6" max="6" width="7.0"/>
    <col customWidth="1" min="7" max="7" width="6.38"/>
    <col customWidth="1" min="8" max="8" width="8.0"/>
    <col customWidth="1" min="9" max="9" width="7.0"/>
    <col customWidth="1" min="10" max="10" width="8.0"/>
    <col customWidth="1" min="11" max="11" width="6.25"/>
    <col customWidth="1" min="12" max="12" width="7.0"/>
    <col customWidth="1" min="13" max="13" width="5.63"/>
    <col customWidth="1" min="14" max="14" width="7.0"/>
    <col customWidth="1" min="15" max="15" width="8.5"/>
    <col customWidth="1" min="16" max="16" width="7.0"/>
    <col customWidth="1" min="17" max="17" width="7.88"/>
    <col customWidth="1" min="18" max="18" width="5.88"/>
    <col customWidth="1" min="19" max="19" width="6.13"/>
    <col customWidth="1" min="20" max="20" width="9.63"/>
    <col customWidth="1" min="21" max="21" width="6.13"/>
    <col customWidth="1" min="22" max="24" width="8.0"/>
    <col customWidth="1" min="25" max="25" width="6.13"/>
    <col customWidth="1" min="26" max="27" width="8.0"/>
    <col customWidth="1" min="28" max="28" width="7.0"/>
    <col customWidth="1" min="29" max="29" width="8.0"/>
  </cols>
  <sheetData>
    <row r="1">
      <c r="A1" s="13"/>
      <c r="B1" s="14" t="s">
        <v>7</v>
      </c>
      <c r="C1" s="15" t="s">
        <v>8</v>
      </c>
      <c r="D1" s="15" t="s">
        <v>9</v>
      </c>
      <c r="E1" s="15" t="s">
        <v>10</v>
      </c>
      <c r="F1" s="15" t="s">
        <v>11</v>
      </c>
      <c r="G1" s="15" t="s">
        <v>12</v>
      </c>
      <c r="H1" s="15" t="s">
        <v>13</v>
      </c>
      <c r="I1" s="15" t="s">
        <v>14</v>
      </c>
      <c r="J1" s="15" t="s">
        <v>15</v>
      </c>
      <c r="K1" s="15" t="s">
        <v>16</v>
      </c>
      <c r="L1" s="15" t="s">
        <v>17</v>
      </c>
      <c r="M1" s="15" t="s">
        <v>18</v>
      </c>
      <c r="N1" s="15" t="s">
        <v>19</v>
      </c>
      <c r="O1" s="15" t="s">
        <v>20</v>
      </c>
      <c r="P1" s="15" t="s">
        <v>21</v>
      </c>
      <c r="Q1" s="15" t="s">
        <v>22</v>
      </c>
      <c r="R1" s="15" t="s">
        <v>23</v>
      </c>
      <c r="S1" s="15" t="s">
        <v>24</v>
      </c>
      <c r="T1" s="15" t="s">
        <v>25</v>
      </c>
      <c r="U1" s="15" t="s">
        <v>26</v>
      </c>
      <c r="V1" s="15" t="s">
        <v>27</v>
      </c>
      <c r="W1" s="15" t="s">
        <v>28</v>
      </c>
      <c r="X1" s="15" t="s">
        <v>29</v>
      </c>
      <c r="Y1" s="15" t="s">
        <v>30</v>
      </c>
      <c r="Z1" s="15" t="s">
        <v>31</v>
      </c>
      <c r="AA1" s="15" t="s">
        <v>32</v>
      </c>
      <c r="AB1" s="15" t="s">
        <v>33</v>
      </c>
      <c r="AC1" s="15" t="s">
        <v>34</v>
      </c>
    </row>
    <row r="2">
      <c r="A2" s="16" t="s">
        <v>35</v>
      </c>
      <c r="B2" s="17" t="s">
        <v>36</v>
      </c>
      <c r="C2" s="17" t="s">
        <v>37</v>
      </c>
      <c r="D2" s="17" t="s">
        <v>38</v>
      </c>
      <c r="E2" s="17" t="s">
        <v>38</v>
      </c>
      <c r="F2" s="17" t="s">
        <v>37</v>
      </c>
      <c r="G2" s="17" t="s">
        <v>37</v>
      </c>
      <c r="H2" s="17" t="s">
        <v>37</v>
      </c>
      <c r="I2" s="17" t="s">
        <v>38</v>
      </c>
      <c r="J2" s="17" t="s">
        <v>38</v>
      </c>
      <c r="K2" s="17" t="s">
        <v>36</v>
      </c>
      <c r="L2" s="17" t="s">
        <v>37</v>
      </c>
      <c r="M2" s="17" t="s">
        <v>37</v>
      </c>
      <c r="N2" s="17" t="s">
        <v>39</v>
      </c>
      <c r="O2" s="17" t="s">
        <v>36</v>
      </c>
      <c r="P2" s="17" t="s">
        <v>39</v>
      </c>
      <c r="Q2" s="17" t="s">
        <v>37</v>
      </c>
      <c r="R2" s="17" t="s">
        <v>40</v>
      </c>
      <c r="S2" s="17" t="s">
        <v>41</v>
      </c>
      <c r="T2" s="17" t="s">
        <v>36</v>
      </c>
      <c r="U2" s="17" t="s">
        <v>36</v>
      </c>
      <c r="V2" s="17" t="s">
        <v>36</v>
      </c>
      <c r="W2" s="17" t="s">
        <v>36</v>
      </c>
      <c r="X2" s="17" t="s">
        <v>38</v>
      </c>
      <c r="Y2" s="17" t="s">
        <v>36</v>
      </c>
      <c r="Z2" s="17" t="s">
        <v>36</v>
      </c>
      <c r="AA2" s="17" t="s">
        <v>36</v>
      </c>
      <c r="AB2" s="17" t="s">
        <v>37</v>
      </c>
      <c r="AC2" s="17" t="s">
        <v>36</v>
      </c>
    </row>
    <row r="3">
      <c r="A3" s="18"/>
      <c r="B3" s="17" t="s">
        <v>38</v>
      </c>
      <c r="C3" s="17" t="s">
        <v>39</v>
      </c>
      <c r="D3" s="17" t="s">
        <v>40</v>
      </c>
      <c r="E3" s="17" t="s">
        <v>36</v>
      </c>
      <c r="F3" s="17" t="s">
        <v>39</v>
      </c>
      <c r="G3" s="17" t="s">
        <v>40</v>
      </c>
      <c r="H3" s="17" t="s">
        <v>39</v>
      </c>
      <c r="I3" s="17" t="s">
        <v>37</v>
      </c>
      <c r="J3" s="17" t="s">
        <v>37</v>
      </c>
      <c r="K3" s="17" t="s">
        <v>40</v>
      </c>
      <c r="L3" s="17" t="s">
        <v>39</v>
      </c>
      <c r="M3" s="17" t="s">
        <v>40</v>
      </c>
      <c r="N3" s="17" t="s">
        <v>42</v>
      </c>
      <c r="O3" s="17" t="s">
        <v>37</v>
      </c>
      <c r="P3" s="17" t="s">
        <v>42</v>
      </c>
      <c r="Q3" s="17" t="s">
        <v>39</v>
      </c>
      <c r="R3" s="17" t="s">
        <v>43</v>
      </c>
      <c r="S3" s="17" t="s">
        <v>43</v>
      </c>
      <c r="T3" s="17" t="s">
        <v>38</v>
      </c>
      <c r="U3" s="17" t="s">
        <v>40</v>
      </c>
      <c r="V3" s="17" t="s">
        <v>38</v>
      </c>
      <c r="W3" s="17" t="s">
        <v>38</v>
      </c>
      <c r="X3" s="17" t="s">
        <v>40</v>
      </c>
      <c r="Y3" s="17" t="s">
        <v>37</v>
      </c>
      <c r="Z3" s="17" t="s">
        <v>38</v>
      </c>
      <c r="AA3" s="17" t="s">
        <v>42</v>
      </c>
      <c r="AB3" s="17" t="s">
        <v>39</v>
      </c>
      <c r="AC3" s="17" t="s">
        <v>37</v>
      </c>
    </row>
    <row r="4">
      <c r="A4" s="18"/>
      <c r="B4" s="17" t="s">
        <v>40</v>
      </c>
      <c r="C4" s="17" t="s">
        <v>42</v>
      </c>
      <c r="D4" s="17" t="s">
        <v>39</v>
      </c>
      <c r="E4" s="19"/>
      <c r="F4" s="17" t="s">
        <v>42</v>
      </c>
      <c r="G4" s="17" t="s">
        <v>43</v>
      </c>
      <c r="H4" s="17" t="s">
        <v>42</v>
      </c>
      <c r="I4" s="17" t="s">
        <v>39</v>
      </c>
      <c r="J4" s="17" t="s">
        <v>39</v>
      </c>
      <c r="K4" s="17" t="s">
        <v>43</v>
      </c>
      <c r="L4" s="17" t="s">
        <v>42</v>
      </c>
      <c r="M4" s="17" t="s">
        <v>43</v>
      </c>
      <c r="N4" s="17" t="s">
        <v>41</v>
      </c>
      <c r="O4" s="17" t="s">
        <v>40</v>
      </c>
      <c r="P4" s="17" t="s">
        <v>41</v>
      </c>
      <c r="Q4" s="17" t="s">
        <v>42</v>
      </c>
      <c r="R4" s="19"/>
      <c r="S4" s="17"/>
      <c r="T4" s="17" t="s">
        <v>40</v>
      </c>
      <c r="U4" s="17" t="s">
        <v>41</v>
      </c>
      <c r="V4" s="17" t="s">
        <v>41</v>
      </c>
      <c r="W4" s="17" t="s">
        <v>43</v>
      </c>
      <c r="X4" s="17" t="s">
        <v>39</v>
      </c>
      <c r="Y4" s="17" t="s">
        <v>40</v>
      </c>
      <c r="Z4" s="17" t="s">
        <v>40</v>
      </c>
      <c r="AA4" s="17" t="s">
        <v>43</v>
      </c>
      <c r="AB4" s="17" t="s">
        <v>42</v>
      </c>
      <c r="AC4" s="17" t="s">
        <v>39</v>
      </c>
    </row>
    <row r="5">
      <c r="A5" s="20"/>
      <c r="B5" s="19"/>
      <c r="C5" s="17" t="s">
        <v>41</v>
      </c>
      <c r="D5" s="21"/>
      <c r="E5" s="19"/>
      <c r="F5" s="17" t="s">
        <v>41</v>
      </c>
      <c r="G5" s="19"/>
      <c r="H5" s="17" t="s">
        <v>41</v>
      </c>
      <c r="I5" s="17" t="s">
        <v>41</v>
      </c>
      <c r="J5" s="17" t="s">
        <v>43</v>
      </c>
      <c r="K5" s="19"/>
      <c r="L5" s="17" t="s">
        <v>41</v>
      </c>
      <c r="M5" s="19"/>
      <c r="N5" s="21"/>
      <c r="O5" s="17" t="s">
        <v>43</v>
      </c>
      <c r="P5" s="21"/>
      <c r="Q5" s="17" t="s">
        <v>41</v>
      </c>
      <c r="R5" s="19"/>
      <c r="S5" s="17"/>
      <c r="T5" s="19"/>
      <c r="U5" s="19"/>
      <c r="V5" s="19"/>
      <c r="W5" s="19"/>
      <c r="X5" s="21"/>
      <c r="Y5" s="17" t="s">
        <v>43</v>
      </c>
      <c r="Z5" s="19"/>
      <c r="AA5" s="19"/>
      <c r="AB5" s="17" t="s">
        <v>41</v>
      </c>
      <c r="AC5" s="21"/>
    </row>
    <row r="6">
      <c r="A6" s="22" t="s">
        <v>44</v>
      </c>
      <c r="B6" s="23" t="s">
        <v>45</v>
      </c>
      <c r="C6" s="23" t="s">
        <v>46</v>
      </c>
      <c r="D6" s="23" t="s">
        <v>45</v>
      </c>
      <c r="E6" s="23" t="s">
        <v>45</v>
      </c>
      <c r="F6" s="23" t="s">
        <v>46</v>
      </c>
      <c r="G6" s="23" t="s">
        <v>47</v>
      </c>
      <c r="H6" s="23" t="s">
        <v>46</v>
      </c>
      <c r="I6" s="23" t="s">
        <v>46</v>
      </c>
      <c r="J6" s="23" t="s">
        <v>46</v>
      </c>
      <c r="K6" s="23" t="s">
        <v>47</v>
      </c>
      <c r="L6" s="23" t="s">
        <v>46</v>
      </c>
      <c r="M6" s="23" t="s">
        <v>47</v>
      </c>
      <c r="N6" s="23" t="s">
        <v>46</v>
      </c>
      <c r="O6" s="23" t="s">
        <v>45</v>
      </c>
      <c r="P6" s="23" t="s">
        <v>46</v>
      </c>
      <c r="Q6" s="23" t="s">
        <v>46</v>
      </c>
      <c r="R6" s="23" t="s">
        <v>45</v>
      </c>
      <c r="S6" s="23" t="s">
        <v>47</v>
      </c>
      <c r="T6" s="23" t="s">
        <v>45</v>
      </c>
      <c r="U6" s="23" t="s">
        <v>47</v>
      </c>
      <c r="V6" s="23" t="s">
        <v>45</v>
      </c>
      <c r="W6" s="23" t="s">
        <v>46</v>
      </c>
      <c r="X6" s="23" t="s">
        <v>45</v>
      </c>
      <c r="Y6" s="23" t="s">
        <v>45</v>
      </c>
      <c r="Z6" s="23" t="s">
        <v>45</v>
      </c>
      <c r="AA6" s="23" t="s">
        <v>47</v>
      </c>
      <c r="AB6" s="23" t="s">
        <v>46</v>
      </c>
      <c r="AC6" s="23" t="s">
        <v>46</v>
      </c>
    </row>
    <row r="7">
      <c r="A7" s="20"/>
      <c r="B7" s="23" t="s">
        <v>47</v>
      </c>
      <c r="C7" s="24"/>
      <c r="D7" s="24"/>
      <c r="E7" s="23" t="s">
        <v>47</v>
      </c>
      <c r="F7" s="24"/>
      <c r="G7" s="25"/>
      <c r="H7" s="23" t="s">
        <v>45</v>
      </c>
      <c r="I7" s="23" t="s">
        <v>45</v>
      </c>
      <c r="J7" s="23" t="s">
        <v>45</v>
      </c>
      <c r="K7" s="25"/>
      <c r="L7" s="24"/>
      <c r="M7" s="25"/>
      <c r="N7" s="23" t="s">
        <v>47</v>
      </c>
      <c r="O7" s="23" t="s">
        <v>47</v>
      </c>
      <c r="P7" s="23" t="s">
        <v>47</v>
      </c>
      <c r="Q7" s="24"/>
      <c r="R7" s="23" t="s">
        <v>47</v>
      </c>
      <c r="S7" s="23"/>
      <c r="T7" s="24"/>
      <c r="U7" s="25"/>
      <c r="V7" s="24"/>
      <c r="W7" s="23" t="s">
        <v>45</v>
      </c>
      <c r="X7" s="24"/>
      <c r="Y7" s="23" t="s">
        <v>47</v>
      </c>
      <c r="Z7" s="24"/>
      <c r="AA7" s="25"/>
      <c r="AB7" s="23" t="s">
        <v>47</v>
      </c>
      <c r="AC7" s="23" t="s">
        <v>47</v>
      </c>
    </row>
    <row r="8">
      <c r="A8" s="22" t="s">
        <v>48</v>
      </c>
      <c r="B8" s="26" t="s">
        <v>49</v>
      </c>
      <c r="C8" s="26" t="s">
        <v>50</v>
      </c>
      <c r="D8" s="26" t="s">
        <v>49</v>
      </c>
      <c r="E8" s="26" t="s">
        <v>49</v>
      </c>
      <c r="F8" s="26" t="s">
        <v>50</v>
      </c>
      <c r="G8" s="26" t="s">
        <v>49</v>
      </c>
      <c r="H8" s="26" t="s">
        <v>50</v>
      </c>
      <c r="I8" s="26" t="s">
        <v>50</v>
      </c>
      <c r="J8" s="26" t="s">
        <v>50</v>
      </c>
      <c r="K8" s="26" t="s">
        <v>49</v>
      </c>
      <c r="L8" s="26" t="s">
        <v>50</v>
      </c>
      <c r="M8" s="26" t="s">
        <v>49</v>
      </c>
      <c r="N8" s="26" t="s">
        <v>50</v>
      </c>
      <c r="O8" s="26" t="s">
        <v>49</v>
      </c>
      <c r="P8" s="26" t="s">
        <v>50</v>
      </c>
      <c r="Q8" s="26" t="s">
        <v>50</v>
      </c>
      <c r="R8" s="26" t="s">
        <v>49</v>
      </c>
      <c r="S8" s="26" t="s">
        <v>49</v>
      </c>
      <c r="T8" s="26" t="s">
        <v>49</v>
      </c>
      <c r="U8" s="26" t="s">
        <v>49</v>
      </c>
      <c r="V8" s="26" t="s">
        <v>49</v>
      </c>
      <c r="W8" s="26" t="s">
        <v>50</v>
      </c>
      <c r="X8" s="26" t="s">
        <v>49</v>
      </c>
      <c r="Y8" s="26" t="s">
        <v>49</v>
      </c>
      <c r="Z8" s="26" t="s">
        <v>49</v>
      </c>
      <c r="AA8" s="26" t="s">
        <v>49</v>
      </c>
      <c r="AB8" s="26" t="s">
        <v>50</v>
      </c>
      <c r="AC8" s="26" t="s">
        <v>49</v>
      </c>
    </row>
    <row r="9">
      <c r="A9" s="20"/>
      <c r="B9" s="27"/>
      <c r="C9" s="28"/>
      <c r="D9" s="27"/>
      <c r="E9" s="27"/>
      <c r="F9" s="28"/>
      <c r="G9" s="26" t="s">
        <v>50</v>
      </c>
      <c r="H9" s="28"/>
      <c r="I9" s="28"/>
      <c r="J9" s="28"/>
      <c r="K9" s="27"/>
      <c r="L9" s="28"/>
      <c r="M9" s="27"/>
      <c r="N9" s="28"/>
      <c r="O9" s="27"/>
      <c r="P9" s="28"/>
      <c r="Q9" s="28"/>
      <c r="R9" s="27"/>
      <c r="S9" s="26"/>
      <c r="T9" s="27"/>
      <c r="U9" s="27"/>
      <c r="V9" s="27"/>
      <c r="W9" s="28"/>
      <c r="X9" s="27"/>
      <c r="Y9" s="27"/>
      <c r="Z9" s="27"/>
      <c r="AA9" s="27"/>
      <c r="AB9" s="28"/>
      <c r="AC9" s="26" t="s">
        <v>50</v>
      </c>
    </row>
    <row r="10">
      <c r="A10" s="22" t="s">
        <v>51</v>
      </c>
      <c r="B10" s="29" t="s">
        <v>52</v>
      </c>
      <c r="C10" s="29" t="s">
        <v>53</v>
      </c>
      <c r="D10" s="29" t="s">
        <v>52</v>
      </c>
      <c r="E10" s="29" t="s">
        <v>52</v>
      </c>
      <c r="F10" s="29" t="s">
        <v>53</v>
      </c>
      <c r="G10" s="29" t="s">
        <v>52</v>
      </c>
      <c r="H10" s="29" t="s">
        <v>53</v>
      </c>
      <c r="I10" s="29" t="s">
        <v>53</v>
      </c>
      <c r="J10" s="29" t="s">
        <v>53</v>
      </c>
      <c r="K10" s="29" t="s">
        <v>52</v>
      </c>
      <c r="L10" s="29" t="s">
        <v>53</v>
      </c>
      <c r="M10" s="29" t="s">
        <v>52</v>
      </c>
      <c r="N10" s="29" t="s">
        <v>53</v>
      </c>
      <c r="O10" s="29" t="s">
        <v>52</v>
      </c>
      <c r="P10" s="29" t="s">
        <v>53</v>
      </c>
      <c r="Q10" s="29" t="s">
        <v>53</v>
      </c>
      <c r="R10" s="29" t="s">
        <v>52</v>
      </c>
      <c r="S10" s="29" t="s">
        <v>53</v>
      </c>
      <c r="T10" s="29" t="s">
        <v>52</v>
      </c>
      <c r="U10" s="29" t="s">
        <v>52</v>
      </c>
      <c r="V10" s="29" t="s">
        <v>52</v>
      </c>
      <c r="W10" s="29" t="s">
        <v>53</v>
      </c>
      <c r="X10" s="29" t="s">
        <v>52</v>
      </c>
      <c r="Y10" s="29" t="s">
        <v>52</v>
      </c>
      <c r="Z10" s="29" t="s">
        <v>52</v>
      </c>
      <c r="AA10" s="29" t="s">
        <v>52</v>
      </c>
      <c r="AB10" s="29" t="s">
        <v>53</v>
      </c>
      <c r="AC10" s="29" t="s">
        <v>52</v>
      </c>
    </row>
    <row r="11">
      <c r="A11" s="20"/>
      <c r="B11" s="30"/>
      <c r="C11" s="31"/>
      <c r="D11" s="30"/>
      <c r="E11" s="30"/>
      <c r="F11" s="31"/>
      <c r="G11" s="30"/>
      <c r="H11" s="31"/>
      <c r="I11" s="31"/>
      <c r="J11" s="31"/>
      <c r="K11" s="30"/>
      <c r="L11" s="31"/>
      <c r="M11" s="30"/>
      <c r="N11" s="31"/>
      <c r="O11" s="30"/>
      <c r="P11" s="31"/>
      <c r="Q11" s="31"/>
      <c r="R11" s="30"/>
      <c r="S11" s="29"/>
      <c r="T11" s="30"/>
      <c r="U11" s="30"/>
      <c r="V11" s="30"/>
      <c r="W11" s="31"/>
      <c r="X11" s="30"/>
      <c r="Y11" s="30"/>
      <c r="Z11" s="30"/>
      <c r="AA11" s="30"/>
      <c r="AB11" s="31"/>
      <c r="AC11" s="29" t="s">
        <v>53</v>
      </c>
    </row>
    <row r="12">
      <c r="A12" s="22" t="s">
        <v>54</v>
      </c>
      <c r="B12" s="32" t="s">
        <v>55</v>
      </c>
      <c r="C12" s="32" t="s">
        <v>56</v>
      </c>
      <c r="D12" s="32" t="s">
        <v>55</v>
      </c>
      <c r="E12" s="32" t="s">
        <v>55</v>
      </c>
      <c r="F12" s="32" t="s">
        <v>56</v>
      </c>
      <c r="G12" s="32" t="s">
        <v>56</v>
      </c>
      <c r="H12" s="32" t="s">
        <v>56</v>
      </c>
      <c r="I12" s="32" t="s">
        <v>56</v>
      </c>
      <c r="J12" s="32" t="s">
        <v>56</v>
      </c>
      <c r="K12" s="32" t="s">
        <v>55</v>
      </c>
      <c r="L12" s="32" t="s">
        <v>56</v>
      </c>
      <c r="M12" s="32" t="s">
        <v>56</v>
      </c>
      <c r="N12" s="32" t="s">
        <v>56</v>
      </c>
      <c r="O12" s="32" t="s">
        <v>55</v>
      </c>
      <c r="P12" s="32" t="s">
        <v>56</v>
      </c>
      <c r="Q12" s="32" t="s">
        <v>56</v>
      </c>
      <c r="R12" s="32" t="s">
        <v>55</v>
      </c>
      <c r="S12" s="32" t="s">
        <v>56</v>
      </c>
      <c r="T12" s="32" t="s">
        <v>55</v>
      </c>
      <c r="U12" s="32" t="s">
        <v>55</v>
      </c>
      <c r="V12" s="32" t="s">
        <v>55</v>
      </c>
      <c r="W12" s="32" t="s">
        <v>56</v>
      </c>
      <c r="X12" s="32" t="s">
        <v>55</v>
      </c>
      <c r="Y12" s="32" t="s">
        <v>55</v>
      </c>
      <c r="Z12" s="32" t="s">
        <v>55</v>
      </c>
      <c r="AA12" s="32" t="s">
        <v>55</v>
      </c>
      <c r="AB12" s="32" t="s">
        <v>56</v>
      </c>
      <c r="AC12" s="32" t="s">
        <v>56</v>
      </c>
    </row>
    <row r="13">
      <c r="A13" s="20"/>
      <c r="B13" s="33"/>
      <c r="C13" s="34"/>
      <c r="D13" s="33"/>
      <c r="E13" s="33"/>
      <c r="F13" s="34"/>
      <c r="G13" s="34"/>
      <c r="H13" s="34"/>
      <c r="I13" s="34"/>
      <c r="J13" s="34"/>
      <c r="K13" s="33"/>
      <c r="L13" s="34"/>
      <c r="M13" s="34"/>
      <c r="N13" s="34"/>
      <c r="O13" s="33"/>
      <c r="P13" s="34"/>
      <c r="Q13" s="34"/>
      <c r="R13" s="33"/>
      <c r="S13" s="32" t="s">
        <v>55</v>
      </c>
      <c r="T13" s="33"/>
      <c r="U13" s="33"/>
      <c r="V13" s="33"/>
      <c r="W13" s="34"/>
      <c r="X13" s="33"/>
      <c r="Y13" s="33"/>
      <c r="Z13" s="33"/>
      <c r="AA13" s="33"/>
      <c r="AB13" s="34"/>
      <c r="AC13" s="32" t="s">
        <v>55</v>
      </c>
    </row>
    <row r="14">
      <c r="A14" s="22" t="s">
        <v>57</v>
      </c>
      <c r="B14" s="35" t="s">
        <v>58</v>
      </c>
      <c r="C14" s="35" t="s">
        <v>59</v>
      </c>
      <c r="D14" s="35" t="s">
        <v>60</v>
      </c>
      <c r="E14" s="35" t="s">
        <v>58</v>
      </c>
      <c r="F14" s="35" t="s">
        <v>59</v>
      </c>
      <c r="G14" s="35" t="s">
        <v>60</v>
      </c>
      <c r="H14" s="35" t="s">
        <v>59</v>
      </c>
      <c r="I14" s="35" t="s">
        <v>60</v>
      </c>
      <c r="J14" s="35" t="s">
        <v>58</v>
      </c>
      <c r="K14" s="35" t="s">
        <v>60</v>
      </c>
      <c r="L14" s="35" t="s">
        <v>59</v>
      </c>
      <c r="M14" s="35" t="s">
        <v>60</v>
      </c>
      <c r="N14" s="35" t="s">
        <v>59</v>
      </c>
      <c r="O14" s="35" t="s">
        <v>60</v>
      </c>
      <c r="P14" s="35" t="s">
        <v>59</v>
      </c>
      <c r="Q14" s="35" t="s">
        <v>59</v>
      </c>
      <c r="R14" s="35" t="s">
        <v>60</v>
      </c>
      <c r="S14" s="35" t="s">
        <v>60</v>
      </c>
      <c r="T14" s="35" t="s">
        <v>60</v>
      </c>
      <c r="U14" s="35" t="s">
        <v>60</v>
      </c>
      <c r="V14" s="35" t="s">
        <v>58</v>
      </c>
      <c r="W14" s="35" t="s">
        <v>61</v>
      </c>
      <c r="X14" s="35" t="s">
        <v>60</v>
      </c>
      <c r="Y14" s="35" t="s">
        <v>60</v>
      </c>
      <c r="Z14" s="35" t="s">
        <v>60</v>
      </c>
      <c r="AA14" s="35" t="s">
        <v>60</v>
      </c>
      <c r="AB14" s="35" t="s">
        <v>59</v>
      </c>
      <c r="AC14" s="35" t="s">
        <v>61</v>
      </c>
    </row>
    <row r="15">
      <c r="A15" s="18"/>
      <c r="B15" s="35" t="s">
        <v>61</v>
      </c>
      <c r="C15" s="35" t="s">
        <v>58</v>
      </c>
      <c r="D15" s="35" t="s">
        <v>58</v>
      </c>
      <c r="E15" s="36"/>
      <c r="F15" s="36"/>
      <c r="G15" s="35" t="s">
        <v>59</v>
      </c>
      <c r="H15" s="36"/>
      <c r="I15" s="35" t="s">
        <v>59</v>
      </c>
      <c r="J15" s="36"/>
      <c r="K15" s="35" t="s">
        <v>61</v>
      </c>
      <c r="L15" s="35" t="s">
        <v>61</v>
      </c>
      <c r="M15" s="35" t="s">
        <v>59</v>
      </c>
      <c r="N15" s="35" t="s">
        <v>61</v>
      </c>
      <c r="O15" s="35" t="s">
        <v>58</v>
      </c>
      <c r="P15" s="35" t="s">
        <v>61</v>
      </c>
      <c r="Q15" s="36"/>
      <c r="R15" s="36"/>
      <c r="S15" s="35" t="s">
        <v>59</v>
      </c>
      <c r="T15" s="35" t="s">
        <v>61</v>
      </c>
      <c r="U15" s="35" t="s">
        <v>61</v>
      </c>
      <c r="V15" s="35" t="s">
        <v>61</v>
      </c>
      <c r="W15" s="37"/>
      <c r="X15" s="35" t="s">
        <v>58</v>
      </c>
      <c r="Y15" s="35" t="s">
        <v>61</v>
      </c>
      <c r="Z15" s="35" t="s">
        <v>58</v>
      </c>
      <c r="AA15" s="35" t="s">
        <v>58</v>
      </c>
      <c r="AB15" s="36"/>
      <c r="AC15" s="37"/>
    </row>
    <row r="16">
      <c r="A16" s="20"/>
      <c r="B16" s="36"/>
      <c r="C16" s="36"/>
      <c r="D16" s="35" t="s">
        <v>61</v>
      </c>
      <c r="E16" s="36"/>
      <c r="F16" s="36"/>
      <c r="G16" s="37"/>
      <c r="H16" s="36"/>
      <c r="I16" s="37"/>
      <c r="J16" s="36"/>
      <c r="K16" s="37"/>
      <c r="L16" s="36"/>
      <c r="M16" s="37"/>
      <c r="N16" s="36"/>
      <c r="O16" s="37"/>
      <c r="P16" s="36"/>
      <c r="Q16" s="36"/>
      <c r="R16" s="37"/>
      <c r="S16" s="35" t="s">
        <v>61</v>
      </c>
      <c r="T16" s="37"/>
      <c r="U16" s="37"/>
      <c r="V16" s="36"/>
      <c r="W16" s="36"/>
      <c r="X16" s="37"/>
      <c r="Y16" s="37"/>
      <c r="Z16" s="35" t="s">
        <v>61</v>
      </c>
      <c r="AA16" s="37"/>
      <c r="AB16" s="36"/>
      <c r="AC16" s="36"/>
    </row>
    <row r="17">
      <c r="A17" s="22" t="s">
        <v>62</v>
      </c>
      <c r="B17" s="38" t="s">
        <v>63</v>
      </c>
      <c r="C17" s="38" t="s">
        <v>64</v>
      </c>
      <c r="D17" s="38" t="s">
        <v>64</v>
      </c>
      <c r="E17" s="38" t="s">
        <v>63</v>
      </c>
      <c r="F17" s="38" t="s">
        <v>64</v>
      </c>
      <c r="G17" s="38" t="s">
        <v>64</v>
      </c>
      <c r="H17" s="38" t="s">
        <v>63</v>
      </c>
      <c r="I17" s="38" t="s">
        <v>65</v>
      </c>
      <c r="J17" s="38" t="s">
        <v>63</v>
      </c>
      <c r="K17" s="38" t="s">
        <v>64</v>
      </c>
      <c r="L17" s="38" t="s">
        <v>64</v>
      </c>
      <c r="M17" s="38" t="s">
        <v>65</v>
      </c>
      <c r="N17" s="38" t="s">
        <v>65</v>
      </c>
      <c r="O17" s="38" t="s">
        <v>66</v>
      </c>
      <c r="P17" s="38" t="s">
        <v>64</v>
      </c>
      <c r="Q17" s="38" t="s">
        <v>64</v>
      </c>
      <c r="R17" s="38" t="s">
        <v>66</v>
      </c>
      <c r="S17" s="38" t="s">
        <v>64</v>
      </c>
      <c r="T17" s="38" t="s">
        <v>64</v>
      </c>
      <c r="U17" s="38" t="s">
        <v>64</v>
      </c>
      <c r="V17" s="38" t="s">
        <v>63</v>
      </c>
      <c r="W17" s="38" t="s">
        <v>63</v>
      </c>
      <c r="X17" s="38" t="s">
        <v>64</v>
      </c>
      <c r="Y17" s="38" t="s">
        <v>66</v>
      </c>
      <c r="Z17" s="38" t="s">
        <v>63</v>
      </c>
      <c r="AA17" s="38" t="s">
        <v>64</v>
      </c>
      <c r="AB17" s="38" t="s">
        <v>64</v>
      </c>
      <c r="AC17" s="38" t="s">
        <v>64</v>
      </c>
    </row>
    <row r="18">
      <c r="A18" s="20"/>
      <c r="B18" s="38" t="s">
        <v>65</v>
      </c>
      <c r="C18" s="38" t="s">
        <v>66</v>
      </c>
      <c r="D18" s="38" t="s">
        <v>63</v>
      </c>
      <c r="E18" s="39"/>
      <c r="F18" s="38" t="s">
        <v>65</v>
      </c>
      <c r="G18" s="38" t="s">
        <v>66</v>
      </c>
      <c r="H18" s="38" t="s">
        <v>65</v>
      </c>
      <c r="I18" s="40"/>
      <c r="J18" s="38" t="s">
        <v>65</v>
      </c>
      <c r="K18" s="38" t="s">
        <v>66</v>
      </c>
      <c r="L18" s="38" t="s">
        <v>65</v>
      </c>
      <c r="M18" s="38" t="s">
        <v>66</v>
      </c>
      <c r="N18" s="38" t="s">
        <v>66</v>
      </c>
      <c r="O18" s="40"/>
      <c r="P18" s="40"/>
      <c r="Q18" s="38" t="s">
        <v>65</v>
      </c>
      <c r="R18" s="40"/>
      <c r="S18" s="38" t="s">
        <v>66</v>
      </c>
      <c r="T18" s="38" t="s">
        <v>63</v>
      </c>
      <c r="U18" s="38" t="s">
        <v>66</v>
      </c>
      <c r="V18" s="38" t="s">
        <v>65</v>
      </c>
      <c r="W18" s="38" t="s">
        <v>65</v>
      </c>
      <c r="X18" s="38" t="s">
        <v>63</v>
      </c>
      <c r="Y18" s="40"/>
      <c r="Z18" s="38" t="s">
        <v>65</v>
      </c>
      <c r="AA18" s="38" t="s">
        <v>66</v>
      </c>
      <c r="AB18" s="40"/>
      <c r="AC18" s="38" t="s">
        <v>63</v>
      </c>
    </row>
    <row r="19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3"/>
    </row>
    <row r="20">
      <c r="A20" s="44" t="s">
        <v>67</v>
      </c>
    </row>
  </sheetData>
  <mergeCells count="8">
    <mergeCell ref="A2:A5"/>
    <mergeCell ref="A6:A7"/>
    <mergeCell ref="A8:A9"/>
    <mergeCell ref="A10:A11"/>
    <mergeCell ref="A12:A13"/>
    <mergeCell ref="A14:A16"/>
    <mergeCell ref="A17:A18"/>
    <mergeCell ref="A20:AC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4.25"/>
  </cols>
  <sheetData>
    <row r="1" ht="123.75" customHeight="1">
      <c r="A1" s="44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23.25"/>
    <col customWidth="1" min="3" max="3" width="16.5"/>
    <col customWidth="1" min="5" max="5" width="22.0"/>
    <col customWidth="1" min="6" max="6" width="16.63"/>
    <col customWidth="1" min="7" max="7" width="72.88"/>
    <col customWidth="1" min="8" max="8" width="14.13"/>
    <col customWidth="1" min="9" max="9" width="23.75"/>
  </cols>
  <sheetData>
    <row r="1">
      <c r="A1" s="45"/>
      <c r="B1" s="46" t="s">
        <v>0</v>
      </c>
      <c r="C1" s="3"/>
      <c r="D1" s="4"/>
      <c r="E1" s="46" t="s">
        <v>1</v>
      </c>
      <c r="F1" s="3"/>
      <c r="G1" s="4"/>
      <c r="H1" s="47"/>
      <c r="I1" s="47"/>
    </row>
    <row r="2">
      <c r="A2" s="45"/>
      <c r="B2" s="48" t="s">
        <v>2</v>
      </c>
      <c r="C2" s="48" t="s">
        <v>3</v>
      </c>
      <c r="D2" s="48" t="s">
        <v>4</v>
      </c>
      <c r="E2" s="48" t="s">
        <v>1</v>
      </c>
      <c r="F2" s="48" t="s">
        <v>5</v>
      </c>
      <c r="G2" s="49" t="s">
        <v>6</v>
      </c>
      <c r="H2" s="50" t="s">
        <v>69</v>
      </c>
      <c r="I2" s="51" t="s">
        <v>70</v>
      </c>
    </row>
    <row r="3">
      <c r="A3" s="52"/>
      <c r="B3" s="53" t="s">
        <v>71</v>
      </c>
      <c r="C3" s="54" t="s">
        <v>60</v>
      </c>
      <c r="D3" s="55">
        <v>8.0</v>
      </c>
      <c r="E3" s="56" t="s">
        <v>72</v>
      </c>
      <c r="F3" s="54" t="s">
        <v>73</v>
      </c>
      <c r="G3" s="57" t="str">
        <f t="shared" ref="G3:G465" si="1">IF(or(E3="Bola de fogo", E3="Cortar", E3="Esmagar"), "Aumenta a força em 25%",
if(E3="Pele de pedra", "Aumenta a força em 30%",
if(E3="Berserker", "Aumenta a força em 35%",
if(E3="Cone-gélido", "Aumenta a força em 40%",
if(E3="Raio elétrico", "Aumenta a força em 50%",
if(E3="Emboscada", "Aumenta a força 25% das vezes",
if(E3="Defesa", "Aumenta a defesa do equipamento em 10%",
if(E3="Passo das Sombras", "Evita ferimentos 15% das vezes",
if(E3="Detectar segredo", "Aumenta o número máximo de artefatos e itens de raid encontrados por cada membro do grupo em +1",
if(E3="Encontrar mágica", "Aumenta o número máximo de artefatos e itens de raid encontrados por cada membro do grupo em +2",
if(E3="Aura de proteção", "Aumenta a taxa de sobrevivência do grupo em 8%",
if(E3="Revide", "Aumenta a força do equipamento em 20%",
if(E3="Mestre das armas", "Aumenta a força do equipamento em 75%",
if(E3="Arquimago 1", "Aumenta a força dos feiticeiros do grupo em 10%",
if(E3="Arquimago 2", "Aumenta a força dos feiticeiros do grupo em 20%",
if(E3="Arquimago 3", "Aumenta a força dos feiticeiros do grupo em 30%",
if(E3="Energético 1", "Reduz o tempo de espera depois da missão em 50%",
if(E3="Energético 2", "Reduz o tempo de espera depois da missão em 75%",
if(E3="Energético 3", "Reduz o tempo de espera depois da missão em 100%",
if(E3="Cuidadoso 1", "Diminui a chance de quebra de equipamento em 15% das vezes",
if(E3="Cuidadoso 2", "Diminui a chance de quebra de equipamento em 30% das vezes",
if(E3="Cuidadoso 3", "Diminui a chance de quebra de equipamento em 50% das vezes",
if(E3="Ganancioso 1", "Encontra mais 50% de ouro durante as missões",
if(E3="Ganancioso 2", "Encontra mais 100% de ouro durante as missões",
if(E3="Ganancioso 3", "Encontra mais 200% de ouro durante as missões",
if(E3="Curandeiro 1", "Reduz o tempo de cura de companheiros em 10%",
if(E3="Curandeiro 2", "Reduz o tempo de cura de companheiros em 25%",
if(E3="Curandeiro 3", "Reduz o tempo de cura de companheiros em 50%",
if(E3="Sortudo 1", "Evita ferimentos 10% das vezes",
if(E3="Sortudo 2", "Evita ferimentos 20% das vezes",
if(E3="Sortudo 3", "Evita ferimentos 30% das vezes",
if(E3="Protetor 1", "Aumenta a taxa de sobrevivência do grupo em 2%",
if(E3="Protetor 2", "Aumenta a taxa de sobrevivência do grupo em 5%",
if(E3="Protetor 3", "Aumenta a taxa de sobrevivência do grupo em 10%",
if(E3="Resistente 1", "Obtém pelo menos 25% de experiência quando ferido e a missão é bem sucedida",
if(E3="Resistente 2", "Obtém pelo menos 50% de experiência quando ferido e a missão é bem sucedida",
if(E3="Resistente 3", "Obtém pelo menos 100% de experiência quando ferido e a missão é bem sucedida",
if(E3="Engenhoso 1", "Impede que 1 peça de equipamento se quebre durante a missão",
if(E3="Engenhoso 2", "Impede que 2 peças de equipamento se quebre durante a missão",
if(E3="Engenhoso 3", "Impede que 3 peças de equipamento se quebre durante a missão",
if(E3="Reviver 1", "Revive um companheiro derrotado 5% das vezes",
if(E3="Reviver 2", "Revive um companheiro derrotado 10% das vezes",
if(E3="Reviver 3", "Revive um companheiro derrotado 15% das vezes",
if(E3="Catador 1", "Aumenta o número mínimo de itens e artefatos encontrados em +1",
if(E3="Catador 2", "Aumenta o número mínimo de itens e artefatos encontrados em +2",
if(E3="Catador 3", "Aumenta o número mínimo de itens e artefatos encontrados em +3",
if(E3="Fornecedor 1", "Reduz a chance de companheiros quebrarem o equipamento em 5%",
if(E3="Fornecedor 2", "Reduz a chance de companheiros quebrarem o equipamento em 10%",
if(E3="Fornecedor 3", "Reduz a chance de companheiros quebrarem o equipamento em 15%",
if(E3="Suporte 1", "Impede que o equipamento de um companheiro se quebre 1 vez",
if(E3="Suporte 2", "Impede que o equipamento de um companheiro se quebre 2 vezes",
if(E3="Suporte 3", "Impede que o equipamento de um companheiro se quebre 3 vezes",
if(E3="Caça-tesouros 1", "Aumenta o número máximo de artefatos e itens de raid encontrados em +2",
if(E3="Caça-tesouros 2", "Aumenta o número máximo de artefatos e itens de raid encontrados em +4",
if(E3="Caça-tesouros 3", "Aumenta o número máximo de artefatos e itens de raid encontrados em +6",
if(E3="Sábio 1", "25% de bônus de experiência",
if(E3="Sábio 2", "50% de bônus de experiência",
if(E3="Sábio 3", "100% de bônus de experiência",
if(E3="Amazona 1", "Aumenta a taxa de sobrevivência de membros femininos do grupo em 5%",
if(E3="Amazona 2", "Aumenta a taxa de sobrevivência de membros femininos do grupo em 10%",
if(E3="Amazona 3", "Aumenta a taxa de sobrevivência de membros femininos do grupo em 25%",
if(E3="Companheiro de Guerra 1", "Aumenta a taxa de sobrevivência de membros masculinos do grupo em 5%",
if(E3="Companheiro de Guerra 2", "Aumenta a taxa de sobrevivência de membros masculinos do grupo em 10%",
if(E3="Companheiro de Guerra 3", "Aumenta a taxa de sobrevivência de membros masculinos do grupo em 25%",
if(E3="Comandante 1", "Aumenta a força dos guerreiros do grupo em 15%",
if(E3="Comandante 2", "Aumenta a força dos guerreiros do grupo em 25%",
if(E3="Comandante 3", "Aumenta a força dos guerreiros do grupo em 50%",
if(E3="Gangster 1", "Aumenta a força do equipamento em 10%",
if(or(E3="Gangster 2", E3="Armadura do Mago"), "Aumenta a força do equipamento em 25%",
if(E3="Gangster 3", "Aumenta a força do equipamento em 50%",
if(E3="Líder 1", "Aumenta o número de companheiros em +1",
if(E3="Líder 2", "Aumenta o número de companheiros em +2",
if(E3="Líder 3", "Aumenta o número de companheiros em +3",
if(E3="Velocista 1", "Reduz a duração da missão em 10%",
if(E3="Velocista 2", "Reduz a duração da missão em 25%",
if(E3="Velocista 3", "Reduz a duração da missão em 50%",
))))))))))))))))))))))))))))))))))))))))))))))))))))))))))))))))))))))))))))</f>
        <v>Aumenta a força em 40%</v>
      </c>
      <c r="H3" s="58" t="b">
        <v>1</v>
      </c>
      <c r="I3" s="59" t="s">
        <v>74</v>
      </c>
    </row>
    <row r="4">
      <c r="A4" s="52"/>
      <c r="B4" s="53" t="s">
        <v>75</v>
      </c>
      <c r="C4" s="54" t="s">
        <v>60</v>
      </c>
      <c r="D4" s="54">
        <v>12.0</v>
      </c>
      <c r="E4" s="56" t="s">
        <v>76</v>
      </c>
      <c r="F4" s="54" t="s">
        <v>77</v>
      </c>
      <c r="G4" s="57" t="str">
        <f t="shared" si="1"/>
        <v>Encontra mais 50% de ouro durante as missões</v>
      </c>
      <c r="H4" s="58" t="b">
        <v>1</v>
      </c>
      <c r="I4" s="59" t="s">
        <v>78</v>
      </c>
    </row>
    <row r="5">
      <c r="A5" s="52"/>
      <c r="B5" s="53" t="s">
        <v>79</v>
      </c>
      <c r="C5" s="54" t="s">
        <v>60</v>
      </c>
      <c r="D5" s="55">
        <v>20.0</v>
      </c>
      <c r="E5" s="56" t="s">
        <v>80</v>
      </c>
      <c r="F5" s="54" t="s">
        <v>77</v>
      </c>
      <c r="G5" s="57" t="str">
        <f t="shared" si="1"/>
        <v>Aumenta o número de companheiros em +1</v>
      </c>
      <c r="H5" s="58" t="b">
        <v>1</v>
      </c>
      <c r="I5" s="59" t="s">
        <v>81</v>
      </c>
    </row>
    <row r="6">
      <c r="A6" s="52"/>
      <c r="B6" s="53" t="s">
        <v>82</v>
      </c>
      <c r="C6" s="54" t="s">
        <v>60</v>
      </c>
      <c r="D6" s="55">
        <v>22.0</v>
      </c>
      <c r="E6" s="56" t="s">
        <v>83</v>
      </c>
      <c r="F6" s="54" t="s">
        <v>77</v>
      </c>
      <c r="G6" s="57" t="str">
        <f t="shared" si="1"/>
        <v>Aumenta o número máximo de artefatos e itens de raid encontrados em +2</v>
      </c>
      <c r="H6" s="58" t="b">
        <v>1</v>
      </c>
      <c r="I6" s="59" t="s">
        <v>84</v>
      </c>
    </row>
    <row r="7">
      <c r="A7" s="52"/>
      <c r="B7" s="53" t="s">
        <v>85</v>
      </c>
      <c r="C7" s="54" t="s">
        <v>60</v>
      </c>
      <c r="D7" s="54">
        <v>25.0</v>
      </c>
      <c r="E7" s="56" t="s">
        <v>86</v>
      </c>
      <c r="F7" s="54" t="s">
        <v>73</v>
      </c>
      <c r="G7" s="57" t="str">
        <f t="shared" si="1"/>
        <v>Aumenta a taxa de sobrevivência de membros masculinos do grupo em 5%</v>
      </c>
      <c r="H7" s="58" t="b">
        <v>1</v>
      </c>
      <c r="I7" s="59" t="s">
        <v>87</v>
      </c>
    </row>
    <row r="8">
      <c r="A8" s="52"/>
      <c r="B8" s="53" t="s">
        <v>88</v>
      </c>
      <c r="C8" s="54" t="s">
        <v>60</v>
      </c>
      <c r="D8" s="55">
        <v>26.0</v>
      </c>
      <c r="E8" s="56" t="s">
        <v>89</v>
      </c>
      <c r="F8" s="54" t="s">
        <v>77</v>
      </c>
      <c r="G8" s="57" t="str">
        <f t="shared" si="1"/>
        <v>Obtém pelo menos 50% de experiência quando ferido e a missão é bem sucedida</v>
      </c>
      <c r="H8" s="58" t="b">
        <v>1</v>
      </c>
      <c r="I8" s="59" t="s">
        <v>90</v>
      </c>
    </row>
    <row r="9">
      <c r="A9" s="52"/>
      <c r="B9" s="53" t="s">
        <v>91</v>
      </c>
      <c r="C9" s="54" t="s">
        <v>60</v>
      </c>
      <c r="D9" s="54">
        <v>27.0</v>
      </c>
      <c r="E9" s="56" t="s">
        <v>92</v>
      </c>
      <c r="F9" s="54" t="s">
        <v>77</v>
      </c>
      <c r="G9" s="57" t="str">
        <f t="shared" si="1"/>
        <v>Revive um companheiro derrotado 5% das vezes</v>
      </c>
      <c r="H9" s="58" t="b">
        <v>1</v>
      </c>
      <c r="I9" s="59" t="s">
        <v>87</v>
      </c>
    </row>
    <row r="10">
      <c r="A10" s="52"/>
      <c r="B10" s="53" t="s">
        <v>93</v>
      </c>
      <c r="C10" s="54" t="s">
        <v>60</v>
      </c>
      <c r="D10" s="55">
        <v>34.0</v>
      </c>
      <c r="E10" s="56" t="s">
        <v>94</v>
      </c>
      <c r="F10" s="54" t="s">
        <v>73</v>
      </c>
      <c r="G10" s="57" t="str">
        <f t="shared" si="1"/>
        <v>Aumenta a taxa de sobrevivência de membros femininos do grupo em 5%</v>
      </c>
      <c r="H10" s="58" t="b">
        <v>1</v>
      </c>
      <c r="I10" s="59" t="s">
        <v>87</v>
      </c>
    </row>
    <row r="11">
      <c r="A11" s="52"/>
      <c r="B11" s="53" t="s">
        <v>95</v>
      </c>
      <c r="C11" s="54" t="s">
        <v>60</v>
      </c>
      <c r="D11" s="55">
        <v>35.0</v>
      </c>
      <c r="E11" s="56" t="s">
        <v>96</v>
      </c>
      <c r="F11" s="54" t="s">
        <v>97</v>
      </c>
      <c r="G11" s="57" t="str">
        <f t="shared" si="1"/>
        <v>Aumenta o número máximo de artefatos e itens de raid encontrados em +4</v>
      </c>
      <c r="H11" s="60" t="b">
        <v>0</v>
      </c>
      <c r="I11" s="59" t="s">
        <v>98</v>
      </c>
    </row>
    <row r="12">
      <c r="A12" s="52"/>
      <c r="B12" s="53" t="s">
        <v>99</v>
      </c>
      <c r="C12" s="54" t="s">
        <v>60</v>
      </c>
      <c r="D12" s="55">
        <v>36.0</v>
      </c>
      <c r="E12" s="56" t="s">
        <v>80</v>
      </c>
      <c r="F12" s="54" t="s">
        <v>97</v>
      </c>
      <c r="G12" s="57" t="str">
        <f t="shared" si="1"/>
        <v>Aumenta o número de companheiros em +1</v>
      </c>
      <c r="H12" s="58" t="b">
        <v>1</v>
      </c>
      <c r="I12" s="59" t="s">
        <v>100</v>
      </c>
    </row>
    <row r="13">
      <c r="A13" s="52"/>
      <c r="B13" s="53" t="s">
        <v>101</v>
      </c>
      <c r="C13" s="54" t="s">
        <v>60</v>
      </c>
      <c r="D13" s="55">
        <v>39.0</v>
      </c>
      <c r="E13" s="56" t="s">
        <v>92</v>
      </c>
      <c r="F13" s="54" t="s">
        <v>97</v>
      </c>
      <c r="G13" s="57" t="str">
        <f t="shared" si="1"/>
        <v>Revive um companheiro derrotado 5% das vezes</v>
      </c>
      <c r="H13" s="58" t="b">
        <v>1</v>
      </c>
      <c r="I13" s="59" t="s">
        <v>100</v>
      </c>
    </row>
    <row r="14">
      <c r="A14" s="61"/>
      <c r="B14" s="53" t="s">
        <v>102</v>
      </c>
      <c r="C14" s="54" t="s">
        <v>60</v>
      </c>
      <c r="D14" s="55">
        <v>40.0</v>
      </c>
      <c r="E14" s="56" t="s">
        <v>103</v>
      </c>
      <c r="F14" s="54" t="s">
        <v>97</v>
      </c>
      <c r="G14" s="57" t="str">
        <f t="shared" si="1"/>
        <v>Reduz o tempo de cura de companheiros em 25%</v>
      </c>
      <c r="H14" s="58" t="b">
        <v>1</v>
      </c>
      <c r="I14" s="59" t="s">
        <v>104</v>
      </c>
    </row>
    <row r="15">
      <c r="A15" s="61"/>
      <c r="B15" s="53" t="s">
        <v>105</v>
      </c>
      <c r="C15" s="54" t="s">
        <v>60</v>
      </c>
      <c r="D15" s="55">
        <v>42.0</v>
      </c>
      <c r="E15" s="56" t="s">
        <v>106</v>
      </c>
      <c r="F15" s="54" t="s">
        <v>97</v>
      </c>
      <c r="G15" s="57" t="str">
        <f t="shared" si="1"/>
        <v>Revive um companheiro derrotado 10% das vezes</v>
      </c>
      <c r="H15" s="60" t="b">
        <v>0</v>
      </c>
      <c r="I15" s="59" t="s">
        <v>107</v>
      </c>
    </row>
    <row r="16">
      <c r="A16" s="61"/>
      <c r="B16" s="53" t="s">
        <v>108</v>
      </c>
      <c r="C16" s="54" t="s">
        <v>60</v>
      </c>
      <c r="D16" s="55">
        <v>43.0</v>
      </c>
      <c r="E16" s="56" t="s">
        <v>109</v>
      </c>
      <c r="F16" s="54" t="s">
        <v>73</v>
      </c>
      <c r="G16" s="57" t="str">
        <f t="shared" si="1"/>
        <v>Aumenta o número máximo de artefatos e itens de raid encontrados por cada membro do grupo em +1</v>
      </c>
      <c r="H16" s="58" t="b">
        <v>1</v>
      </c>
      <c r="I16" s="59" t="s">
        <v>110</v>
      </c>
    </row>
    <row r="17">
      <c r="A17" s="61"/>
      <c r="B17" s="53" t="s">
        <v>111</v>
      </c>
      <c r="C17" s="54" t="s">
        <v>60</v>
      </c>
      <c r="D17" s="54">
        <v>45.0</v>
      </c>
      <c r="E17" s="56" t="s">
        <v>112</v>
      </c>
      <c r="F17" s="54" t="s">
        <v>97</v>
      </c>
      <c r="G17" s="57" t="str">
        <f t="shared" si="1"/>
        <v>Aumenta a força do equipamento em 20%</v>
      </c>
      <c r="H17" s="58" t="b">
        <v>1</v>
      </c>
      <c r="I17" s="59" t="s">
        <v>113</v>
      </c>
    </row>
    <row r="18">
      <c r="A18" s="61"/>
      <c r="B18" s="53" t="s">
        <v>114</v>
      </c>
      <c r="C18" s="54" t="s">
        <v>60</v>
      </c>
      <c r="D18" s="55">
        <v>46.0</v>
      </c>
      <c r="E18" s="56" t="s">
        <v>115</v>
      </c>
      <c r="F18" s="54" t="s">
        <v>97</v>
      </c>
      <c r="G18" s="57" t="str">
        <f t="shared" si="1"/>
        <v>Aumenta a taxa de sobrevivência do grupo em 5%</v>
      </c>
      <c r="H18" s="58" t="b">
        <v>1</v>
      </c>
      <c r="I18" s="59" t="s">
        <v>116</v>
      </c>
    </row>
    <row r="19">
      <c r="A19" s="61"/>
      <c r="B19" s="53" t="s">
        <v>117</v>
      </c>
      <c r="C19" s="54" t="s">
        <v>60</v>
      </c>
      <c r="D19" s="55">
        <v>48.0</v>
      </c>
      <c r="E19" s="56" t="s">
        <v>106</v>
      </c>
      <c r="F19" s="54" t="s">
        <v>118</v>
      </c>
      <c r="G19" s="57" t="str">
        <f t="shared" si="1"/>
        <v>Revive um companheiro derrotado 10% das vezes</v>
      </c>
      <c r="H19" s="60" t="b">
        <v>0</v>
      </c>
      <c r="I19" s="59" t="s">
        <v>119</v>
      </c>
    </row>
    <row r="20">
      <c r="A20" s="61"/>
      <c r="B20" s="53" t="s">
        <v>120</v>
      </c>
      <c r="C20" s="54" t="s">
        <v>60</v>
      </c>
      <c r="D20" s="55">
        <v>50.0</v>
      </c>
      <c r="E20" s="56" t="s">
        <v>121</v>
      </c>
      <c r="F20" s="54" t="s">
        <v>73</v>
      </c>
      <c r="G20" s="57" t="str">
        <f t="shared" si="1"/>
        <v>Aumenta a força do equipamento em 25%</v>
      </c>
      <c r="H20" s="58" t="b">
        <v>1</v>
      </c>
      <c r="I20" s="59" t="s">
        <v>122</v>
      </c>
    </row>
    <row r="21">
      <c r="A21" s="61"/>
      <c r="B21" s="53" t="s">
        <v>123</v>
      </c>
      <c r="C21" s="54" t="s">
        <v>60</v>
      </c>
      <c r="D21" s="55">
        <v>53.0</v>
      </c>
      <c r="E21" s="56" t="s">
        <v>124</v>
      </c>
      <c r="F21" s="54" t="s">
        <v>118</v>
      </c>
      <c r="G21" s="57" t="str">
        <f t="shared" si="1"/>
        <v>Encontra mais 200% de ouro durante as missões</v>
      </c>
      <c r="H21" s="58" t="b">
        <v>1</v>
      </c>
      <c r="I21" s="59" t="s">
        <v>122</v>
      </c>
    </row>
    <row r="22">
      <c r="A22" s="61"/>
      <c r="B22" s="53" t="s">
        <v>125</v>
      </c>
      <c r="C22" s="54" t="s">
        <v>60</v>
      </c>
      <c r="D22" s="55">
        <v>55.0</v>
      </c>
      <c r="E22" s="56" t="s">
        <v>126</v>
      </c>
      <c r="F22" s="54" t="s">
        <v>97</v>
      </c>
      <c r="G22" s="57" t="str">
        <f t="shared" si="1"/>
        <v>Aumenta o número máximo de artefatos e itens de raid encontrados em +6</v>
      </c>
      <c r="H22" s="60" t="b">
        <v>0</v>
      </c>
      <c r="I22" s="59" t="s">
        <v>127</v>
      </c>
    </row>
    <row r="23">
      <c r="A23" s="61"/>
      <c r="B23" s="53" t="s">
        <v>128</v>
      </c>
      <c r="C23" s="54" t="s">
        <v>60</v>
      </c>
      <c r="D23" s="55">
        <v>58.0</v>
      </c>
      <c r="E23" s="56" t="s">
        <v>129</v>
      </c>
      <c r="F23" s="54" t="s">
        <v>118</v>
      </c>
      <c r="G23" s="57" t="str">
        <f t="shared" si="1"/>
        <v>Aumenta o número máximo de artefatos e itens de raid encontrados por cada membro do grupo em +2</v>
      </c>
      <c r="H23" s="58" t="b">
        <v>1</v>
      </c>
      <c r="I23" s="59" t="s">
        <v>130</v>
      </c>
    </row>
    <row r="24">
      <c r="A24" s="61"/>
      <c r="B24" s="53" t="s">
        <v>131</v>
      </c>
      <c r="C24" s="54" t="s">
        <v>36</v>
      </c>
      <c r="D24" s="54">
        <v>6.0</v>
      </c>
      <c r="E24" s="56" t="s">
        <v>132</v>
      </c>
      <c r="F24" s="54" t="s">
        <v>97</v>
      </c>
      <c r="G24" s="57" t="str">
        <f t="shared" si="1"/>
        <v>Reduz a duração da missão em 10%</v>
      </c>
      <c r="H24" s="58" t="b">
        <v>1</v>
      </c>
      <c r="I24" s="59" t="s">
        <v>133</v>
      </c>
    </row>
    <row r="25">
      <c r="A25" s="61"/>
      <c r="B25" s="53" t="s">
        <v>134</v>
      </c>
      <c r="C25" s="54" t="s">
        <v>36</v>
      </c>
      <c r="D25" s="54">
        <v>8.0</v>
      </c>
      <c r="E25" s="56" t="s">
        <v>135</v>
      </c>
      <c r="F25" s="54" t="s">
        <v>77</v>
      </c>
      <c r="G25" s="57" t="str">
        <f t="shared" si="1"/>
        <v>Reduz o tempo de espera depois da missão em 50%</v>
      </c>
      <c r="H25" s="58" t="b">
        <v>1</v>
      </c>
      <c r="I25" s="59" t="s">
        <v>136</v>
      </c>
    </row>
    <row r="26">
      <c r="A26" s="61"/>
      <c r="B26" s="53" t="s">
        <v>137</v>
      </c>
      <c r="C26" s="54" t="s">
        <v>36</v>
      </c>
      <c r="D26" s="54">
        <v>18.0</v>
      </c>
      <c r="E26" s="56" t="s">
        <v>138</v>
      </c>
      <c r="F26" s="54" t="s">
        <v>77</v>
      </c>
      <c r="G26" s="57" t="str">
        <f t="shared" si="1"/>
        <v>Evita ferimentos 10% das vezes</v>
      </c>
      <c r="H26" s="58" t="b">
        <v>1</v>
      </c>
      <c r="I26" s="59" t="s">
        <v>139</v>
      </c>
    </row>
    <row r="27">
      <c r="A27" s="61"/>
      <c r="B27" s="53" t="s">
        <v>140</v>
      </c>
      <c r="C27" s="54" t="s">
        <v>36</v>
      </c>
      <c r="D27" s="54">
        <v>21.0</v>
      </c>
      <c r="E27" s="56" t="s">
        <v>141</v>
      </c>
      <c r="F27" s="54" t="s">
        <v>73</v>
      </c>
      <c r="G27" s="57" t="str">
        <f t="shared" si="1"/>
        <v>Diminui a chance de quebra de equipamento em 15% das vezes</v>
      </c>
      <c r="H27" s="58" t="b">
        <v>1</v>
      </c>
      <c r="I27" s="59" t="s">
        <v>139</v>
      </c>
    </row>
    <row r="28">
      <c r="A28" s="61"/>
      <c r="B28" s="62" t="s">
        <v>142</v>
      </c>
      <c r="C28" s="54" t="s">
        <v>36</v>
      </c>
      <c r="D28" s="55">
        <v>30.0</v>
      </c>
      <c r="E28" s="56" t="s">
        <v>143</v>
      </c>
      <c r="F28" s="54" t="s">
        <v>73</v>
      </c>
      <c r="G28" s="57" t="str">
        <f t="shared" si="1"/>
        <v>Evita ferimentos 20% das vezes</v>
      </c>
      <c r="H28" s="60" t="b">
        <v>0</v>
      </c>
      <c r="I28" s="59" t="s">
        <v>144</v>
      </c>
    </row>
    <row r="29">
      <c r="A29" s="61"/>
      <c r="B29" s="62" t="s">
        <v>145</v>
      </c>
      <c r="C29" s="54" t="s">
        <v>36</v>
      </c>
      <c r="D29" s="55">
        <v>32.0</v>
      </c>
      <c r="E29" s="56" t="s">
        <v>146</v>
      </c>
      <c r="F29" s="54" t="s">
        <v>97</v>
      </c>
      <c r="G29" s="57" t="str">
        <f t="shared" si="1"/>
        <v>Aumenta o número mínimo de itens e artefatos encontrados em +1</v>
      </c>
      <c r="H29" s="60" t="b">
        <v>0</v>
      </c>
      <c r="I29" s="59" t="s">
        <v>147</v>
      </c>
    </row>
    <row r="30">
      <c r="A30" s="61"/>
      <c r="B30" s="53" t="s">
        <v>148</v>
      </c>
      <c r="C30" s="54" t="s">
        <v>36</v>
      </c>
      <c r="D30" s="54">
        <v>35.0</v>
      </c>
      <c r="E30" s="56" t="s">
        <v>83</v>
      </c>
      <c r="F30" s="54" t="s">
        <v>73</v>
      </c>
      <c r="G30" s="57" t="str">
        <f t="shared" si="1"/>
        <v>Aumenta o número máximo de artefatos e itens de raid encontrados em +2</v>
      </c>
      <c r="H30" s="58" t="b">
        <v>1</v>
      </c>
      <c r="I30" s="59" t="s">
        <v>100</v>
      </c>
    </row>
    <row r="31">
      <c r="A31" s="61"/>
      <c r="B31" s="53" t="s">
        <v>149</v>
      </c>
      <c r="C31" s="54" t="s">
        <v>36</v>
      </c>
      <c r="D31" s="54">
        <v>37.0</v>
      </c>
      <c r="E31" s="56" t="s">
        <v>150</v>
      </c>
      <c r="F31" s="54" t="s">
        <v>97</v>
      </c>
      <c r="G31" s="57" t="str">
        <f t="shared" si="1"/>
        <v>Reduz a chance de companheiros quebrarem o equipamento em 5%</v>
      </c>
      <c r="H31" s="58" t="b">
        <v>1</v>
      </c>
      <c r="I31" s="59" t="s">
        <v>100</v>
      </c>
    </row>
    <row r="32">
      <c r="A32" s="61"/>
      <c r="B32" s="53" t="s">
        <v>151</v>
      </c>
      <c r="C32" s="54" t="s">
        <v>36</v>
      </c>
      <c r="D32" s="54">
        <v>39.0</v>
      </c>
      <c r="E32" s="56" t="s">
        <v>152</v>
      </c>
      <c r="F32" s="54" t="s">
        <v>97</v>
      </c>
      <c r="G32" s="57" t="str">
        <f t="shared" si="1"/>
        <v>Impede que o equipamento de um companheiro se quebre 1 vez</v>
      </c>
      <c r="H32" s="58" t="b">
        <v>1</v>
      </c>
      <c r="I32" s="59" t="s">
        <v>100</v>
      </c>
    </row>
    <row r="33">
      <c r="A33" s="61"/>
      <c r="B33" s="62" t="s">
        <v>153</v>
      </c>
      <c r="C33" s="54" t="s">
        <v>36</v>
      </c>
      <c r="D33" s="55">
        <v>42.0</v>
      </c>
      <c r="E33" s="56" t="s">
        <v>154</v>
      </c>
      <c r="F33" s="54" t="s">
        <v>118</v>
      </c>
      <c r="G33" s="57" t="str">
        <f t="shared" si="1"/>
        <v>Aumenta a força em 35%</v>
      </c>
      <c r="H33" s="58" t="b">
        <v>1</v>
      </c>
      <c r="I33" s="59" t="s">
        <v>155</v>
      </c>
    </row>
    <row r="34">
      <c r="A34" s="61"/>
      <c r="B34" s="53" t="s">
        <v>156</v>
      </c>
      <c r="C34" s="54" t="s">
        <v>36</v>
      </c>
      <c r="D34" s="54">
        <v>43.0</v>
      </c>
      <c r="E34" s="56" t="s">
        <v>109</v>
      </c>
      <c r="F34" s="54" t="s">
        <v>118</v>
      </c>
      <c r="G34" s="57" t="str">
        <f t="shared" si="1"/>
        <v>Aumenta o número máximo de artefatos e itens de raid encontrados por cada membro do grupo em +1</v>
      </c>
      <c r="H34" s="58" t="b">
        <v>1</v>
      </c>
      <c r="I34" s="59" t="s">
        <v>113</v>
      </c>
    </row>
    <row r="35">
      <c r="A35" s="61"/>
      <c r="B35" s="62" t="s">
        <v>157</v>
      </c>
      <c r="C35" s="54" t="s">
        <v>36</v>
      </c>
      <c r="D35" s="55">
        <v>45.0</v>
      </c>
      <c r="E35" s="56" t="s">
        <v>158</v>
      </c>
      <c r="F35" s="54" t="s">
        <v>118</v>
      </c>
      <c r="G35" s="57" t="str">
        <f t="shared" si="1"/>
        <v>25% de bônus de experiência</v>
      </c>
      <c r="H35" s="58" t="b">
        <v>1</v>
      </c>
      <c r="I35" s="59" t="s">
        <v>84</v>
      </c>
    </row>
    <row r="36">
      <c r="A36" s="61"/>
      <c r="B36" s="53" t="s">
        <v>159</v>
      </c>
      <c r="C36" s="54" t="s">
        <v>36</v>
      </c>
      <c r="D36" s="54">
        <v>48.0</v>
      </c>
      <c r="E36" s="56" t="s">
        <v>160</v>
      </c>
      <c r="F36" s="54" t="s">
        <v>97</v>
      </c>
      <c r="G36" s="57" t="str">
        <f t="shared" si="1"/>
        <v>Aumenta a força do equipamento em 25%</v>
      </c>
      <c r="H36" s="58" t="b">
        <v>1</v>
      </c>
      <c r="I36" s="59" t="s">
        <v>161</v>
      </c>
    </row>
    <row r="37">
      <c r="A37" s="61"/>
      <c r="B37" s="53" t="s">
        <v>162</v>
      </c>
      <c r="C37" s="54" t="s">
        <v>36</v>
      </c>
      <c r="D37" s="54">
        <v>50.0</v>
      </c>
      <c r="E37" s="56" t="s">
        <v>109</v>
      </c>
      <c r="F37" s="54" t="s">
        <v>118</v>
      </c>
      <c r="G37" s="57" t="str">
        <f t="shared" si="1"/>
        <v>Aumenta o número máximo de artefatos e itens de raid encontrados por cada membro do grupo em +1</v>
      </c>
      <c r="H37" s="58" t="b">
        <v>1</v>
      </c>
      <c r="I37" s="59" t="s">
        <v>161</v>
      </c>
    </row>
    <row r="38">
      <c r="A38" s="61"/>
      <c r="B38" s="53" t="s">
        <v>163</v>
      </c>
      <c r="C38" s="54" t="s">
        <v>36</v>
      </c>
      <c r="D38" s="55">
        <v>53.0</v>
      </c>
      <c r="E38" s="56" t="s">
        <v>164</v>
      </c>
      <c r="F38" s="54" t="s">
        <v>118</v>
      </c>
      <c r="G38" s="57" t="str">
        <f t="shared" si="1"/>
        <v>Diminui a chance de quebra de equipamento em 50% das vezes</v>
      </c>
      <c r="H38" s="60" t="b">
        <v>0</v>
      </c>
      <c r="I38" s="59" t="s">
        <v>165</v>
      </c>
    </row>
    <row r="39">
      <c r="A39" s="61"/>
      <c r="B39" s="53" t="s">
        <v>166</v>
      </c>
      <c r="C39" s="54" t="s">
        <v>36</v>
      </c>
      <c r="D39" s="55">
        <v>54.0</v>
      </c>
      <c r="E39" s="56" t="s">
        <v>167</v>
      </c>
      <c r="F39" s="54" t="s">
        <v>118</v>
      </c>
      <c r="G39" s="57" t="str">
        <f t="shared" si="1"/>
        <v>Impede que 2 peças de equipamento se quebre durante a missão</v>
      </c>
      <c r="H39" s="58" t="b">
        <v>1</v>
      </c>
      <c r="I39" s="59" t="s">
        <v>122</v>
      </c>
    </row>
    <row r="40">
      <c r="A40" s="61"/>
      <c r="B40" s="53" t="s">
        <v>168</v>
      </c>
      <c r="C40" s="54" t="s">
        <v>36</v>
      </c>
      <c r="D40" s="55">
        <v>55.0</v>
      </c>
      <c r="E40" s="56" t="s">
        <v>126</v>
      </c>
      <c r="F40" s="54" t="s">
        <v>73</v>
      </c>
      <c r="G40" s="57" t="str">
        <f t="shared" si="1"/>
        <v>Aumenta o número máximo de artefatos e itens de raid encontrados em +6</v>
      </c>
      <c r="H40" s="58" t="b">
        <v>1</v>
      </c>
      <c r="I40" s="59" t="s">
        <v>169</v>
      </c>
    </row>
    <row r="41">
      <c r="A41" s="61"/>
      <c r="B41" s="53" t="s">
        <v>170</v>
      </c>
      <c r="C41" s="54" t="s">
        <v>36</v>
      </c>
      <c r="D41" s="54">
        <v>56.0</v>
      </c>
      <c r="E41" s="56" t="s">
        <v>171</v>
      </c>
      <c r="F41" s="54" t="s">
        <v>73</v>
      </c>
      <c r="G41" s="57" t="str">
        <f t="shared" si="1"/>
        <v>Reduz o tempo de espera depois da missão em 100%</v>
      </c>
      <c r="H41" s="58" t="b">
        <v>1</v>
      </c>
      <c r="I41" s="59" t="s">
        <v>172</v>
      </c>
    </row>
    <row r="42">
      <c r="A42" s="61"/>
      <c r="B42" s="53" t="s">
        <v>173</v>
      </c>
      <c r="C42" s="54" t="s">
        <v>46</v>
      </c>
      <c r="D42" s="54">
        <v>10.0</v>
      </c>
      <c r="E42" s="56" t="s">
        <v>83</v>
      </c>
      <c r="F42" s="54" t="s">
        <v>77</v>
      </c>
      <c r="G42" s="57" t="str">
        <f t="shared" si="1"/>
        <v>Aumenta o número máximo de artefatos e itens de raid encontrados em +2</v>
      </c>
      <c r="H42" s="58" t="b">
        <v>1</v>
      </c>
      <c r="I42" s="59" t="s">
        <v>78</v>
      </c>
    </row>
    <row r="43">
      <c r="A43" s="61"/>
      <c r="B43" s="53" t="s">
        <v>174</v>
      </c>
      <c r="C43" s="54" t="s">
        <v>46</v>
      </c>
      <c r="D43" s="54">
        <v>18.0</v>
      </c>
      <c r="E43" s="56" t="s">
        <v>152</v>
      </c>
      <c r="F43" s="54" t="s">
        <v>77</v>
      </c>
      <c r="G43" s="57" t="str">
        <f t="shared" si="1"/>
        <v>Impede que o equipamento de um companheiro se quebre 1 vez</v>
      </c>
      <c r="H43" s="58" t="b">
        <v>1</v>
      </c>
      <c r="I43" s="59" t="s">
        <v>139</v>
      </c>
    </row>
    <row r="44">
      <c r="A44" s="61"/>
      <c r="B44" s="53" t="s">
        <v>175</v>
      </c>
      <c r="C44" s="54" t="s">
        <v>46</v>
      </c>
      <c r="D44" s="54">
        <v>24.0</v>
      </c>
      <c r="E44" s="56" t="s">
        <v>106</v>
      </c>
      <c r="F44" s="54" t="s">
        <v>97</v>
      </c>
      <c r="G44" s="57" t="str">
        <f t="shared" si="1"/>
        <v>Revive um companheiro derrotado 10% das vezes</v>
      </c>
      <c r="H44" s="58" t="b">
        <v>1</v>
      </c>
      <c r="I44" s="59" t="s">
        <v>133</v>
      </c>
    </row>
    <row r="45">
      <c r="A45" s="61"/>
      <c r="B45" s="53" t="s">
        <v>176</v>
      </c>
      <c r="C45" s="54" t="s">
        <v>46</v>
      </c>
      <c r="D45" s="54">
        <v>25.0</v>
      </c>
      <c r="E45" s="56" t="s">
        <v>177</v>
      </c>
      <c r="F45" s="54" t="s">
        <v>73</v>
      </c>
      <c r="G45" s="57" t="str">
        <f t="shared" si="1"/>
        <v>Obtém pelo menos 25% de experiência quando ferido e a missão é bem sucedida</v>
      </c>
      <c r="H45" s="58" t="b">
        <v>1</v>
      </c>
      <c r="I45" s="59" t="s">
        <v>87</v>
      </c>
    </row>
    <row r="46">
      <c r="A46" s="61"/>
      <c r="B46" s="53" t="s">
        <v>178</v>
      </c>
      <c r="C46" s="54" t="s">
        <v>46</v>
      </c>
      <c r="D46" s="55">
        <v>29.0</v>
      </c>
      <c r="E46" s="56" t="s">
        <v>167</v>
      </c>
      <c r="F46" s="54" t="s">
        <v>97</v>
      </c>
      <c r="G46" s="57" t="str">
        <f t="shared" si="1"/>
        <v>Impede que 2 peças de equipamento se quebre durante a missão</v>
      </c>
      <c r="H46" s="60" t="b">
        <v>0</v>
      </c>
      <c r="I46" s="59" t="s">
        <v>179</v>
      </c>
    </row>
    <row r="47">
      <c r="A47" s="61"/>
      <c r="B47" s="53" t="s">
        <v>180</v>
      </c>
      <c r="C47" s="54" t="s">
        <v>46</v>
      </c>
      <c r="D47" s="55">
        <v>30.0</v>
      </c>
      <c r="E47" s="56" t="s">
        <v>181</v>
      </c>
      <c r="F47" s="54" t="s">
        <v>97</v>
      </c>
      <c r="G47" s="57" t="str">
        <f t="shared" si="1"/>
        <v>Aumenta a taxa de sobrevivência de membros femininos do grupo em 10%</v>
      </c>
      <c r="H47" s="60" t="b">
        <v>0</v>
      </c>
      <c r="I47" s="59" t="s">
        <v>182</v>
      </c>
    </row>
    <row r="48">
      <c r="A48" s="61"/>
      <c r="B48" s="53" t="s">
        <v>183</v>
      </c>
      <c r="C48" s="54" t="s">
        <v>46</v>
      </c>
      <c r="D48" s="54">
        <v>35.0</v>
      </c>
      <c r="E48" s="56" t="s">
        <v>138</v>
      </c>
      <c r="F48" s="54" t="s">
        <v>73</v>
      </c>
      <c r="G48" s="57" t="str">
        <f t="shared" si="1"/>
        <v>Evita ferimentos 10% das vezes</v>
      </c>
      <c r="H48" s="58" t="b">
        <v>1</v>
      </c>
      <c r="I48" s="59" t="s">
        <v>100</v>
      </c>
    </row>
    <row r="49">
      <c r="A49" s="61"/>
      <c r="B49" s="53" t="s">
        <v>184</v>
      </c>
      <c r="C49" s="54" t="s">
        <v>46</v>
      </c>
      <c r="D49" s="55">
        <v>38.0</v>
      </c>
      <c r="E49" s="56" t="s">
        <v>185</v>
      </c>
      <c r="F49" s="54" t="s">
        <v>97</v>
      </c>
      <c r="G49" s="57" t="str">
        <f t="shared" si="1"/>
        <v>Aumenta a força dos guerreiros do grupo em 15%</v>
      </c>
      <c r="H49" s="58" t="b">
        <v>1</v>
      </c>
      <c r="I49" s="59" t="s">
        <v>100</v>
      </c>
    </row>
    <row r="50">
      <c r="A50" s="61"/>
      <c r="B50" s="53" t="s">
        <v>186</v>
      </c>
      <c r="C50" s="54" t="s">
        <v>46</v>
      </c>
      <c r="D50" s="54">
        <v>39.0</v>
      </c>
      <c r="E50" s="56" t="s">
        <v>187</v>
      </c>
      <c r="F50" s="54" t="s">
        <v>97</v>
      </c>
      <c r="G50" s="57" t="str">
        <f t="shared" si="1"/>
        <v>Aumenta a taxa de sobrevivência do grupo em 2%</v>
      </c>
      <c r="H50" s="58" t="b">
        <v>1</v>
      </c>
      <c r="I50" s="59" t="s">
        <v>100</v>
      </c>
    </row>
    <row r="51">
      <c r="A51" s="61"/>
      <c r="B51" s="53" t="s">
        <v>188</v>
      </c>
      <c r="C51" s="54" t="s">
        <v>46</v>
      </c>
      <c r="D51" s="55">
        <v>46.0</v>
      </c>
      <c r="E51" s="56" t="s">
        <v>189</v>
      </c>
      <c r="F51" s="54" t="s">
        <v>97</v>
      </c>
      <c r="G51" s="57" t="str">
        <f t="shared" si="1"/>
        <v>Aumenta a força em 30%</v>
      </c>
      <c r="H51" s="58" t="b">
        <v>1</v>
      </c>
      <c r="I51" s="59" t="s">
        <v>113</v>
      </c>
    </row>
    <row r="52">
      <c r="A52" s="61"/>
      <c r="B52" s="53" t="s">
        <v>190</v>
      </c>
      <c r="C52" s="54" t="s">
        <v>46</v>
      </c>
      <c r="D52" s="55">
        <v>48.0</v>
      </c>
      <c r="E52" s="56" t="s">
        <v>135</v>
      </c>
      <c r="F52" s="54" t="s">
        <v>118</v>
      </c>
      <c r="G52" s="57" t="str">
        <f t="shared" si="1"/>
        <v>Reduz o tempo de espera depois da missão em 50%</v>
      </c>
      <c r="H52" s="60" t="b">
        <v>0</v>
      </c>
      <c r="I52" s="59" t="s">
        <v>191</v>
      </c>
    </row>
    <row r="53">
      <c r="A53" s="61"/>
      <c r="B53" s="53" t="s">
        <v>192</v>
      </c>
      <c r="C53" s="54" t="s">
        <v>46</v>
      </c>
      <c r="D53" s="54">
        <v>49.0</v>
      </c>
      <c r="E53" s="56" t="s">
        <v>121</v>
      </c>
      <c r="F53" s="54" t="s">
        <v>73</v>
      </c>
      <c r="G53" s="57" t="str">
        <f t="shared" si="1"/>
        <v>Aumenta a força do equipamento em 25%</v>
      </c>
      <c r="H53" s="58" t="b">
        <v>1</v>
      </c>
      <c r="I53" s="59" t="s">
        <v>161</v>
      </c>
    </row>
    <row r="54">
      <c r="A54" s="61"/>
      <c r="B54" s="53" t="s">
        <v>193</v>
      </c>
      <c r="C54" s="54" t="s">
        <v>46</v>
      </c>
      <c r="D54" s="55">
        <v>53.0</v>
      </c>
      <c r="E54" s="56" t="s">
        <v>115</v>
      </c>
      <c r="F54" s="54" t="s">
        <v>118</v>
      </c>
      <c r="G54" s="57" t="str">
        <f t="shared" si="1"/>
        <v>Aumenta a taxa de sobrevivência do grupo em 5%</v>
      </c>
      <c r="H54" s="58" t="b">
        <v>1</v>
      </c>
      <c r="I54" s="59" t="s">
        <v>122</v>
      </c>
    </row>
    <row r="55">
      <c r="A55" s="61"/>
      <c r="B55" s="63" t="s">
        <v>194</v>
      </c>
      <c r="C55" s="54" t="s">
        <v>46</v>
      </c>
      <c r="D55" s="55">
        <v>54.0</v>
      </c>
      <c r="E55" s="56" t="s">
        <v>96</v>
      </c>
      <c r="F55" s="54" t="s">
        <v>97</v>
      </c>
      <c r="G55" s="57" t="str">
        <f t="shared" si="1"/>
        <v>Aumenta o número máximo de artefatos e itens de raid encontrados em +4</v>
      </c>
      <c r="H55" s="60" t="b">
        <v>0</v>
      </c>
      <c r="I55" s="59" t="s">
        <v>195</v>
      </c>
    </row>
    <row r="56">
      <c r="A56" s="61"/>
      <c r="B56" s="63" t="s">
        <v>196</v>
      </c>
      <c r="C56" s="54" t="s">
        <v>46</v>
      </c>
      <c r="D56" s="55">
        <v>57.0</v>
      </c>
      <c r="E56" s="56" t="s">
        <v>197</v>
      </c>
      <c r="F56" s="54" t="s">
        <v>97</v>
      </c>
      <c r="G56" s="57" t="str">
        <f t="shared" si="1"/>
        <v>Revive um companheiro derrotado 15% das vezes</v>
      </c>
      <c r="H56" s="60" t="b">
        <v>0</v>
      </c>
      <c r="I56" s="59" t="s">
        <v>165</v>
      </c>
    </row>
    <row r="57">
      <c r="A57" s="61"/>
      <c r="B57" s="63" t="s">
        <v>198</v>
      </c>
      <c r="C57" s="54" t="s">
        <v>46</v>
      </c>
      <c r="D57" s="55">
        <v>58.0</v>
      </c>
      <c r="E57" s="56" t="s">
        <v>199</v>
      </c>
      <c r="F57" s="54" t="s">
        <v>118</v>
      </c>
      <c r="G57" s="57" t="str">
        <f t="shared" si="1"/>
        <v>Impede que o equipamento de um companheiro se quebre 3 vezes</v>
      </c>
      <c r="H57" s="58" t="b">
        <v>1</v>
      </c>
      <c r="I57" s="59" t="s">
        <v>90</v>
      </c>
    </row>
    <row r="58">
      <c r="A58" s="61"/>
      <c r="B58" s="53" t="s">
        <v>200</v>
      </c>
      <c r="C58" s="54" t="s">
        <v>56</v>
      </c>
      <c r="D58" s="54">
        <v>9.0</v>
      </c>
      <c r="E58" s="56" t="s">
        <v>135</v>
      </c>
      <c r="F58" s="54" t="s">
        <v>77</v>
      </c>
      <c r="G58" s="57" t="str">
        <f t="shared" si="1"/>
        <v>Reduz o tempo de espera depois da missão em 50%</v>
      </c>
      <c r="H58" s="58" t="b">
        <v>1</v>
      </c>
      <c r="I58" s="59" t="s">
        <v>136</v>
      </c>
    </row>
    <row r="59">
      <c r="A59" s="61"/>
      <c r="B59" s="53" t="s">
        <v>201</v>
      </c>
      <c r="C59" s="54" t="s">
        <v>56</v>
      </c>
      <c r="D59" s="54">
        <v>12.0</v>
      </c>
      <c r="E59" s="56" t="s">
        <v>80</v>
      </c>
      <c r="F59" s="54" t="s">
        <v>97</v>
      </c>
      <c r="G59" s="57" t="str">
        <f t="shared" si="1"/>
        <v>Aumenta o número de companheiros em +1</v>
      </c>
      <c r="H59" s="58" t="b">
        <v>1</v>
      </c>
      <c r="I59" s="59" t="s">
        <v>78</v>
      </c>
    </row>
    <row r="60">
      <c r="A60" s="61"/>
      <c r="B60" s="53" t="s">
        <v>202</v>
      </c>
      <c r="C60" s="54" t="s">
        <v>56</v>
      </c>
      <c r="D60" s="54">
        <v>24.0</v>
      </c>
      <c r="E60" s="56" t="s">
        <v>132</v>
      </c>
      <c r="F60" s="54" t="s">
        <v>73</v>
      </c>
      <c r="G60" s="57" t="str">
        <f t="shared" si="1"/>
        <v>Reduz a duração da missão em 10%</v>
      </c>
      <c r="H60" s="58" t="b">
        <v>1</v>
      </c>
      <c r="I60" s="59" t="s">
        <v>203</v>
      </c>
    </row>
    <row r="61">
      <c r="A61" s="61"/>
      <c r="B61" s="53" t="s">
        <v>204</v>
      </c>
      <c r="C61" s="54" t="s">
        <v>56</v>
      </c>
      <c r="D61" s="55">
        <v>26.0</v>
      </c>
      <c r="E61" s="56" t="s">
        <v>205</v>
      </c>
      <c r="F61" s="54" t="s">
        <v>77</v>
      </c>
      <c r="G61" s="57" t="str">
        <f t="shared" si="1"/>
        <v>Obtém pelo menos 100% de experiência quando ferido e a missão é bem sucedida</v>
      </c>
      <c r="H61" s="60" t="b">
        <v>0</v>
      </c>
      <c r="I61" s="59" t="s">
        <v>206</v>
      </c>
    </row>
    <row r="62">
      <c r="A62" s="61"/>
      <c r="B62" s="53" t="s">
        <v>207</v>
      </c>
      <c r="C62" s="54" t="s">
        <v>56</v>
      </c>
      <c r="D62" s="54">
        <v>27.0</v>
      </c>
      <c r="E62" s="56" t="s">
        <v>208</v>
      </c>
      <c r="F62" s="54" t="s">
        <v>73</v>
      </c>
      <c r="G62" s="57" t="str">
        <f t="shared" si="1"/>
        <v>Aumenta a força em 25%</v>
      </c>
      <c r="H62" s="58" t="b">
        <v>1</v>
      </c>
      <c r="I62" s="59" t="s">
        <v>87</v>
      </c>
    </row>
    <row r="63">
      <c r="A63" s="61"/>
      <c r="B63" s="53" t="s">
        <v>209</v>
      </c>
      <c r="C63" s="54" t="s">
        <v>56</v>
      </c>
      <c r="D63" s="54">
        <v>30.0</v>
      </c>
      <c r="E63" s="56" t="s">
        <v>210</v>
      </c>
      <c r="F63" s="54" t="s">
        <v>73</v>
      </c>
      <c r="G63" s="57" t="str">
        <f t="shared" si="1"/>
        <v>Aumenta a força dos feiticeiros do grupo em 10%</v>
      </c>
      <c r="H63" s="58" t="b">
        <v>1</v>
      </c>
      <c r="I63" s="59" t="s">
        <v>87</v>
      </c>
    </row>
    <row r="64">
      <c r="A64" s="61"/>
      <c r="B64" s="53" t="s">
        <v>211</v>
      </c>
      <c r="C64" s="54" t="s">
        <v>56</v>
      </c>
      <c r="D64" s="55">
        <v>38.0</v>
      </c>
      <c r="E64" s="56" t="s">
        <v>212</v>
      </c>
      <c r="F64" s="54" t="s">
        <v>97</v>
      </c>
      <c r="G64" s="57" t="str">
        <f t="shared" si="1"/>
        <v>Aumenta a força em 25%</v>
      </c>
      <c r="H64" s="58" t="b">
        <v>1</v>
      </c>
      <c r="I64" s="59" t="s">
        <v>100</v>
      </c>
    </row>
    <row r="65">
      <c r="A65" s="61"/>
      <c r="B65" s="53" t="s">
        <v>213</v>
      </c>
      <c r="C65" s="54" t="s">
        <v>56</v>
      </c>
      <c r="D65" s="55">
        <v>39.0</v>
      </c>
      <c r="E65" s="56" t="s">
        <v>187</v>
      </c>
      <c r="F65" s="54" t="s">
        <v>97</v>
      </c>
      <c r="G65" s="57" t="str">
        <f t="shared" si="1"/>
        <v>Aumenta a taxa de sobrevivência do grupo em 2%</v>
      </c>
      <c r="H65" s="58" t="b">
        <v>1</v>
      </c>
      <c r="I65" s="59" t="s">
        <v>100</v>
      </c>
    </row>
    <row r="66">
      <c r="A66" s="61"/>
      <c r="B66" s="53" t="s">
        <v>214</v>
      </c>
      <c r="C66" s="54" t="s">
        <v>56</v>
      </c>
      <c r="D66" s="54">
        <v>41.0</v>
      </c>
      <c r="E66" s="56" t="s">
        <v>106</v>
      </c>
      <c r="F66" s="54" t="s">
        <v>97</v>
      </c>
      <c r="G66" s="57" t="str">
        <f t="shared" si="1"/>
        <v>Revive um companheiro derrotado 10% das vezes</v>
      </c>
      <c r="H66" s="58" t="b">
        <v>1</v>
      </c>
      <c r="I66" s="59" t="s">
        <v>215</v>
      </c>
    </row>
    <row r="67">
      <c r="A67" s="61"/>
      <c r="B67" s="53" t="s">
        <v>216</v>
      </c>
      <c r="C67" s="54" t="s">
        <v>56</v>
      </c>
      <c r="D67" s="55">
        <v>47.0</v>
      </c>
      <c r="E67" s="56" t="s">
        <v>217</v>
      </c>
      <c r="F67" s="54" t="s">
        <v>97</v>
      </c>
      <c r="G67" s="57" t="str">
        <f t="shared" si="1"/>
        <v>Aumenta a força dos guerreiros do grupo em 25%</v>
      </c>
      <c r="H67" s="58" t="b">
        <v>1</v>
      </c>
      <c r="I67" s="59" t="s">
        <v>113</v>
      </c>
    </row>
    <row r="68">
      <c r="A68" s="61"/>
      <c r="B68" s="53" t="s">
        <v>218</v>
      </c>
      <c r="C68" s="54" t="s">
        <v>56</v>
      </c>
      <c r="D68" s="55">
        <v>50.0</v>
      </c>
      <c r="E68" s="56" t="s">
        <v>212</v>
      </c>
      <c r="F68" s="54" t="s">
        <v>118</v>
      </c>
      <c r="G68" s="57" t="str">
        <f t="shared" si="1"/>
        <v>Aumenta a força em 25%</v>
      </c>
      <c r="H68" s="58" t="b">
        <v>1</v>
      </c>
      <c r="I68" s="59" t="s">
        <v>122</v>
      </c>
    </row>
    <row r="69">
      <c r="A69" s="61"/>
      <c r="B69" s="53" t="s">
        <v>219</v>
      </c>
      <c r="C69" s="54" t="s">
        <v>56</v>
      </c>
      <c r="D69" s="55">
        <v>52.0</v>
      </c>
      <c r="E69" s="56" t="s">
        <v>109</v>
      </c>
      <c r="F69" s="54" t="s">
        <v>118</v>
      </c>
      <c r="G69" s="57" t="str">
        <f t="shared" si="1"/>
        <v>Aumenta o número máximo de artefatos e itens de raid encontrados por cada membro do grupo em +1</v>
      </c>
      <c r="H69" s="58" t="b">
        <v>1</v>
      </c>
      <c r="I69" s="59" t="s">
        <v>122</v>
      </c>
    </row>
    <row r="70">
      <c r="A70" s="61"/>
      <c r="B70" s="63" t="s">
        <v>220</v>
      </c>
      <c r="C70" s="54" t="s">
        <v>56</v>
      </c>
      <c r="D70" s="55">
        <v>54.0</v>
      </c>
      <c r="E70" s="56" t="s">
        <v>129</v>
      </c>
      <c r="F70" s="54" t="s">
        <v>118</v>
      </c>
      <c r="G70" s="57" t="str">
        <f t="shared" si="1"/>
        <v>Aumenta o número máximo de artefatos e itens de raid encontrados por cada membro do grupo em +2</v>
      </c>
      <c r="H70" s="58" t="b">
        <v>1</v>
      </c>
      <c r="I70" s="59" t="s">
        <v>179</v>
      </c>
    </row>
    <row r="71">
      <c r="A71" s="61"/>
      <c r="B71" s="63" t="s">
        <v>221</v>
      </c>
      <c r="C71" s="54" t="s">
        <v>56</v>
      </c>
      <c r="D71" s="55">
        <v>54.0</v>
      </c>
      <c r="E71" s="56" t="s">
        <v>222</v>
      </c>
      <c r="F71" s="54" t="s">
        <v>118</v>
      </c>
      <c r="G71" s="57" t="str">
        <f t="shared" si="1"/>
        <v>Reduz a duração da missão em 50%</v>
      </c>
      <c r="H71" s="58" t="b">
        <v>1</v>
      </c>
      <c r="I71" s="59" t="s">
        <v>169</v>
      </c>
    </row>
    <row r="72">
      <c r="A72" s="61"/>
      <c r="B72" s="63" t="s">
        <v>223</v>
      </c>
      <c r="C72" s="54" t="s">
        <v>56</v>
      </c>
      <c r="D72" s="55">
        <v>58.0</v>
      </c>
      <c r="E72" s="56" t="s">
        <v>224</v>
      </c>
      <c r="F72" s="54" t="s">
        <v>97</v>
      </c>
      <c r="G72" s="57" t="str">
        <f t="shared" si="1"/>
        <v>Reduz o tempo de cura de companheiros em 50%</v>
      </c>
      <c r="H72" s="60" t="b">
        <v>0</v>
      </c>
      <c r="I72" s="59" t="s">
        <v>165</v>
      </c>
    </row>
    <row r="73">
      <c r="A73" s="61"/>
      <c r="B73" s="53" t="s">
        <v>225</v>
      </c>
      <c r="C73" s="54" t="s">
        <v>38</v>
      </c>
      <c r="D73" s="55">
        <v>7.0</v>
      </c>
      <c r="E73" s="56" t="s">
        <v>121</v>
      </c>
      <c r="F73" s="54" t="s">
        <v>73</v>
      </c>
      <c r="G73" s="57" t="str">
        <f t="shared" si="1"/>
        <v>Aumenta a força do equipamento em 25%</v>
      </c>
      <c r="H73" s="60" t="b">
        <v>0</v>
      </c>
      <c r="I73" s="59" t="s">
        <v>226</v>
      </c>
    </row>
    <row r="74">
      <c r="A74" s="61"/>
      <c r="B74" s="53" t="s">
        <v>227</v>
      </c>
      <c r="C74" s="54" t="s">
        <v>38</v>
      </c>
      <c r="D74" s="54">
        <v>9.0</v>
      </c>
      <c r="E74" s="56" t="s">
        <v>210</v>
      </c>
      <c r="F74" s="54" t="s">
        <v>77</v>
      </c>
      <c r="G74" s="57" t="str">
        <f t="shared" si="1"/>
        <v>Aumenta a força dos feiticeiros do grupo em 10%</v>
      </c>
      <c r="H74" s="58" t="b">
        <v>1</v>
      </c>
      <c r="I74" s="59" t="s">
        <v>136</v>
      </c>
    </row>
    <row r="75">
      <c r="A75" s="61"/>
      <c r="B75" s="53" t="s">
        <v>228</v>
      </c>
      <c r="C75" s="54" t="s">
        <v>38</v>
      </c>
      <c r="D75" s="55">
        <v>16.0</v>
      </c>
      <c r="E75" s="56" t="s">
        <v>80</v>
      </c>
      <c r="F75" s="54" t="s">
        <v>77</v>
      </c>
      <c r="G75" s="57" t="str">
        <f t="shared" si="1"/>
        <v>Aumenta o número de companheiros em +1</v>
      </c>
      <c r="H75" s="58" t="b">
        <v>1</v>
      </c>
      <c r="I75" s="59" t="s">
        <v>229</v>
      </c>
    </row>
    <row r="76">
      <c r="A76" s="61"/>
      <c r="B76" s="53" t="s">
        <v>230</v>
      </c>
      <c r="C76" s="54" t="s">
        <v>38</v>
      </c>
      <c r="D76" s="54">
        <v>17.0</v>
      </c>
      <c r="E76" s="56" t="s">
        <v>231</v>
      </c>
      <c r="F76" s="54" t="s">
        <v>77</v>
      </c>
      <c r="G76" s="57" t="str">
        <f t="shared" si="1"/>
        <v>Reduz o tempo de cura de companheiros em 10%</v>
      </c>
      <c r="H76" s="58" t="b">
        <v>1</v>
      </c>
      <c r="I76" s="59" t="s">
        <v>139</v>
      </c>
    </row>
    <row r="77">
      <c r="A77" s="61"/>
      <c r="B77" s="53" t="s">
        <v>232</v>
      </c>
      <c r="C77" s="54" t="s">
        <v>38</v>
      </c>
      <c r="D77" s="55">
        <v>20.0</v>
      </c>
      <c r="E77" s="56" t="s">
        <v>150</v>
      </c>
      <c r="F77" s="54" t="s">
        <v>73</v>
      </c>
      <c r="G77" s="57" t="str">
        <f t="shared" si="1"/>
        <v>Reduz a chance de companheiros quebrarem o equipamento em 5%</v>
      </c>
      <c r="H77" s="60" t="b">
        <v>0</v>
      </c>
      <c r="I77" s="59" t="s">
        <v>233</v>
      </c>
    </row>
    <row r="78">
      <c r="A78" s="61"/>
      <c r="B78" s="53" t="s">
        <v>234</v>
      </c>
      <c r="C78" s="54" t="s">
        <v>38</v>
      </c>
      <c r="D78" s="54">
        <v>21.0</v>
      </c>
      <c r="E78" s="56" t="s">
        <v>171</v>
      </c>
      <c r="F78" s="54" t="s">
        <v>73</v>
      </c>
      <c r="G78" s="57" t="str">
        <f t="shared" si="1"/>
        <v>Reduz o tempo de espera depois da missão em 100%</v>
      </c>
      <c r="H78" s="58" t="b">
        <v>1</v>
      </c>
      <c r="I78" s="59" t="s">
        <v>235</v>
      </c>
    </row>
    <row r="79">
      <c r="A79" s="61"/>
      <c r="B79" s="53" t="s">
        <v>236</v>
      </c>
      <c r="C79" s="54" t="s">
        <v>38</v>
      </c>
      <c r="D79" s="54">
        <v>28.0</v>
      </c>
      <c r="E79" s="56" t="s">
        <v>92</v>
      </c>
      <c r="F79" s="54" t="s">
        <v>73</v>
      </c>
      <c r="G79" s="57" t="str">
        <f t="shared" si="1"/>
        <v>Revive um companheiro derrotado 5% das vezes</v>
      </c>
      <c r="H79" s="58" t="b">
        <v>1</v>
      </c>
      <c r="I79" s="59" t="s">
        <v>87</v>
      </c>
    </row>
    <row r="80">
      <c r="A80" s="47"/>
      <c r="B80" s="53" t="s">
        <v>237</v>
      </c>
      <c r="C80" s="54" t="s">
        <v>38</v>
      </c>
      <c r="D80" s="55">
        <v>32.0</v>
      </c>
      <c r="E80" s="56" t="s">
        <v>208</v>
      </c>
      <c r="F80" s="54" t="s">
        <v>97</v>
      </c>
      <c r="G80" s="57" t="str">
        <f t="shared" si="1"/>
        <v>Aumenta a força em 25%</v>
      </c>
      <c r="H80" s="60" t="b">
        <v>0</v>
      </c>
      <c r="I80" s="59" t="s">
        <v>238</v>
      </c>
    </row>
    <row r="81">
      <c r="A81" s="61"/>
      <c r="B81" s="53" t="s">
        <v>239</v>
      </c>
      <c r="C81" s="54" t="s">
        <v>38</v>
      </c>
      <c r="D81" s="55">
        <v>34.0</v>
      </c>
      <c r="E81" s="56" t="s">
        <v>135</v>
      </c>
      <c r="F81" s="54" t="s">
        <v>97</v>
      </c>
      <c r="G81" s="57" t="str">
        <f t="shared" si="1"/>
        <v>Reduz o tempo de espera depois da missão em 50%</v>
      </c>
      <c r="H81" s="60" t="b">
        <v>0</v>
      </c>
      <c r="I81" s="59" t="s">
        <v>240</v>
      </c>
    </row>
    <row r="82">
      <c r="A82" s="61"/>
      <c r="B82" s="53" t="s">
        <v>241</v>
      </c>
      <c r="C82" s="54" t="s">
        <v>38</v>
      </c>
      <c r="D82" s="54">
        <v>35.0</v>
      </c>
      <c r="E82" s="56" t="s">
        <v>210</v>
      </c>
      <c r="F82" s="54" t="s">
        <v>73</v>
      </c>
      <c r="G82" s="57" t="str">
        <f t="shared" si="1"/>
        <v>Aumenta a força dos feiticeiros do grupo em 10%</v>
      </c>
      <c r="H82" s="58" t="b">
        <v>1</v>
      </c>
      <c r="I82" s="59" t="s">
        <v>100</v>
      </c>
    </row>
    <row r="83">
      <c r="A83" s="61"/>
      <c r="B83" s="53" t="s">
        <v>242</v>
      </c>
      <c r="C83" s="54" t="s">
        <v>38</v>
      </c>
      <c r="D83" s="55">
        <v>38.0</v>
      </c>
      <c r="E83" s="56" t="s">
        <v>210</v>
      </c>
      <c r="F83" s="54" t="s">
        <v>97</v>
      </c>
      <c r="G83" s="57" t="str">
        <f t="shared" si="1"/>
        <v>Aumenta a força dos feiticeiros do grupo em 10%</v>
      </c>
      <c r="H83" s="58" t="b">
        <v>1</v>
      </c>
      <c r="I83" s="59" t="s">
        <v>100</v>
      </c>
    </row>
    <row r="84">
      <c r="A84" s="61"/>
      <c r="B84" s="53" t="s">
        <v>243</v>
      </c>
      <c r="C84" s="54" t="s">
        <v>38</v>
      </c>
      <c r="D84" s="55">
        <v>40.0</v>
      </c>
      <c r="E84" s="56" t="s">
        <v>244</v>
      </c>
      <c r="F84" s="54" t="s">
        <v>97</v>
      </c>
      <c r="G84" s="57" t="str">
        <f t="shared" si="1"/>
        <v>Diminui a chance de quebra de equipamento em 30% das vezes</v>
      </c>
      <c r="H84" s="60" t="b">
        <v>0</v>
      </c>
      <c r="I84" s="59" t="s">
        <v>182</v>
      </c>
    </row>
    <row r="85">
      <c r="A85" s="61"/>
      <c r="B85" s="53" t="s">
        <v>245</v>
      </c>
      <c r="C85" s="54" t="s">
        <v>38</v>
      </c>
      <c r="D85" s="55">
        <v>41.0</v>
      </c>
      <c r="E85" s="56" t="s">
        <v>208</v>
      </c>
      <c r="F85" s="54" t="s">
        <v>97</v>
      </c>
      <c r="G85" s="57" t="str">
        <f t="shared" si="1"/>
        <v>Aumenta a força em 25%</v>
      </c>
      <c r="H85" s="58" t="b">
        <v>1</v>
      </c>
      <c r="I85" s="59" t="s">
        <v>100</v>
      </c>
    </row>
    <row r="86">
      <c r="A86" s="61"/>
      <c r="B86" s="53" t="s">
        <v>246</v>
      </c>
      <c r="C86" s="54" t="s">
        <v>38</v>
      </c>
      <c r="D86" s="55">
        <v>42.0</v>
      </c>
      <c r="E86" s="56" t="s">
        <v>96</v>
      </c>
      <c r="F86" s="54" t="s">
        <v>97</v>
      </c>
      <c r="G86" s="57" t="str">
        <f t="shared" si="1"/>
        <v>Aumenta o número máximo de artefatos e itens de raid encontrados em +4</v>
      </c>
      <c r="H86" s="58" t="b">
        <v>1</v>
      </c>
      <c r="I86" s="59" t="s">
        <v>90</v>
      </c>
    </row>
    <row r="87">
      <c r="A87" s="61"/>
      <c r="B87" s="53" t="s">
        <v>247</v>
      </c>
      <c r="C87" s="54" t="s">
        <v>38</v>
      </c>
      <c r="D87" s="54">
        <v>45.0</v>
      </c>
      <c r="E87" s="56" t="s">
        <v>106</v>
      </c>
      <c r="F87" s="54" t="s">
        <v>73</v>
      </c>
      <c r="G87" s="57" t="str">
        <f t="shared" si="1"/>
        <v>Revive um companheiro derrotado 10% das vezes</v>
      </c>
      <c r="H87" s="58" t="b">
        <v>1</v>
      </c>
      <c r="I87" s="59" t="s">
        <v>113</v>
      </c>
    </row>
    <row r="88">
      <c r="A88" s="61"/>
      <c r="B88" s="63" t="s">
        <v>248</v>
      </c>
      <c r="C88" s="54" t="s">
        <v>38</v>
      </c>
      <c r="D88" s="55">
        <v>45.0</v>
      </c>
      <c r="E88" s="56" t="s">
        <v>249</v>
      </c>
      <c r="F88" s="54" t="s">
        <v>118</v>
      </c>
      <c r="G88" s="57" t="str">
        <f t="shared" si="1"/>
        <v>Reduz o tempo de espera depois da missão em 75%</v>
      </c>
      <c r="H88" s="60" t="b">
        <v>0</v>
      </c>
      <c r="I88" s="59" t="s">
        <v>250</v>
      </c>
    </row>
    <row r="89">
      <c r="A89" s="61"/>
      <c r="B89" s="53" t="s">
        <v>251</v>
      </c>
      <c r="C89" s="54" t="s">
        <v>38</v>
      </c>
      <c r="D89" s="55">
        <v>50.0</v>
      </c>
      <c r="E89" s="56" t="s">
        <v>252</v>
      </c>
      <c r="F89" s="54" t="s">
        <v>118</v>
      </c>
      <c r="G89" s="57" t="str">
        <f t="shared" si="1"/>
        <v>Aumenta a força dos feiticeiros do grupo em 20%</v>
      </c>
      <c r="H89" s="58" t="b">
        <v>1</v>
      </c>
      <c r="I89" s="59" t="s">
        <v>122</v>
      </c>
    </row>
    <row r="90">
      <c r="A90" s="61"/>
      <c r="B90" s="53" t="s">
        <v>253</v>
      </c>
      <c r="C90" s="54" t="s">
        <v>38</v>
      </c>
      <c r="D90" s="55">
        <v>53.0</v>
      </c>
      <c r="E90" s="56" t="s">
        <v>197</v>
      </c>
      <c r="F90" s="54" t="s">
        <v>118</v>
      </c>
      <c r="G90" s="57" t="str">
        <f t="shared" si="1"/>
        <v>Revive um companheiro derrotado 15% das vezes</v>
      </c>
      <c r="H90" s="58" t="b">
        <v>1</v>
      </c>
      <c r="I90" s="59" t="s">
        <v>122</v>
      </c>
    </row>
    <row r="91">
      <c r="A91" s="61"/>
      <c r="B91" s="63" t="s">
        <v>254</v>
      </c>
      <c r="C91" s="54" t="s">
        <v>38</v>
      </c>
      <c r="D91" s="55">
        <v>55.0</v>
      </c>
      <c r="E91" s="56" t="s">
        <v>197</v>
      </c>
      <c r="F91" s="54" t="s">
        <v>73</v>
      </c>
      <c r="G91" s="57" t="str">
        <f t="shared" si="1"/>
        <v>Revive um companheiro derrotado 15% das vezes</v>
      </c>
      <c r="H91" s="58" t="b">
        <v>1</v>
      </c>
      <c r="I91" s="59" t="s">
        <v>172</v>
      </c>
    </row>
    <row r="92">
      <c r="A92" s="61"/>
      <c r="B92" s="53" t="s">
        <v>255</v>
      </c>
      <c r="C92" s="54" t="s">
        <v>38</v>
      </c>
      <c r="D92" s="54">
        <v>58.0</v>
      </c>
      <c r="E92" s="56" t="s">
        <v>129</v>
      </c>
      <c r="F92" s="54" t="s">
        <v>73</v>
      </c>
      <c r="G92" s="57" t="str">
        <f t="shared" si="1"/>
        <v>Aumenta o número máximo de artefatos e itens de raid encontrados por cada membro do grupo em +2</v>
      </c>
      <c r="H92" s="58" t="b">
        <v>1</v>
      </c>
      <c r="I92" s="59" t="s">
        <v>256</v>
      </c>
    </row>
    <row r="93">
      <c r="A93" s="61"/>
      <c r="B93" s="53" t="s">
        <v>257</v>
      </c>
      <c r="C93" s="54" t="s">
        <v>49</v>
      </c>
      <c r="D93" s="54">
        <v>8.0</v>
      </c>
      <c r="E93" s="56" t="s">
        <v>83</v>
      </c>
      <c r="F93" s="54" t="s">
        <v>77</v>
      </c>
      <c r="G93" s="57" t="str">
        <f t="shared" si="1"/>
        <v>Aumenta o número máximo de artefatos e itens de raid encontrados em +2</v>
      </c>
      <c r="H93" s="58" t="b">
        <v>1</v>
      </c>
      <c r="I93" s="59" t="s">
        <v>136</v>
      </c>
    </row>
    <row r="94">
      <c r="A94" s="61"/>
      <c r="B94" s="53" t="s">
        <v>258</v>
      </c>
      <c r="C94" s="54" t="s">
        <v>49</v>
      </c>
      <c r="D94" s="55">
        <v>23.0</v>
      </c>
      <c r="E94" s="56" t="s">
        <v>109</v>
      </c>
      <c r="F94" s="54" t="s">
        <v>73</v>
      </c>
      <c r="G94" s="57" t="str">
        <f t="shared" si="1"/>
        <v>Aumenta o número máximo de artefatos e itens de raid encontrados por cada membro do grupo em +1</v>
      </c>
      <c r="H94" s="60" t="b">
        <v>0</v>
      </c>
      <c r="I94" s="59" t="s">
        <v>259</v>
      </c>
    </row>
    <row r="95">
      <c r="A95" s="61"/>
      <c r="B95" s="53" t="s">
        <v>260</v>
      </c>
      <c r="C95" s="54" t="s">
        <v>49</v>
      </c>
      <c r="D95" s="55">
        <v>24.0</v>
      </c>
      <c r="E95" s="56" t="s">
        <v>89</v>
      </c>
      <c r="F95" s="54" t="s">
        <v>77</v>
      </c>
      <c r="G95" s="57" t="str">
        <f t="shared" si="1"/>
        <v>Obtém pelo menos 50% de experiência quando ferido e a missão é bem sucedida</v>
      </c>
      <c r="H95" s="60" t="b">
        <v>0</v>
      </c>
      <c r="I95" s="59" t="s">
        <v>195</v>
      </c>
    </row>
    <row r="96">
      <c r="A96" s="61"/>
      <c r="B96" s="53" t="s">
        <v>261</v>
      </c>
      <c r="C96" s="54" t="s">
        <v>49</v>
      </c>
      <c r="D96" s="54">
        <v>25.0</v>
      </c>
      <c r="E96" s="64" t="s">
        <v>76</v>
      </c>
      <c r="F96" s="54" t="s">
        <v>262</v>
      </c>
      <c r="G96" s="57" t="str">
        <f t="shared" si="1"/>
        <v>Encontra mais 50% de ouro durante as missões</v>
      </c>
      <c r="H96" s="58" t="b">
        <v>1</v>
      </c>
      <c r="I96" s="59" t="s">
        <v>87</v>
      </c>
    </row>
    <row r="97">
      <c r="A97" s="61"/>
      <c r="B97" s="53" t="s">
        <v>263</v>
      </c>
      <c r="C97" s="54" t="s">
        <v>49</v>
      </c>
      <c r="D97" s="55">
        <v>26.0</v>
      </c>
      <c r="E97" s="64" t="s">
        <v>112</v>
      </c>
      <c r="F97" s="54" t="s">
        <v>97</v>
      </c>
      <c r="G97" s="57" t="str">
        <f t="shared" si="1"/>
        <v>Aumenta a força do equipamento em 20%</v>
      </c>
      <c r="H97" s="60" t="b">
        <v>0</v>
      </c>
      <c r="I97" s="59" t="s">
        <v>264</v>
      </c>
    </row>
    <row r="98">
      <c r="A98" s="61"/>
      <c r="B98" s="53" t="s">
        <v>265</v>
      </c>
      <c r="C98" s="54" t="s">
        <v>49</v>
      </c>
      <c r="D98" s="54">
        <v>27.0</v>
      </c>
      <c r="E98" s="64" t="s">
        <v>158</v>
      </c>
      <c r="F98" s="54" t="s">
        <v>73</v>
      </c>
      <c r="G98" s="57" t="str">
        <f t="shared" si="1"/>
        <v>25% de bônus de experiência</v>
      </c>
      <c r="H98" s="58" t="b">
        <v>1</v>
      </c>
      <c r="I98" s="59" t="s">
        <v>87</v>
      </c>
    </row>
    <row r="99">
      <c r="A99" s="61"/>
      <c r="B99" s="53" t="s">
        <v>266</v>
      </c>
      <c r="C99" s="54" t="s">
        <v>49</v>
      </c>
      <c r="D99" s="55">
        <v>30.0</v>
      </c>
      <c r="E99" s="64" t="s">
        <v>217</v>
      </c>
      <c r="F99" s="54" t="s">
        <v>77</v>
      </c>
      <c r="G99" s="57" t="str">
        <f t="shared" si="1"/>
        <v>Aumenta a força dos guerreiros do grupo em 25%</v>
      </c>
      <c r="H99" s="60" t="b">
        <v>0</v>
      </c>
      <c r="I99" s="59" t="s">
        <v>206</v>
      </c>
    </row>
    <row r="100">
      <c r="A100" s="61"/>
      <c r="B100" s="53" t="s">
        <v>267</v>
      </c>
      <c r="C100" s="54" t="s">
        <v>49</v>
      </c>
      <c r="D100" s="55">
        <v>34.0</v>
      </c>
      <c r="E100" s="64" t="s">
        <v>210</v>
      </c>
      <c r="F100" s="54" t="s">
        <v>73</v>
      </c>
      <c r="G100" s="57" t="str">
        <f t="shared" si="1"/>
        <v>Aumenta a força dos feiticeiros do grupo em 10%</v>
      </c>
      <c r="H100" s="58" t="b">
        <v>1</v>
      </c>
      <c r="I100" s="59" t="s">
        <v>87</v>
      </c>
    </row>
    <row r="101">
      <c r="A101" s="61"/>
      <c r="B101" s="53" t="s">
        <v>268</v>
      </c>
      <c r="C101" s="54" t="s">
        <v>49</v>
      </c>
      <c r="D101" s="55">
        <v>36.0</v>
      </c>
      <c r="E101" s="64" t="s">
        <v>269</v>
      </c>
      <c r="F101" s="54" t="s">
        <v>97</v>
      </c>
      <c r="G101" s="57" t="str">
        <f t="shared" si="1"/>
        <v>Aumenta a força em 50%</v>
      </c>
      <c r="H101" s="58" t="b">
        <v>1</v>
      </c>
      <c r="I101" s="59" t="s">
        <v>100</v>
      </c>
    </row>
    <row r="102">
      <c r="A102" s="61"/>
      <c r="B102" s="53" t="s">
        <v>270</v>
      </c>
      <c r="C102" s="54" t="s">
        <v>49</v>
      </c>
      <c r="D102" s="55">
        <v>37.0</v>
      </c>
      <c r="E102" s="64" t="s">
        <v>244</v>
      </c>
      <c r="F102" s="54" t="s">
        <v>73</v>
      </c>
      <c r="G102" s="57" t="str">
        <f t="shared" si="1"/>
        <v>Diminui a chance de quebra de equipamento em 30% das vezes</v>
      </c>
      <c r="H102" s="58" t="b">
        <v>1</v>
      </c>
      <c r="I102" s="59" t="s">
        <v>271</v>
      </c>
    </row>
    <row r="103">
      <c r="A103" s="61"/>
      <c r="B103" s="53" t="s">
        <v>272</v>
      </c>
      <c r="C103" s="54" t="s">
        <v>49</v>
      </c>
      <c r="D103" s="55">
        <v>38.0</v>
      </c>
      <c r="E103" s="64" t="s">
        <v>115</v>
      </c>
      <c r="F103" s="54" t="s">
        <v>97</v>
      </c>
      <c r="G103" s="57" t="str">
        <f t="shared" si="1"/>
        <v>Aumenta a taxa de sobrevivência do grupo em 5%</v>
      </c>
      <c r="H103" s="60" t="b">
        <v>0</v>
      </c>
      <c r="I103" s="59" t="s">
        <v>273</v>
      </c>
    </row>
    <row r="104">
      <c r="A104" s="61"/>
      <c r="B104" s="53" t="s">
        <v>274</v>
      </c>
      <c r="C104" s="54" t="s">
        <v>49</v>
      </c>
      <c r="D104" s="55">
        <v>39.0</v>
      </c>
      <c r="E104" s="64" t="s">
        <v>208</v>
      </c>
      <c r="F104" s="54" t="s">
        <v>97</v>
      </c>
      <c r="G104" s="57" t="str">
        <f t="shared" si="1"/>
        <v>Aumenta a força em 25%</v>
      </c>
      <c r="H104" s="58" t="b">
        <v>1</v>
      </c>
      <c r="I104" s="59" t="s">
        <v>100</v>
      </c>
    </row>
    <row r="105">
      <c r="A105" s="61"/>
      <c r="B105" s="53" t="s">
        <v>275</v>
      </c>
      <c r="C105" s="54" t="s">
        <v>49</v>
      </c>
      <c r="D105" s="54">
        <v>43.0</v>
      </c>
      <c r="E105" s="64" t="s">
        <v>276</v>
      </c>
      <c r="F105" s="54" t="s">
        <v>73</v>
      </c>
      <c r="G105" s="57" t="str">
        <f t="shared" si="1"/>
        <v>50% de bônus de experiência</v>
      </c>
      <c r="H105" s="58" t="b">
        <v>1</v>
      </c>
      <c r="I105" s="59" t="s">
        <v>277</v>
      </c>
    </row>
    <row r="106">
      <c r="A106" s="61"/>
      <c r="B106" s="53" t="s">
        <v>278</v>
      </c>
      <c r="C106" s="54" t="s">
        <v>49</v>
      </c>
      <c r="D106" s="55">
        <v>44.0</v>
      </c>
      <c r="E106" s="64" t="s">
        <v>279</v>
      </c>
      <c r="F106" s="54" t="s">
        <v>118</v>
      </c>
      <c r="G106" s="57" t="str">
        <f t="shared" si="1"/>
        <v>Aumenta a taxa de sobrevivência do grupo em 8%</v>
      </c>
      <c r="H106" s="60" t="b">
        <v>0</v>
      </c>
      <c r="I106" s="59" t="s">
        <v>280</v>
      </c>
    </row>
    <row r="107">
      <c r="A107" s="61"/>
      <c r="B107" s="53" t="s">
        <v>281</v>
      </c>
      <c r="C107" s="54" t="s">
        <v>49</v>
      </c>
      <c r="D107" s="54">
        <v>45.0</v>
      </c>
      <c r="E107" s="64" t="s">
        <v>160</v>
      </c>
      <c r="F107" s="54" t="s">
        <v>77</v>
      </c>
      <c r="G107" s="57" t="str">
        <f t="shared" si="1"/>
        <v>Aumenta a força do equipamento em 25%</v>
      </c>
      <c r="H107" s="58" t="b">
        <v>1</v>
      </c>
      <c r="I107" s="59" t="s">
        <v>172</v>
      </c>
    </row>
    <row r="108">
      <c r="A108" s="61"/>
      <c r="B108" s="53" t="s">
        <v>282</v>
      </c>
      <c r="C108" s="54" t="s">
        <v>49</v>
      </c>
      <c r="D108" s="55">
        <v>46.0</v>
      </c>
      <c r="E108" s="64" t="s">
        <v>106</v>
      </c>
      <c r="F108" s="54" t="s">
        <v>118</v>
      </c>
      <c r="G108" s="57" t="str">
        <f t="shared" si="1"/>
        <v>Revive um companheiro derrotado 10% das vezes</v>
      </c>
      <c r="H108" s="60" t="b">
        <v>0</v>
      </c>
      <c r="I108" s="59" t="s">
        <v>283</v>
      </c>
    </row>
    <row r="109">
      <c r="A109" s="61"/>
      <c r="B109" s="53" t="s">
        <v>284</v>
      </c>
      <c r="C109" s="54" t="s">
        <v>49</v>
      </c>
      <c r="D109" s="55">
        <v>47.0</v>
      </c>
      <c r="E109" s="64" t="s">
        <v>285</v>
      </c>
      <c r="F109" s="54" t="s">
        <v>118</v>
      </c>
      <c r="G109" s="57" t="str">
        <f t="shared" si="1"/>
        <v>Evita ferimentos 15% das vezes</v>
      </c>
      <c r="H109" s="58" t="b">
        <v>1</v>
      </c>
      <c r="I109" s="59" t="s">
        <v>113</v>
      </c>
    </row>
    <row r="110">
      <c r="A110" s="61"/>
      <c r="B110" s="53" t="s">
        <v>286</v>
      </c>
      <c r="C110" s="54" t="s">
        <v>49</v>
      </c>
      <c r="D110" s="55">
        <v>48.0</v>
      </c>
      <c r="E110" s="64" t="s">
        <v>126</v>
      </c>
      <c r="F110" s="54" t="s">
        <v>97</v>
      </c>
      <c r="G110" s="57" t="str">
        <f t="shared" si="1"/>
        <v>Aumenta o número máximo de artefatos e itens de raid encontrados em +6</v>
      </c>
      <c r="H110" s="60" t="b">
        <v>0</v>
      </c>
      <c r="I110" s="59" t="s">
        <v>144</v>
      </c>
    </row>
    <row r="111">
      <c r="A111" s="61"/>
      <c r="B111" s="53" t="s">
        <v>287</v>
      </c>
      <c r="C111" s="54" t="s">
        <v>49</v>
      </c>
      <c r="D111" s="54">
        <v>49.0</v>
      </c>
      <c r="E111" s="64" t="s">
        <v>197</v>
      </c>
      <c r="F111" s="54" t="s">
        <v>97</v>
      </c>
      <c r="G111" s="57" t="str">
        <f t="shared" si="1"/>
        <v>Revive um companheiro derrotado 15% das vezes</v>
      </c>
      <c r="H111" s="58" t="b">
        <v>1</v>
      </c>
      <c r="I111" s="59" t="s">
        <v>288</v>
      </c>
    </row>
    <row r="112">
      <c r="A112" s="61"/>
      <c r="B112" s="53" t="s">
        <v>289</v>
      </c>
      <c r="C112" s="54" t="s">
        <v>49</v>
      </c>
      <c r="D112" s="55">
        <v>50.0</v>
      </c>
      <c r="E112" s="64" t="s">
        <v>124</v>
      </c>
      <c r="F112" s="54" t="s">
        <v>97</v>
      </c>
      <c r="G112" s="57" t="str">
        <f t="shared" si="1"/>
        <v>Encontra mais 200% de ouro durante as missões</v>
      </c>
      <c r="H112" s="58" t="b">
        <v>1</v>
      </c>
      <c r="I112" s="59" t="s">
        <v>122</v>
      </c>
    </row>
    <row r="113">
      <c r="A113" s="61"/>
      <c r="B113" s="53" t="s">
        <v>290</v>
      </c>
      <c r="C113" s="54" t="s">
        <v>49</v>
      </c>
      <c r="D113" s="55">
        <v>53.0</v>
      </c>
      <c r="E113" s="64" t="s">
        <v>291</v>
      </c>
      <c r="F113" s="54" t="s">
        <v>118</v>
      </c>
      <c r="G113" s="57" t="str">
        <f t="shared" si="1"/>
        <v>Evita ferimentos 30% das vezes</v>
      </c>
      <c r="H113" s="58" t="b">
        <v>1</v>
      </c>
      <c r="I113" s="59" t="s">
        <v>122</v>
      </c>
    </row>
    <row r="114">
      <c r="A114" s="61"/>
      <c r="B114" s="53" t="s">
        <v>292</v>
      </c>
      <c r="C114" s="54" t="s">
        <v>49</v>
      </c>
      <c r="D114" s="55">
        <v>55.0</v>
      </c>
      <c r="E114" s="64" t="s">
        <v>129</v>
      </c>
      <c r="F114" s="54" t="s">
        <v>118</v>
      </c>
      <c r="G114" s="57" t="str">
        <f t="shared" si="1"/>
        <v>Aumenta o número máximo de artefatos e itens de raid encontrados por cada membro do grupo em +2</v>
      </c>
      <c r="H114" s="58" t="b">
        <v>1</v>
      </c>
      <c r="I114" s="59" t="s">
        <v>293</v>
      </c>
    </row>
    <row r="115">
      <c r="A115" s="61"/>
      <c r="B115" s="53" t="s">
        <v>294</v>
      </c>
      <c r="C115" s="54" t="s">
        <v>49</v>
      </c>
      <c r="D115" s="54">
        <v>56.0</v>
      </c>
      <c r="E115" s="64" t="s">
        <v>199</v>
      </c>
      <c r="F115" s="54" t="s">
        <v>97</v>
      </c>
      <c r="G115" s="57" t="str">
        <f t="shared" si="1"/>
        <v>Impede que o equipamento de um companheiro se quebre 3 vezes</v>
      </c>
      <c r="H115" s="58" t="b">
        <v>1</v>
      </c>
      <c r="I115" s="59" t="s">
        <v>295</v>
      </c>
    </row>
    <row r="116">
      <c r="A116" s="61"/>
      <c r="B116" s="53" t="s">
        <v>296</v>
      </c>
      <c r="C116" s="54" t="s">
        <v>50</v>
      </c>
      <c r="D116" s="54">
        <v>10.0</v>
      </c>
      <c r="E116" s="64" t="s">
        <v>138</v>
      </c>
      <c r="F116" s="54" t="s">
        <v>77</v>
      </c>
      <c r="G116" s="57" t="str">
        <f t="shared" si="1"/>
        <v>Evita ferimentos 10% das vezes</v>
      </c>
      <c r="H116" s="58" t="b">
        <v>1</v>
      </c>
      <c r="I116" s="59" t="s">
        <v>78</v>
      </c>
    </row>
    <row r="117">
      <c r="A117" s="61"/>
      <c r="B117" s="53" t="s">
        <v>297</v>
      </c>
      <c r="C117" s="54" t="s">
        <v>50</v>
      </c>
      <c r="D117" s="54">
        <v>19.0</v>
      </c>
      <c r="E117" s="64" t="s">
        <v>187</v>
      </c>
      <c r="F117" s="54" t="s">
        <v>77</v>
      </c>
      <c r="G117" s="57" t="str">
        <f t="shared" si="1"/>
        <v>Aumenta a taxa de sobrevivência do grupo em 2%</v>
      </c>
      <c r="H117" s="58" t="b">
        <v>1</v>
      </c>
      <c r="I117" s="59" t="s">
        <v>139</v>
      </c>
    </row>
    <row r="118">
      <c r="A118" s="61"/>
      <c r="B118" s="53" t="s">
        <v>298</v>
      </c>
      <c r="C118" s="54" t="s">
        <v>50</v>
      </c>
      <c r="D118" s="54">
        <v>23.0</v>
      </c>
      <c r="E118" s="64" t="s">
        <v>187</v>
      </c>
      <c r="F118" s="54" t="s">
        <v>73</v>
      </c>
      <c r="G118" s="57" t="str">
        <f t="shared" si="1"/>
        <v>Aumenta a taxa de sobrevivência do grupo em 2%</v>
      </c>
      <c r="H118" s="58" t="b">
        <v>1</v>
      </c>
      <c r="I118" s="59" t="s">
        <v>139</v>
      </c>
    </row>
    <row r="119">
      <c r="A119" s="61"/>
      <c r="B119" s="53" t="s">
        <v>299</v>
      </c>
      <c r="C119" s="54" t="s">
        <v>50</v>
      </c>
      <c r="D119" s="55">
        <v>24.0</v>
      </c>
      <c r="E119" s="64" t="s">
        <v>124</v>
      </c>
      <c r="F119" s="54" t="s">
        <v>77</v>
      </c>
      <c r="G119" s="57" t="str">
        <f t="shared" si="1"/>
        <v>Encontra mais 200% de ouro durante as missões</v>
      </c>
      <c r="H119" s="60" t="b">
        <v>0</v>
      </c>
      <c r="I119" s="59" t="s">
        <v>259</v>
      </c>
    </row>
    <row r="120">
      <c r="A120" s="61"/>
      <c r="B120" s="53" t="s">
        <v>300</v>
      </c>
      <c r="C120" s="54" t="s">
        <v>50</v>
      </c>
      <c r="D120" s="55">
        <v>27.0</v>
      </c>
      <c r="E120" s="64" t="s">
        <v>152</v>
      </c>
      <c r="F120" s="54" t="s">
        <v>118</v>
      </c>
      <c r="G120" s="57" t="str">
        <f t="shared" si="1"/>
        <v>Impede que o equipamento de um companheiro se quebre 1 vez</v>
      </c>
      <c r="H120" s="60" t="b">
        <v>0</v>
      </c>
      <c r="I120" s="59" t="s">
        <v>301</v>
      </c>
    </row>
    <row r="121">
      <c r="A121" s="61"/>
      <c r="B121" s="53" t="s">
        <v>302</v>
      </c>
      <c r="C121" s="54" t="s">
        <v>50</v>
      </c>
      <c r="D121" s="54">
        <v>32.0</v>
      </c>
      <c r="E121" s="64" t="s">
        <v>106</v>
      </c>
      <c r="F121" s="54" t="s">
        <v>97</v>
      </c>
      <c r="G121" s="57" t="str">
        <f t="shared" si="1"/>
        <v>Revive um companheiro derrotado 10% das vezes</v>
      </c>
      <c r="H121" s="58" t="b">
        <v>1</v>
      </c>
      <c r="I121" s="59" t="s">
        <v>203</v>
      </c>
    </row>
    <row r="122">
      <c r="A122" s="61"/>
      <c r="B122" s="53" t="s">
        <v>303</v>
      </c>
      <c r="C122" s="54" t="s">
        <v>50</v>
      </c>
      <c r="D122" s="54">
        <v>34.0</v>
      </c>
      <c r="E122" s="64" t="s">
        <v>132</v>
      </c>
      <c r="F122" s="54" t="s">
        <v>97</v>
      </c>
      <c r="G122" s="57" t="str">
        <f t="shared" si="1"/>
        <v>Reduz a duração da missão em 10%</v>
      </c>
      <c r="H122" s="58" t="b">
        <v>1</v>
      </c>
      <c r="I122" s="59" t="s">
        <v>87</v>
      </c>
    </row>
    <row r="123">
      <c r="A123" s="61"/>
      <c r="B123" s="53" t="s">
        <v>304</v>
      </c>
      <c r="C123" s="54" t="s">
        <v>50</v>
      </c>
      <c r="D123" s="54">
        <v>36.0</v>
      </c>
      <c r="E123" s="64" t="s">
        <v>217</v>
      </c>
      <c r="F123" s="54" t="s">
        <v>118</v>
      </c>
      <c r="G123" s="57" t="str">
        <f t="shared" si="1"/>
        <v>Aumenta a força dos guerreiros do grupo em 25%</v>
      </c>
      <c r="H123" s="58" t="b">
        <v>1</v>
      </c>
      <c r="I123" s="59" t="s">
        <v>305</v>
      </c>
    </row>
    <row r="124">
      <c r="A124" s="61"/>
      <c r="B124" s="53" t="s">
        <v>306</v>
      </c>
      <c r="C124" s="54" t="s">
        <v>50</v>
      </c>
      <c r="D124" s="54">
        <v>38.0</v>
      </c>
      <c r="E124" s="64" t="s">
        <v>86</v>
      </c>
      <c r="F124" s="54" t="s">
        <v>97</v>
      </c>
      <c r="G124" s="57" t="str">
        <f t="shared" si="1"/>
        <v>Aumenta a taxa de sobrevivência de membros masculinos do grupo em 5%</v>
      </c>
      <c r="H124" s="58" t="b">
        <v>1</v>
      </c>
      <c r="I124" s="59" t="s">
        <v>100</v>
      </c>
    </row>
    <row r="125">
      <c r="A125" s="61"/>
      <c r="B125" s="53" t="s">
        <v>307</v>
      </c>
      <c r="C125" s="54" t="s">
        <v>50</v>
      </c>
      <c r="D125" s="54">
        <v>38.0</v>
      </c>
      <c r="E125" s="64" t="s">
        <v>308</v>
      </c>
      <c r="F125" s="54" t="s">
        <v>73</v>
      </c>
      <c r="G125" s="57" t="str">
        <f t="shared" si="1"/>
        <v>Impede que o equipamento de um companheiro se quebre 2 vezes</v>
      </c>
      <c r="H125" s="58" t="b">
        <v>1</v>
      </c>
      <c r="I125" s="59" t="s">
        <v>256</v>
      </c>
    </row>
    <row r="126">
      <c r="A126" s="61"/>
      <c r="B126" s="53" t="s">
        <v>309</v>
      </c>
      <c r="C126" s="54" t="s">
        <v>50</v>
      </c>
      <c r="D126" s="55">
        <v>40.0</v>
      </c>
      <c r="E126" s="64" t="s">
        <v>135</v>
      </c>
      <c r="F126" s="54" t="s">
        <v>97</v>
      </c>
      <c r="G126" s="57" t="str">
        <f t="shared" si="1"/>
        <v>Reduz o tempo de espera depois da missão em 50%</v>
      </c>
      <c r="H126" s="58" t="b">
        <v>1</v>
      </c>
      <c r="I126" s="59" t="s">
        <v>100</v>
      </c>
    </row>
    <row r="127">
      <c r="A127" s="61"/>
      <c r="B127" s="53" t="s">
        <v>310</v>
      </c>
      <c r="C127" s="54" t="s">
        <v>50</v>
      </c>
      <c r="D127" s="55">
        <v>41.0</v>
      </c>
      <c r="E127" s="64" t="s">
        <v>205</v>
      </c>
      <c r="F127" s="54" t="s">
        <v>118</v>
      </c>
      <c r="G127" s="57" t="str">
        <f t="shared" si="1"/>
        <v>Obtém pelo menos 100% de experiência quando ferido e a missão é bem sucedida</v>
      </c>
      <c r="H127" s="60" t="b">
        <v>0</v>
      </c>
      <c r="I127" s="59" t="s">
        <v>311</v>
      </c>
    </row>
    <row r="128">
      <c r="A128" s="61"/>
      <c r="B128" s="53" t="s">
        <v>312</v>
      </c>
      <c r="C128" s="54" t="s">
        <v>50</v>
      </c>
      <c r="D128" s="54">
        <v>45.0</v>
      </c>
      <c r="E128" s="64" t="s">
        <v>72</v>
      </c>
      <c r="F128" s="54" t="s">
        <v>97</v>
      </c>
      <c r="G128" s="57" t="str">
        <f t="shared" si="1"/>
        <v>Aumenta a força em 40%</v>
      </c>
      <c r="H128" s="58" t="b">
        <v>1</v>
      </c>
      <c r="I128" s="59" t="s">
        <v>113</v>
      </c>
    </row>
    <row r="129">
      <c r="A129" s="61"/>
      <c r="B129" s="53" t="s">
        <v>313</v>
      </c>
      <c r="C129" s="54" t="s">
        <v>50</v>
      </c>
      <c r="D129" s="55">
        <v>47.0</v>
      </c>
      <c r="E129" s="64" t="s">
        <v>106</v>
      </c>
      <c r="F129" s="54" t="s">
        <v>118</v>
      </c>
      <c r="G129" s="57" t="str">
        <f t="shared" si="1"/>
        <v>Revive um companheiro derrotado 10% das vezes</v>
      </c>
      <c r="H129" s="60" t="b">
        <v>0</v>
      </c>
      <c r="I129" s="59" t="s">
        <v>314</v>
      </c>
    </row>
    <row r="130">
      <c r="A130" s="61"/>
      <c r="B130" s="53" t="s">
        <v>315</v>
      </c>
      <c r="C130" s="54" t="s">
        <v>50</v>
      </c>
      <c r="D130" s="55">
        <v>47.0</v>
      </c>
      <c r="E130" s="64" t="s">
        <v>316</v>
      </c>
      <c r="F130" s="54" t="s">
        <v>97</v>
      </c>
      <c r="G130" s="57" t="str">
        <f t="shared" si="1"/>
        <v>Aumenta o número de companheiros em +3</v>
      </c>
      <c r="H130" s="58" t="b">
        <v>1</v>
      </c>
      <c r="I130" s="59" t="s">
        <v>169</v>
      </c>
    </row>
    <row r="131">
      <c r="A131" s="61"/>
      <c r="B131" s="53" t="s">
        <v>317</v>
      </c>
      <c r="C131" s="54" t="s">
        <v>50</v>
      </c>
      <c r="D131" s="55">
        <v>50.0</v>
      </c>
      <c r="E131" s="64" t="s">
        <v>189</v>
      </c>
      <c r="F131" s="54" t="s">
        <v>118</v>
      </c>
      <c r="G131" s="57" t="str">
        <f t="shared" si="1"/>
        <v>Aumenta a força em 30%</v>
      </c>
      <c r="H131" s="58" t="b">
        <v>1</v>
      </c>
      <c r="I131" s="59" t="s">
        <v>122</v>
      </c>
    </row>
    <row r="132">
      <c r="A132" s="61"/>
      <c r="B132" s="63" t="s">
        <v>318</v>
      </c>
      <c r="C132" s="54" t="s">
        <v>50</v>
      </c>
      <c r="D132" s="55">
        <v>54.0</v>
      </c>
      <c r="E132" s="64" t="s">
        <v>199</v>
      </c>
      <c r="F132" s="54" t="s">
        <v>118</v>
      </c>
      <c r="G132" s="57" t="str">
        <f t="shared" si="1"/>
        <v>Impede que o equipamento de um companheiro se quebre 3 vezes</v>
      </c>
      <c r="H132" s="58" t="b">
        <v>1</v>
      </c>
      <c r="I132" s="59" t="s">
        <v>229</v>
      </c>
    </row>
    <row r="133">
      <c r="A133" s="61"/>
      <c r="B133" s="53" t="s">
        <v>319</v>
      </c>
      <c r="C133" s="54" t="s">
        <v>50</v>
      </c>
      <c r="D133" s="54">
        <v>55.0</v>
      </c>
      <c r="E133" s="64" t="s">
        <v>249</v>
      </c>
      <c r="F133" s="54" t="s">
        <v>118</v>
      </c>
      <c r="G133" s="57" t="str">
        <f t="shared" si="1"/>
        <v>Reduz o tempo de espera depois da missão em 75%</v>
      </c>
      <c r="H133" s="58" t="b">
        <v>1</v>
      </c>
      <c r="I133" s="59" t="s">
        <v>122</v>
      </c>
    </row>
    <row r="134">
      <c r="A134" s="61"/>
      <c r="B134" s="63" t="s">
        <v>320</v>
      </c>
      <c r="C134" s="54" t="s">
        <v>50</v>
      </c>
      <c r="D134" s="55">
        <v>59.0</v>
      </c>
      <c r="E134" s="64" t="s">
        <v>224</v>
      </c>
      <c r="F134" s="54" t="s">
        <v>118</v>
      </c>
      <c r="G134" s="57" t="str">
        <f t="shared" si="1"/>
        <v>Reduz o tempo de cura de companheiros em 50%</v>
      </c>
      <c r="H134" s="60" t="b">
        <v>0</v>
      </c>
      <c r="I134" s="59" t="s">
        <v>321</v>
      </c>
    </row>
    <row r="135">
      <c r="A135" s="61"/>
      <c r="B135" s="53" t="s">
        <v>322</v>
      </c>
      <c r="C135" s="54" t="s">
        <v>64</v>
      </c>
      <c r="D135" s="54">
        <v>8.0</v>
      </c>
      <c r="E135" s="64" t="s">
        <v>135</v>
      </c>
      <c r="F135" s="54" t="s">
        <v>77</v>
      </c>
      <c r="G135" s="57" t="str">
        <f t="shared" si="1"/>
        <v>Reduz o tempo de espera depois da missão em 50%</v>
      </c>
      <c r="H135" s="58" t="b">
        <v>1</v>
      </c>
      <c r="I135" s="59" t="s">
        <v>136</v>
      </c>
    </row>
    <row r="136">
      <c r="A136" s="61"/>
      <c r="B136" s="63" t="s">
        <v>323</v>
      </c>
      <c r="C136" s="54" t="s">
        <v>64</v>
      </c>
      <c r="D136" s="55">
        <v>16.0</v>
      </c>
      <c r="E136" s="64" t="s">
        <v>135</v>
      </c>
      <c r="F136" s="54" t="s">
        <v>77</v>
      </c>
      <c r="G136" s="57" t="str">
        <f t="shared" si="1"/>
        <v>Reduz o tempo de espera depois da missão em 50%</v>
      </c>
      <c r="H136" s="60" t="b">
        <v>0</v>
      </c>
      <c r="I136" s="59" t="s">
        <v>179</v>
      </c>
    </row>
    <row r="137">
      <c r="A137" s="61"/>
      <c r="B137" s="63" t="s">
        <v>324</v>
      </c>
      <c r="C137" s="54" t="s">
        <v>64</v>
      </c>
      <c r="D137" s="55">
        <v>17.0</v>
      </c>
      <c r="E137" s="64" t="s">
        <v>325</v>
      </c>
      <c r="F137" s="54" t="s">
        <v>77</v>
      </c>
      <c r="G137" s="57" t="str">
        <f t="shared" si="1"/>
        <v>100% de bônus de experiência</v>
      </c>
      <c r="H137" s="60" t="b">
        <v>0</v>
      </c>
      <c r="I137" s="59" t="s">
        <v>326</v>
      </c>
    </row>
    <row r="138">
      <c r="A138" s="61"/>
      <c r="B138" s="53" t="s">
        <v>327</v>
      </c>
      <c r="C138" s="54" t="s">
        <v>64</v>
      </c>
      <c r="D138" s="54">
        <v>23.0</v>
      </c>
      <c r="E138" s="64" t="s">
        <v>328</v>
      </c>
      <c r="F138" s="54" t="s">
        <v>77</v>
      </c>
      <c r="G138" s="57" t="str">
        <f t="shared" si="1"/>
        <v>Aumenta a força do equipamento em 10%</v>
      </c>
      <c r="H138" s="58" t="b">
        <v>1</v>
      </c>
      <c r="I138" s="59" t="s">
        <v>139</v>
      </c>
    </row>
    <row r="139">
      <c r="A139" s="61"/>
      <c r="B139" s="53" t="s">
        <v>329</v>
      </c>
      <c r="C139" s="54" t="s">
        <v>64</v>
      </c>
      <c r="D139" s="54">
        <v>26.0</v>
      </c>
      <c r="E139" s="64" t="s">
        <v>231</v>
      </c>
      <c r="F139" s="54" t="s">
        <v>73</v>
      </c>
      <c r="G139" s="57" t="str">
        <f t="shared" si="1"/>
        <v>Reduz o tempo de cura de companheiros em 10%</v>
      </c>
      <c r="H139" s="58" t="b">
        <v>1</v>
      </c>
      <c r="I139" s="59" t="s">
        <v>87</v>
      </c>
    </row>
    <row r="140">
      <c r="A140" s="61"/>
      <c r="B140" s="63" t="s">
        <v>330</v>
      </c>
      <c r="C140" s="54" t="s">
        <v>64</v>
      </c>
      <c r="D140" s="55">
        <v>33.0</v>
      </c>
      <c r="E140" s="64" t="s">
        <v>249</v>
      </c>
      <c r="F140" s="54" t="s">
        <v>97</v>
      </c>
      <c r="G140" s="57" t="str">
        <f t="shared" si="1"/>
        <v>Reduz o tempo de espera depois da missão em 75%</v>
      </c>
      <c r="H140" s="60" t="b">
        <v>0</v>
      </c>
      <c r="I140" s="59" t="s">
        <v>331</v>
      </c>
    </row>
    <row r="141">
      <c r="A141" s="61"/>
      <c r="B141" s="53" t="s">
        <v>332</v>
      </c>
      <c r="C141" s="54" t="s">
        <v>64</v>
      </c>
      <c r="D141" s="55">
        <v>34.0</v>
      </c>
      <c r="E141" s="64" t="s">
        <v>185</v>
      </c>
      <c r="F141" s="54" t="s">
        <v>73</v>
      </c>
      <c r="G141" s="57" t="str">
        <f t="shared" si="1"/>
        <v>Aumenta a força dos guerreiros do grupo em 15%</v>
      </c>
      <c r="H141" s="58" t="b">
        <v>1</v>
      </c>
      <c r="I141" s="59" t="s">
        <v>87</v>
      </c>
    </row>
    <row r="142">
      <c r="A142" s="61"/>
      <c r="B142" s="63" t="s">
        <v>333</v>
      </c>
      <c r="C142" s="54" t="s">
        <v>64</v>
      </c>
      <c r="D142" s="55">
        <v>34.0</v>
      </c>
      <c r="E142" s="64" t="s">
        <v>189</v>
      </c>
      <c r="F142" s="54" t="s">
        <v>97</v>
      </c>
      <c r="G142" s="57" t="str">
        <f t="shared" si="1"/>
        <v>Aumenta a força em 30%</v>
      </c>
      <c r="H142" s="60" t="b">
        <v>0</v>
      </c>
      <c r="I142" s="59" t="s">
        <v>226</v>
      </c>
    </row>
    <row r="143">
      <c r="A143" s="61"/>
      <c r="B143" s="63" t="s">
        <v>334</v>
      </c>
      <c r="C143" s="54" t="s">
        <v>64</v>
      </c>
      <c r="D143" s="55">
        <v>36.0</v>
      </c>
      <c r="E143" s="64" t="s">
        <v>132</v>
      </c>
      <c r="F143" s="54" t="s">
        <v>118</v>
      </c>
      <c r="G143" s="57" t="str">
        <f t="shared" si="1"/>
        <v>Reduz a duração da missão em 10%</v>
      </c>
      <c r="H143" s="60" t="b">
        <v>0</v>
      </c>
      <c r="I143" s="59" t="s">
        <v>335</v>
      </c>
    </row>
    <row r="144">
      <c r="A144" s="61"/>
      <c r="B144" s="53" t="s">
        <v>336</v>
      </c>
      <c r="C144" s="54" t="s">
        <v>64</v>
      </c>
      <c r="D144" s="55">
        <v>37.0</v>
      </c>
      <c r="E144" s="64" t="s">
        <v>231</v>
      </c>
      <c r="F144" s="54" t="s">
        <v>97</v>
      </c>
      <c r="G144" s="57" t="str">
        <f t="shared" si="1"/>
        <v>Reduz o tempo de cura de companheiros em 10%</v>
      </c>
      <c r="H144" s="58" t="b">
        <v>1</v>
      </c>
      <c r="I144" s="59" t="s">
        <v>100</v>
      </c>
    </row>
    <row r="145">
      <c r="A145" s="61"/>
      <c r="B145" s="63" t="s">
        <v>337</v>
      </c>
      <c r="C145" s="54" t="s">
        <v>64</v>
      </c>
      <c r="D145" s="55">
        <v>38.0</v>
      </c>
      <c r="E145" s="64" t="s">
        <v>291</v>
      </c>
      <c r="F145" s="54" t="s">
        <v>97</v>
      </c>
      <c r="G145" s="57" t="str">
        <f t="shared" si="1"/>
        <v>Evita ferimentos 30% das vezes</v>
      </c>
      <c r="H145" s="58" t="b">
        <v>1</v>
      </c>
      <c r="I145" s="59" t="s">
        <v>81</v>
      </c>
    </row>
    <row r="146">
      <c r="A146" s="61"/>
      <c r="B146" s="53" t="s">
        <v>338</v>
      </c>
      <c r="C146" s="54" t="s">
        <v>64</v>
      </c>
      <c r="D146" s="55">
        <v>40.0</v>
      </c>
      <c r="E146" s="64" t="s">
        <v>210</v>
      </c>
      <c r="F146" s="54" t="s">
        <v>97</v>
      </c>
      <c r="G146" s="57" t="str">
        <f t="shared" si="1"/>
        <v>Aumenta a força dos feiticeiros do grupo em 10%</v>
      </c>
      <c r="H146" s="58" t="b">
        <v>1</v>
      </c>
      <c r="I146" s="59" t="s">
        <v>100</v>
      </c>
    </row>
    <row r="147">
      <c r="A147" s="61"/>
      <c r="B147" s="63" t="s">
        <v>339</v>
      </c>
      <c r="C147" s="54" t="s">
        <v>64</v>
      </c>
      <c r="D147" s="55">
        <v>44.0</v>
      </c>
      <c r="E147" s="64" t="s">
        <v>222</v>
      </c>
      <c r="F147" s="54" t="s">
        <v>97</v>
      </c>
      <c r="G147" s="57" t="str">
        <f t="shared" si="1"/>
        <v>Reduz a duração da missão em 50%</v>
      </c>
      <c r="H147" s="60" t="b">
        <v>0</v>
      </c>
      <c r="I147" s="59" t="s">
        <v>127</v>
      </c>
    </row>
    <row r="148">
      <c r="A148" s="61"/>
      <c r="B148" s="53" t="s">
        <v>340</v>
      </c>
      <c r="C148" s="54" t="s">
        <v>64</v>
      </c>
      <c r="D148" s="54">
        <v>46.0</v>
      </c>
      <c r="E148" s="64" t="s">
        <v>341</v>
      </c>
      <c r="F148" s="54" t="s">
        <v>118</v>
      </c>
      <c r="G148" s="57" t="str">
        <f t="shared" si="1"/>
        <v>Aumenta a taxa de sobrevivência de membros masculinos do grupo em 10%</v>
      </c>
      <c r="H148" s="58" t="b">
        <v>1</v>
      </c>
      <c r="I148" s="59" t="s">
        <v>203</v>
      </c>
    </row>
    <row r="149">
      <c r="A149" s="61"/>
      <c r="B149" s="53" t="s">
        <v>342</v>
      </c>
      <c r="C149" s="54" t="s">
        <v>64</v>
      </c>
      <c r="D149" s="55">
        <v>47.0</v>
      </c>
      <c r="E149" s="64" t="s">
        <v>208</v>
      </c>
      <c r="F149" s="54" t="s">
        <v>97</v>
      </c>
      <c r="G149" s="57" t="str">
        <f t="shared" si="1"/>
        <v>Aumenta a força em 25%</v>
      </c>
      <c r="H149" s="58" t="b">
        <v>1</v>
      </c>
      <c r="I149" s="59" t="s">
        <v>113</v>
      </c>
    </row>
    <row r="150">
      <c r="A150" s="61"/>
      <c r="B150" s="63" t="s">
        <v>343</v>
      </c>
      <c r="C150" s="54" t="s">
        <v>64</v>
      </c>
      <c r="D150" s="55">
        <v>48.0</v>
      </c>
      <c r="E150" s="53" t="s">
        <v>129</v>
      </c>
      <c r="F150" s="54" t="s">
        <v>118</v>
      </c>
      <c r="G150" s="57" t="str">
        <f t="shared" si="1"/>
        <v>Aumenta o número máximo de artefatos e itens de raid encontrados por cada membro do grupo em +2</v>
      </c>
      <c r="H150" s="60" t="b">
        <v>0</v>
      </c>
      <c r="I150" s="59" t="s">
        <v>344</v>
      </c>
    </row>
    <row r="151">
      <c r="A151" s="61"/>
      <c r="B151" s="53" t="s">
        <v>345</v>
      </c>
      <c r="C151" s="54" t="s">
        <v>64</v>
      </c>
      <c r="D151" s="55">
        <v>50.0</v>
      </c>
      <c r="E151" s="53" t="s">
        <v>103</v>
      </c>
      <c r="F151" s="54" t="s">
        <v>118</v>
      </c>
      <c r="G151" s="57" t="str">
        <f t="shared" si="1"/>
        <v>Reduz o tempo de cura de companheiros em 25%</v>
      </c>
      <c r="H151" s="58" t="b">
        <v>1</v>
      </c>
      <c r="I151" s="59" t="s">
        <v>122</v>
      </c>
    </row>
    <row r="152">
      <c r="A152" s="61"/>
      <c r="B152" s="63" t="s">
        <v>346</v>
      </c>
      <c r="C152" s="54" t="s">
        <v>64</v>
      </c>
      <c r="D152" s="55">
        <v>54.0</v>
      </c>
      <c r="E152" s="53" t="s">
        <v>347</v>
      </c>
      <c r="F152" s="54" t="s">
        <v>118</v>
      </c>
      <c r="G152" s="57" t="str">
        <f t="shared" si="1"/>
        <v>Aumenta a força dos guerreiros do grupo em 50%</v>
      </c>
      <c r="H152" s="58" t="b">
        <v>1</v>
      </c>
      <c r="I152" s="59" t="s">
        <v>122</v>
      </c>
    </row>
    <row r="153">
      <c r="A153" s="61"/>
      <c r="B153" s="63" t="s">
        <v>348</v>
      </c>
      <c r="C153" s="54" t="s">
        <v>64</v>
      </c>
      <c r="D153" s="55">
        <v>60.0</v>
      </c>
      <c r="E153" s="53" t="s">
        <v>129</v>
      </c>
      <c r="F153" s="54" t="s">
        <v>97</v>
      </c>
      <c r="G153" s="57" t="str">
        <f t="shared" si="1"/>
        <v>Aumenta o número máximo de artefatos e itens de raid encontrados por cada membro do grupo em +2</v>
      </c>
      <c r="H153" s="58" t="b">
        <v>1</v>
      </c>
      <c r="I153" s="59" t="s">
        <v>84</v>
      </c>
    </row>
    <row r="154">
      <c r="A154" s="61"/>
      <c r="B154" s="53" t="s">
        <v>349</v>
      </c>
      <c r="C154" s="54" t="s">
        <v>59</v>
      </c>
      <c r="D154" s="54">
        <v>8.0</v>
      </c>
      <c r="E154" s="53" t="s">
        <v>187</v>
      </c>
      <c r="F154" s="54" t="s">
        <v>77</v>
      </c>
      <c r="G154" s="57" t="str">
        <f t="shared" si="1"/>
        <v>Aumenta a taxa de sobrevivência do grupo em 2%</v>
      </c>
      <c r="H154" s="58" t="b">
        <v>1</v>
      </c>
      <c r="I154" s="59" t="s">
        <v>136</v>
      </c>
    </row>
    <row r="155">
      <c r="A155" s="61"/>
      <c r="B155" s="63" t="s">
        <v>350</v>
      </c>
      <c r="C155" s="54" t="s">
        <v>59</v>
      </c>
      <c r="D155" s="55">
        <v>16.0</v>
      </c>
      <c r="E155" s="53" t="s">
        <v>83</v>
      </c>
      <c r="F155" s="54" t="s">
        <v>73</v>
      </c>
      <c r="G155" s="57" t="str">
        <f t="shared" si="1"/>
        <v>Aumenta o número máximo de artefatos e itens de raid encontrados em +2</v>
      </c>
      <c r="H155" s="60" t="b">
        <v>0</v>
      </c>
      <c r="I155" s="59" t="s">
        <v>351</v>
      </c>
    </row>
    <row r="156">
      <c r="A156" s="61"/>
      <c r="B156" s="53" t="s">
        <v>352</v>
      </c>
      <c r="C156" s="54" t="s">
        <v>59</v>
      </c>
      <c r="D156" s="54">
        <v>18.0</v>
      </c>
      <c r="E156" s="53" t="s">
        <v>208</v>
      </c>
      <c r="F156" s="54" t="s">
        <v>77</v>
      </c>
      <c r="G156" s="57" t="str">
        <f t="shared" si="1"/>
        <v>Aumenta a força em 25%</v>
      </c>
      <c r="H156" s="58" t="b">
        <v>1</v>
      </c>
      <c r="I156" s="59" t="s">
        <v>139</v>
      </c>
    </row>
    <row r="157">
      <c r="A157" s="61"/>
      <c r="B157" s="63" t="s">
        <v>353</v>
      </c>
      <c r="C157" s="54" t="s">
        <v>59</v>
      </c>
      <c r="D157" s="55">
        <v>18.0</v>
      </c>
      <c r="E157" s="53" t="s">
        <v>354</v>
      </c>
      <c r="F157" s="54" t="s">
        <v>97</v>
      </c>
      <c r="G157" s="57" t="str">
        <f t="shared" si="1"/>
        <v>Impede que 1 peça de equipamento se quebre durante a missão</v>
      </c>
      <c r="H157" s="60" t="b">
        <v>0</v>
      </c>
      <c r="I157" s="59" t="s">
        <v>335</v>
      </c>
    </row>
    <row r="158">
      <c r="A158" s="61"/>
      <c r="B158" s="63" t="s">
        <v>355</v>
      </c>
      <c r="C158" s="54" t="s">
        <v>59</v>
      </c>
      <c r="D158" s="55">
        <v>19.0</v>
      </c>
      <c r="E158" s="53" t="s">
        <v>279</v>
      </c>
      <c r="F158" s="54" t="s">
        <v>73</v>
      </c>
      <c r="G158" s="57" t="str">
        <f t="shared" si="1"/>
        <v>Aumenta a taxa de sobrevivência do grupo em 8%</v>
      </c>
      <c r="H158" s="58" t="b">
        <v>1</v>
      </c>
      <c r="I158" s="59" t="s">
        <v>271</v>
      </c>
    </row>
    <row r="159">
      <c r="A159" s="61"/>
      <c r="B159" s="53" t="s">
        <v>356</v>
      </c>
      <c r="C159" s="54" t="s">
        <v>59</v>
      </c>
      <c r="D159" s="54">
        <v>21.0</v>
      </c>
      <c r="E159" s="53" t="s">
        <v>94</v>
      </c>
      <c r="F159" s="54" t="s">
        <v>73</v>
      </c>
      <c r="G159" s="57" t="str">
        <f t="shared" si="1"/>
        <v>Aumenta a taxa de sobrevivência de membros femininos do grupo em 5%</v>
      </c>
      <c r="H159" s="58" t="b">
        <v>1</v>
      </c>
      <c r="I159" s="59" t="s">
        <v>139</v>
      </c>
    </row>
    <row r="160">
      <c r="A160" s="61"/>
      <c r="B160" s="63" t="s">
        <v>357</v>
      </c>
      <c r="C160" s="54" t="s">
        <v>59</v>
      </c>
      <c r="D160" s="55">
        <v>26.0</v>
      </c>
      <c r="E160" s="53" t="s">
        <v>167</v>
      </c>
      <c r="F160" s="54" t="s">
        <v>97</v>
      </c>
      <c r="G160" s="57" t="str">
        <f t="shared" si="1"/>
        <v>Impede que 2 peças de equipamento se quebre durante a missão</v>
      </c>
      <c r="H160" s="60" t="b">
        <v>0</v>
      </c>
      <c r="I160" s="59" t="s">
        <v>98</v>
      </c>
    </row>
    <row r="161">
      <c r="A161" s="61"/>
      <c r="B161" s="53" t="s">
        <v>358</v>
      </c>
      <c r="C161" s="54" t="s">
        <v>59</v>
      </c>
      <c r="D161" s="55">
        <v>28.0</v>
      </c>
      <c r="E161" s="53" t="s">
        <v>115</v>
      </c>
      <c r="F161" s="54" t="s">
        <v>97</v>
      </c>
      <c r="G161" s="57" t="str">
        <f t="shared" si="1"/>
        <v>Aumenta a taxa de sobrevivência do grupo em 5%</v>
      </c>
      <c r="H161" s="58" t="b">
        <v>1</v>
      </c>
      <c r="I161" s="59" t="s">
        <v>74</v>
      </c>
    </row>
    <row r="162">
      <c r="A162" s="61"/>
      <c r="B162" s="53" t="s">
        <v>359</v>
      </c>
      <c r="C162" s="54" t="s">
        <v>59</v>
      </c>
      <c r="D162" s="54">
        <v>30.0</v>
      </c>
      <c r="E162" s="53" t="s">
        <v>150</v>
      </c>
      <c r="F162" s="54" t="s">
        <v>73</v>
      </c>
      <c r="G162" s="57" t="str">
        <f t="shared" si="1"/>
        <v>Reduz a chance de companheiros quebrarem o equipamento em 5%</v>
      </c>
      <c r="H162" s="58" t="b">
        <v>1</v>
      </c>
      <c r="I162" s="59" t="s">
        <v>87</v>
      </c>
    </row>
    <row r="163">
      <c r="A163" s="61"/>
      <c r="B163" s="63" t="s">
        <v>360</v>
      </c>
      <c r="C163" s="54" t="s">
        <v>59</v>
      </c>
      <c r="D163" s="55">
        <v>35.0</v>
      </c>
      <c r="E163" s="53" t="s">
        <v>361</v>
      </c>
      <c r="F163" s="54" t="s">
        <v>97</v>
      </c>
      <c r="G163" s="57" t="str">
        <f t="shared" si="1"/>
        <v>Aumenta a defesa do equipamento em 10%</v>
      </c>
      <c r="H163" s="60" t="b">
        <v>0</v>
      </c>
      <c r="I163" s="59" t="s">
        <v>362</v>
      </c>
    </row>
    <row r="164">
      <c r="A164" s="61"/>
      <c r="B164" s="53" t="s">
        <v>363</v>
      </c>
      <c r="C164" s="54" t="s">
        <v>59</v>
      </c>
      <c r="D164" s="54">
        <v>37.0</v>
      </c>
      <c r="E164" s="53" t="s">
        <v>185</v>
      </c>
      <c r="F164" s="54" t="s">
        <v>97</v>
      </c>
      <c r="G164" s="57" t="str">
        <f t="shared" si="1"/>
        <v>Aumenta a força dos guerreiros do grupo em 15%</v>
      </c>
      <c r="H164" s="58" t="b">
        <v>1</v>
      </c>
      <c r="I164" s="59" t="s">
        <v>100</v>
      </c>
    </row>
    <row r="165">
      <c r="A165" s="61"/>
      <c r="B165" s="53" t="s">
        <v>364</v>
      </c>
      <c r="C165" s="54" t="s">
        <v>59</v>
      </c>
      <c r="D165" s="55">
        <v>39.0</v>
      </c>
      <c r="E165" s="53" t="s">
        <v>212</v>
      </c>
      <c r="F165" s="54" t="s">
        <v>97</v>
      </c>
      <c r="G165" s="57" t="str">
        <f t="shared" si="1"/>
        <v>Aumenta a força em 25%</v>
      </c>
      <c r="H165" s="58" t="b">
        <v>1</v>
      </c>
      <c r="I165" s="59" t="s">
        <v>100</v>
      </c>
    </row>
    <row r="166">
      <c r="A166" s="61"/>
      <c r="B166" s="53" t="s">
        <v>365</v>
      </c>
      <c r="C166" s="54" t="s">
        <v>59</v>
      </c>
      <c r="D166" s="54">
        <v>40.0</v>
      </c>
      <c r="E166" s="53" t="s">
        <v>308</v>
      </c>
      <c r="F166" s="54" t="s">
        <v>97</v>
      </c>
      <c r="G166" s="57" t="str">
        <f t="shared" si="1"/>
        <v>Impede que o equipamento de um companheiro se quebre 2 vezes</v>
      </c>
      <c r="H166" s="58" t="b">
        <v>1</v>
      </c>
      <c r="I166" s="59" t="s">
        <v>203</v>
      </c>
    </row>
    <row r="167">
      <c r="A167" s="61"/>
      <c r="B167" s="63" t="s">
        <v>366</v>
      </c>
      <c r="C167" s="54" t="s">
        <v>59</v>
      </c>
      <c r="D167" s="55">
        <v>43.0</v>
      </c>
      <c r="E167" s="53" t="s">
        <v>367</v>
      </c>
      <c r="F167" s="54" t="s">
        <v>73</v>
      </c>
      <c r="G167" s="57" t="str">
        <f t="shared" si="1"/>
        <v>Impede que 3 peças de equipamento se quebre durante a missão</v>
      </c>
      <c r="H167" s="58" t="b">
        <v>1</v>
      </c>
      <c r="I167" s="59" t="s">
        <v>293</v>
      </c>
    </row>
    <row r="168">
      <c r="A168" s="61"/>
      <c r="B168" s="53" t="s">
        <v>368</v>
      </c>
      <c r="C168" s="54" t="s">
        <v>59</v>
      </c>
      <c r="D168" s="54">
        <v>45.0</v>
      </c>
      <c r="E168" s="53" t="s">
        <v>224</v>
      </c>
      <c r="F168" s="54" t="s">
        <v>118</v>
      </c>
      <c r="G168" s="57" t="str">
        <f t="shared" si="1"/>
        <v>Reduz o tempo de cura de companheiros em 50%</v>
      </c>
      <c r="H168" s="58" t="b">
        <v>1</v>
      </c>
      <c r="I168" s="59" t="s">
        <v>215</v>
      </c>
    </row>
    <row r="169">
      <c r="A169" s="61"/>
      <c r="B169" s="53" t="s">
        <v>369</v>
      </c>
      <c r="C169" s="54" t="s">
        <v>59</v>
      </c>
      <c r="D169" s="54">
        <v>47.0</v>
      </c>
      <c r="E169" s="53" t="s">
        <v>189</v>
      </c>
      <c r="F169" s="54" t="s">
        <v>97</v>
      </c>
      <c r="G169" s="57" t="str">
        <f t="shared" si="1"/>
        <v>Aumenta a força em 30%</v>
      </c>
      <c r="H169" s="58" t="b">
        <v>1</v>
      </c>
      <c r="I169" s="59" t="s">
        <v>113</v>
      </c>
    </row>
    <row r="170">
      <c r="A170" s="61"/>
      <c r="B170" s="63" t="s">
        <v>370</v>
      </c>
      <c r="C170" s="54" t="s">
        <v>59</v>
      </c>
      <c r="D170" s="55">
        <v>48.0</v>
      </c>
      <c r="E170" s="53" t="s">
        <v>96</v>
      </c>
      <c r="F170" s="54" t="s">
        <v>118</v>
      </c>
      <c r="G170" s="57" t="str">
        <f t="shared" si="1"/>
        <v>Aumenta o número máximo de artefatos e itens de raid encontrados em +4</v>
      </c>
      <c r="H170" s="60" t="b">
        <v>0</v>
      </c>
      <c r="I170" s="59" t="s">
        <v>331</v>
      </c>
    </row>
    <row r="171">
      <c r="A171" s="61"/>
      <c r="B171" s="53" t="s">
        <v>371</v>
      </c>
      <c r="C171" s="54" t="s">
        <v>59</v>
      </c>
      <c r="D171" s="55">
        <v>50.0</v>
      </c>
      <c r="E171" s="53" t="s">
        <v>109</v>
      </c>
      <c r="F171" s="54" t="s">
        <v>118</v>
      </c>
      <c r="G171" s="57" t="str">
        <f t="shared" si="1"/>
        <v>Aumenta o número máximo de artefatos e itens de raid encontrados por cada membro do grupo em +1</v>
      </c>
      <c r="H171" s="58" t="b">
        <v>1</v>
      </c>
      <c r="I171" s="59" t="s">
        <v>122</v>
      </c>
    </row>
    <row r="172">
      <c r="A172" s="61"/>
      <c r="B172" s="53" t="s">
        <v>372</v>
      </c>
      <c r="C172" s="54" t="s">
        <v>59</v>
      </c>
      <c r="D172" s="54">
        <v>52.0</v>
      </c>
      <c r="E172" s="53" t="s">
        <v>291</v>
      </c>
      <c r="F172" s="54" t="s">
        <v>262</v>
      </c>
      <c r="G172" s="57" t="str">
        <f t="shared" si="1"/>
        <v>Evita ferimentos 30% das vezes</v>
      </c>
      <c r="H172" s="58" t="b">
        <v>1</v>
      </c>
      <c r="I172" s="59" t="s">
        <v>235</v>
      </c>
    </row>
    <row r="173">
      <c r="A173" s="61"/>
      <c r="B173" s="53" t="s">
        <v>373</v>
      </c>
      <c r="C173" s="54" t="s">
        <v>59</v>
      </c>
      <c r="D173" s="55">
        <v>53.0</v>
      </c>
      <c r="E173" s="53" t="s">
        <v>374</v>
      </c>
      <c r="F173" s="54" t="s">
        <v>118</v>
      </c>
      <c r="G173" s="57" t="str">
        <f t="shared" si="1"/>
        <v>Encontra mais 100% de ouro durante as missões</v>
      </c>
      <c r="H173" s="58" t="b">
        <v>1</v>
      </c>
      <c r="I173" s="59" t="s">
        <v>122</v>
      </c>
    </row>
    <row r="174">
      <c r="A174" s="61"/>
      <c r="B174" s="63" t="s">
        <v>375</v>
      </c>
      <c r="C174" s="54" t="s">
        <v>59</v>
      </c>
      <c r="D174" s="55">
        <v>55.0</v>
      </c>
      <c r="E174" s="53" t="s">
        <v>129</v>
      </c>
      <c r="F174" s="54" t="s">
        <v>118</v>
      </c>
      <c r="G174" s="57" t="str">
        <f t="shared" si="1"/>
        <v>Aumenta o número máximo de artefatos e itens de raid encontrados por cada membro do grupo em +2</v>
      </c>
      <c r="H174" s="58" t="b">
        <v>1</v>
      </c>
      <c r="I174" s="59" t="s">
        <v>81</v>
      </c>
    </row>
    <row r="175">
      <c r="A175" s="61"/>
      <c r="B175" s="53" t="s">
        <v>376</v>
      </c>
      <c r="C175" s="54" t="s">
        <v>59</v>
      </c>
      <c r="D175" s="55">
        <v>56.0</v>
      </c>
      <c r="E175" s="53" t="s">
        <v>367</v>
      </c>
      <c r="F175" s="54" t="s">
        <v>97</v>
      </c>
      <c r="G175" s="57" t="str">
        <f t="shared" si="1"/>
        <v>Impede que 3 peças de equipamento se quebre durante a missão</v>
      </c>
      <c r="H175" s="58" t="b">
        <v>1</v>
      </c>
      <c r="I175" s="59" t="s">
        <v>169</v>
      </c>
    </row>
    <row r="176">
      <c r="A176" s="61"/>
      <c r="B176" s="53" t="s">
        <v>377</v>
      </c>
      <c r="C176" s="54" t="s">
        <v>37</v>
      </c>
      <c r="D176" s="55">
        <v>9.0</v>
      </c>
      <c r="E176" s="53" t="s">
        <v>112</v>
      </c>
      <c r="F176" s="54" t="s">
        <v>73</v>
      </c>
      <c r="G176" s="57" t="str">
        <f t="shared" si="1"/>
        <v>Aumenta a força do equipamento em 20%</v>
      </c>
      <c r="H176" s="60" t="b">
        <v>0</v>
      </c>
      <c r="I176" s="59" t="s">
        <v>362</v>
      </c>
    </row>
    <row r="177">
      <c r="A177" s="61"/>
      <c r="B177" s="52" t="s">
        <v>378</v>
      </c>
      <c r="C177" s="45" t="s">
        <v>37</v>
      </c>
      <c r="D177" s="45">
        <v>10.0</v>
      </c>
      <c r="E177" s="52" t="s">
        <v>208</v>
      </c>
      <c r="F177" s="45" t="s">
        <v>77</v>
      </c>
      <c r="G177" s="57" t="str">
        <f t="shared" si="1"/>
        <v>Aumenta a força em 25%</v>
      </c>
      <c r="H177" s="58" t="b">
        <v>1</v>
      </c>
      <c r="I177" s="59" t="s">
        <v>78</v>
      </c>
    </row>
    <row r="178">
      <c r="A178" s="61"/>
      <c r="B178" s="52" t="s">
        <v>379</v>
      </c>
      <c r="C178" s="45" t="s">
        <v>37</v>
      </c>
      <c r="D178" s="45">
        <v>20.0</v>
      </c>
      <c r="E178" s="52" t="s">
        <v>361</v>
      </c>
      <c r="F178" s="45" t="s">
        <v>262</v>
      </c>
      <c r="G178" s="57" t="str">
        <f t="shared" si="1"/>
        <v>Aumenta a defesa do equipamento em 10%</v>
      </c>
      <c r="H178" s="58" t="b">
        <v>1</v>
      </c>
      <c r="I178" s="59" t="s">
        <v>139</v>
      </c>
    </row>
    <row r="179">
      <c r="A179" s="61"/>
      <c r="B179" s="53" t="s">
        <v>380</v>
      </c>
      <c r="C179" s="54" t="s">
        <v>37</v>
      </c>
      <c r="D179" s="55">
        <v>23.0</v>
      </c>
      <c r="E179" s="53" t="s">
        <v>143</v>
      </c>
      <c r="F179" s="54" t="s">
        <v>73</v>
      </c>
      <c r="G179" s="57" t="str">
        <f t="shared" si="1"/>
        <v>Evita ferimentos 20% das vezes</v>
      </c>
      <c r="H179" s="60" t="b">
        <v>0</v>
      </c>
      <c r="I179" s="59" t="s">
        <v>321</v>
      </c>
    </row>
    <row r="180">
      <c r="A180" s="61"/>
      <c r="B180" s="52" t="s">
        <v>381</v>
      </c>
      <c r="C180" s="45" t="s">
        <v>37</v>
      </c>
      <c r="D180" s="45">
        <v>25.0</v>
      </c>
      <c r="E180" s="52" t="s">
        <v>72</v>
      </c>
      <c r="F180" s="45" t="s">
        <v>73</v>
      </c>
      <c r="G180" s="57" t="str">
        <f t="shared" si="1"/>
        <v>Aumenta a força em 40%</v>
      </c>
      <c r="H180" s="58" t="b">
        <v>1</v>
      </c>
      <c r="I180" s="59" t="s">
        <v>87</v>
      </c>
    </row>
    <row r="181">
      <c r="A181" s="61"/>
      <c r="B181" s="53" t="s">
        <v>382</v>
      </c>
      <c r="C181" s="54" t="s">
        <v>37</v>
      </c>
      <c r="D181" s="55">
        <v>26.0</v>
      </c>
      <c r="E181" s="53" t="s">
        <v>115</v>
      </c>
      <c r="F181" s="54" t="s">
        <v>77</v>
      </c>
      <c r="G181" s="57" t="str">
        <f t="shared" si="1"/>
        <v>Aumenta a taxa de sobrevivência do grupo em 5%</v>
      </c>
      <c r="H181" s="60" t="b">
        <v>0</v>
      </c>
      <c r="I181" s="59" t="s">
        <v>383</v>
      </c>
    </row>
    <row r="182">
      <c r="A182" s="61"/>
      <c r="B182" s="53" t="s">
        <v>384</v>
      </c>
      <c r="C182" s="54" t="s">
        <v>37</v>
      </c>
      <c r="D182" s="55">
        <v>29.0</v>
      </c>
      <c r="E182" s="53" t="s">
        <v>154</v>
      </c>
      <c r="F182" s="54" t="s">
        <v>97</v>
      </c>
      <c r="G182" s="57" t="str">
        <f t="shared" si="1"/>
        <v>Aumenta a força em 35%</v>
      </c>
      <c r="H182" s="60" t="b">
        <v>0</v>
      </c>
      <c r="I182" s="59" t="s">
        <v>280</v>
      </c>
    </row>
    <row r="183">
      <c r="A183" s="61"/>
      <c r="B183" s="52" t="s">
        <v>385</v>
      </c>
      <c r="C183" s="45" t="s">
        <v>37</v>
      </c>
      <c r="D183" s="45">
        <v>30.0</v>
      </c>
      <c r="E183" s="52" t="s">
        <v>171</v>
      </c>
      <c r="F183" s="45" t="s">
        <v>73</v>
      </c>
      <c r="G183" s="57" t="str">
        <f t="shared" si="1"/>
        <v>Reduz o tempo de espera depois da missão em 100%</v>
      </c>
      <c r="H183" s="58" t="b">
        <v>1</v>
      </c>
      <c r="I183" s="59" t="s">
        <v>386</v>
      </c>
    </row>
    <row r="184">
      <c r="A184" s="61"/>
      <c r="B184" s="53" t="s">
        <v>387</v>
      </c>
      <c r="C184" s="54" t="s">
        <v>37</v>
      </c>
      <c r="D184" s="54">
        <v>32.0</v>
      </c>
      <c r="E184" s="53" t="s">
        <v>388</v>
      </c>
      <c r="F184" s="54" t="s">
        <v>73</v>
      </c>
      <c r="G184" s="57" t="str">
        <f t="shared" si="1"/>
        <v>Aumenta a força em 25%</v>
      </c>
      <c r="H184" s="58" t="b">
        <v>1</v>
      </c>
      <c r="I184" s="59" t="s">
        <v>87</v>
      </c>
    </row>
    <row r="185">
      <c r="A185" s="61"/>
      <c r="B185" s="53" t="s">
        <v>389</v>
      </c>
      <c r="C185" s="54" t="s">
        <v>37</v>
      </c>
      <c r="D185" s="55">
        <v>38.0</v>
      </c>
      <c r="E185" s="53" t="s">
        <v>269</v>
      </c>
      <c r="F185" s="54" t="s">
        <v>97</v>
      </c>
      <c r="G185" s="57" t="str">
        <f t="shared" si="1"/>
        <v>Aumenta a força em 50%</v>
      </c>
      <c r="H185" s="58" t="b">
        <v>1</v>
      </c>
      <c r="I185" s="59" t="s">
        <v>100</v>
      </c>
    </row>
    <row r="186">
      <c r="A186" s="61"/>
      <c r="B186" s="52" t="s">
        <v>390</v>
      </c>
      <c r="C186" s="45" t="s">
        <v>37</v>
      </c>
      <c r="D186" s="45">
        <v>40.0</v>
      </c>
      <c r="E186" s="52" t="s">
        <v>308</v>
      </c>
      <c r="F186" s="45" t="s">
        <v>97</v>
      </c>
      <c r="G186" s="57" t="str">
        <f t="shared" si="1"/>
        <v>Impede que o equipamento de um companheiro se quebre 2 vezes</v>
      </c>
      <c r="H186" s="58" t="b">
        <v>1</v>
      </c>
      <c r="I186" s="59" t="s">
        <v>391</v>
      </c>
    </row>
    <row r="187">
      <c r="A187" s="61"/>
      <c r="B187" s="53" t="s">
        <v>392</v>
      </c>
      <c r="C187" s="54" t="s">
        <v>37</v>
      </c>
      <c r="D187" s="55">
        <v>41.0</v>
      </c>
      <c r="E187" s="53" t="s">
        <v>185</v>
      </c>
      <c r="F187" s="54" t="s">
        <v>97</v>
      </c>
      <c r="G187" s="57" t="str">
        <f t="shared" si="1"/>
        <v>Aumenta a força dos guerreiros do grupo em 15%</v>
      </c>
      <c r="H187" s="58" t="b">
        <v>1</v>
      </c>
      <c r="I187" s="59" t="s">
        <v>100</v>
      </c>
    </row>
    <row r="188">
      <c r="A188" s="61"/>
      <c r="B188" s="53" t="s">
        <v>393</v>
      </c>
      <c r="C188" s="54" t="s">
        <v>37</v>
      </c>
      <c r="D188" s="55">
        <v>42.0</v>
      </c>
      <c r="E188" s="53" t="s">
        <v>361</v>
      </c>
      <c r="F188" s="54" t="s">
        <v>73</v>
      </c>
      <c r="G188" s="57" t="str">
        <f t="shared" si="1"/>
        <v>Aumenta a defesa do equipamento em 10%</v>
      </c>
      <c r="H188" s="60" t="b">
        <v>0</v>
      </c>
      <c r="I188" s="59" t="s">
        <v>394</v>
      </c>
    </row>
    <row r="189">
      <c r="A189" s="61"/>
      <c r="B189" s="53" t="s">
        <v>395</v>
      </c>
      <c r="C189" s="54" t="s">
        <v>37</v>
      </c>
      <c r="D189" s="55">
        <v>46.0</v>
      </c>
      <c r="E189" s="53" t="s">
        <v>112</v>
      </c>
      <c r="F189" s="54" t="s">
        <v>97</v>
      </c>
      <c r="G189" s="57" t="str">
        <f t="shared" si="1"/>
        <v>Aumenta a força do equipamento em 20%</v>
      </c>
      <c r="H189" s="58" t="b">
        <v>1</v>
      </c>
      <c r="I189" s="59" t="s">
        <v>113</v>
      </c>
    </row>
    <row r="190">
      <c r="A190" s="61"/>
      <c r="B190" s="53" t="s">
        <v>396</v>
      </c>
      <c r="C190" s="54" t="s">
        <v>37</v>
      </c>
      <c r="D190" s="55">
        <v>48.0</v>
      </c>
      <c r="E190" s="53" t="s">
        <v>103</v>
      </c>
      <c r="F190" s="54" t="s">
        <v>118</v>
      </c>
      <c r="G190" s="57" t="str">
        <f t="shared" si="1"/>
        <v>Reduz o tempo de cura de companheiros em 25%</v>
      </c>
      <c r="H190" s="60" t="b">
        <v>0</v>
      </c>
      <c r="I190" s="59" t="s">
        <v>397</v>
      </c>
    </row>
    <row r="191">
      <c r="A191" s="61"/>
      <c r="B191" s="53" t="s">
        <v>398</v>
      </c>
      <c r="C191" s="54" t="s">
        <v>37</v>
      </c>
      <c r="D191" s="55">
        <v>49.0</v>
      </c>
      <c r="E191" s="53" t="s">
        <v>143</v>
      </c>
      <c r="F191" s="54" t="s">
        <v>97</v>
      </c>
      <c r="G191" s="57" t="str">
        <f t="shared" si="1"/>
        <v>Evita ferimentos 20% das vezes</v>
      </c>
      <c r="H191" s="60" t="b">
        <v>0</v>
      </c>
      <c r="I191" s="59" t="s">
        <v>399</v>
      </c>
    </row>
    <row r="192">
      <c r="A192" s="61"/>
      <c r="B192" s="53" t="s">
        <v>400</v>
      </c>
      <c r="C192" s="54" t="s">
        <v>37</v>
      </c>
      <c r="D192" s="55">
        <v>50.0</v>
      </c>
      <c r="E192" s="53" t="s">
        <v>217</v>
      </c>
      <c r="F192" s="54" t="s">
        <v>118</v>
      </c>
      <c r="G192" s="57" t="str">
        <f t="shared" si="1"/>
        <v>Aumenta a força dos guerreiros do grupo em 25%</v>
      </c>
      <c r="H192" s="58" t="b">
        <v>1</v>
      </c>
      <c r="I192" s="59" t="s">
        <v>122</v>
      </c>
    </row>
    <row r="193">
      <c r="A193" s="61"/>
      <c r="B193" s="53" t="s">
        <v>401</v>
      </c>
      <c r="C193" s="54" t="s">
        <v>37</v>
      </c>
      <c r="D193" s="54">
        <v>51.0</v>
      </c>
      <c r="E193" s="53" t="s">
        <v>129</v>
      </c>
      <c r="F193" s="54" t="s">
        <v>97</v>
      </c>
      <c r="G193" s="57" t="str">
        <f t="shared" si="1"/>
        <v>Aumenta o número máximo de artefatos e itens de raid encontrados por cada membro do grupo em +2</v>
      </c>
      <c r="H193" s="58" t="b">
        <v>1</v>
      </c>
      <c r="I193" s="59" t="s">
        <v>256</v>
      </c>
    </row>
    <row r="194">
      <c r="A194" s="61"/>
      <c r="B194" s="53" t="s">
        <v>402</v>
      </c>
      <c r="C194" s="54" t="s">
        <v>37</v>
      </c>
      <c r="D194" s="55">
        <v>52.0</v>
      </c>
      <c r="E194" s="53" t="s">
        <v>154</v>
      </c>
      <c r="F194" s="54" t="s">
        <v>73</v>
      </c>
      <c r="G194" s="57" t="str">
        <f t="shared" si="1"/>
        <v>Aumenta a força em 35%</v>
      </c>
      <c r="H194" s="60" t="b">
        <v>0</v>
      </c>
      <c r="I194" s="59" t="s">
        <v>127</v>
      </c>
    </row>
    <row r="195">
      <c r="A195" s="61"/>
      <c r="B195" s="63" t="s">
        <v>403</v>
      </c>
      <c r="C195" s="54" t="s">
        <v>37</v>
      </c>
      <c r="D195" s="55">
        <v>55.0</v>
      </c>
      <c r="E195" s="53" t="s">
        <v>152</v>
      </c>
      <c r="F195" s="54" t="s">
        <v>118</v>
      </c>
      <c r="G195" s="57" t="str">
        <f t="shared" si="1"/>
        <v>Impede que o equipamento de um companheiro se quebre 1 vez</v>
      </c>
      <c r="H195" s="58" t="b">
        <v>1</v>
      </c>
      <c r="I195" s="59" t="s">
        <v>122</v>
      </c>
    </row>
    <row r="196">
      <c r="A196" s="61"/>
      <c r="B196" s="63" t="s">
        <v>404</v>
      </c>
      <c r="C196" s="54" t="s">
        <v>37</v>
      </c>
      <c r="D196" s="55">
        <v>56.0</v>
      </c>
      <c r="E196" s="53" t="s">
        <v>197</v>
      </c>
      <c r="F196" s="54" t="s">
        <v>97</v>
      </c>
      <c r="G196" s="57" t="str">
        <f t="shared" si="1"/>
        <v>Revive um companheiro derrotado 15% das vezes</v>
      </c>
      <c r="H196" s="60" t="b">
        <v>0</v>
      </c>
      <c r="I196" s="59" t="s">
        <v>98</v>
      </c>
    </row>
    <row r="197">
      <c r="A197" s="61"/>
      <c r="B197" s="53" t="s">
        <v>405</v>
      </c>
      <c r="C197" s="54" t="s">
        <v>37</v>
      </c>
      <c r="D197" s="55">
        <v>60.0</v>
      </c>
      <c r="E197" s="53" t="s">
        <v>171</v>
      </c>
      <c r="F197" s="54" t="s">
        <v>406</v>
      </c>
      <c r="G197" s="57" t="str">
        <f t="shared" si="1"/>
        <v>Reduz o tempo de espera depois da missão em 100%</v>
      </c>
      <c r="H197" s="58" t="b">
        <v>1</v>
      </c>
      <c r="I197" s="59" t="s">
        <v>407</v>
      </c>
    </row>
    <row r="198">
      <c r="A198" s="61"/>
      <c r="B198" s="52" t="s">
        <v>408</v>
      </c>
      <c r="C198" s="45" t="s">
        <v>40</v>
      </c>
      <c r="D198" s="45">
        <v>9.0</v>
      </c>
      <c r="E198" s="52" t="s">
        <v>138</v>
      </c>
      <c r="F198" s="45" t="s">
        <v>77</v>
      </c>
      <c r="G198" s="57" t="str">
        <f t="shared" si="1"/>
        <v>Evita ferimentos 10% das vezes</v>
      </c>
      <c r="H198" s="58" t="b">
        <v>1</v>
      </c>
      <c r="I198" s="59" t="s">
        <v>136</v>
      </c>
    </row>
    <row r="199">
      <c r="A199" s="61"/>
      <c r="B199" s="63" t="s">
        <v>409</v>
      </c>
      <c r="C199" s="54" t="s">
        <v>40</v>
      </c>
      <c r="D199" s="55">
        <v>14.0</v>
      </c>
      <c r="E199" s="53" t="s">
        <v>328</v>
      </c>
      <c r="F199" s="54" t="s">
        <v>73</v>
      </c>
      <c r="G199" s="57" t="str">
        <f t="shared" si="1"/>
        <v>Aumenta a força do equipamento em 10%</v>
      </c>
      <c r="H199" s="60" t="b">
        <v>0</v>
      </c>
      <c r="I199" s="59" t="s">
        <v>147</v>
      </c>
    </row>
    <row r="200">
      <c r="A200" s="61"/>
      <c r="B200" s="52" t="s">
        <v>410</v>
      </c>
      <c r="C200" s="45" t="s">
        <v>40</v>
      </c>
      <c r="D200" s="45">
        <v>15.0</v>
      </c>
      <c r="E200" s="52" t="s">
        <v>141</v>
      </c>
      <c r="F200" s="45" t="s">
        <v>73</v>
      </c>
      <c r="G200" s="57" t="str">
        <f t="shared" si="1"/>
        <v>Diminui a chance de quebra de equipamento em 15% das vezes</v>
      </c>
      <c r="H200" s="58" t="b">
        <v>1</v>
      </c>
      <c r="I200" s="59" t="s">
        <v>78</v>
      </c>
    </row>
    <row r="201">
      <c r="A201" s="61"/>
      <c r="B201" s="52" t="s">
        <v>411</v>
      </c>
      <c r="C201" s="45" t="s">
        <v>40</v>
      </c>
      <c r="D201" s="45">
        <v>18.0</v>
      </c>
      <c r="E201" s="52" t="s">
        <v>412</v>
      </c>
      <c r="F201" s="45" t="s">
        <v>77</v>
      </c>
      <c r="G201" s="57" t="str">
        <f t="shared" si="1"/>
        <v>Aumenta a força 25% das vezes</v>
      </c>
      <c r="H201" s="58" t="b">
        <v>1</v>
      </c>
      <c r="I201" s="59" t="s">
        <v>139</v>
      </c>
    </row>
    <row r="202">
      <c r="A202" s="61"/>
      <c r="B202" s="63" t="s">
        <v>413</v>
      </c>
      <c r="C202" s="54" t="s">
        <v>40</v>
      </c>
      <c r="D202" s="55">
        <v>18.0</v>
      </c>
      <c r="E202" s="53" t="s">
        <v>72</v>
      </c>
      <c r="F202" s="54" t="s">
        <v>77</v>
      </c>
      <c r="G202" s="57" t="str">
        <f t="shared" si="1"/>
        <v>Aumenta a força em 40%</v>
      </c>
      <c r="H202" s="58" t="b">
        <v>1</v>
      </c>
      <c r="I202" s="59" t="s">
        <v>293</v>
      </c>
    </row>
    <row r="203">
      <c r="A203" s="61"/>
      <c r="B203" s="63" t="s">
        <v>414</v>
      </c>
      <c r="C203" s="54" t="s">
        <v>40</v>
      </c>
      <c r="D203" s="55">
        <v>33.0</v>
      </c>
      <c r="E203" s="53" t="s">
        <v>152</v>
      </c>
      <c r="F203" s="54" t="s">
        <v>73</v>
      </c>
      <c r="G203" s="57" t="str">
        <f t="shared" si="1"/>
        <v>Impede que o equipamento de um companheiro se quebre 1 vez</v>
      </c>
      <c r="H203" s="60" t="b">
        <v>0</v>
      </c>
      <c r="I203" s="59" t="s">
        <v>415</v>
      </c>
    </row>
    <row r="204">
      <c r="A204" s="61"/>
      <c r="B204" s="53" t="s">
        <v>416</v>
      </c>
      <c r="C204" s="54" t="s">
        <v>40</v>
      </c>
      <c r="D204" s="55">
        <v>36.0</v>
      </c>
      <c r="E204" s="53" t="s">
        <v>328</v>
      </c>
      <c r="F204" s="54" t="s">
        <v>73</v>
      </c>
      <c r="G204" s="57" t="str">
        <f t="shared" si="1"/>
        <v>Aumenta a força do equipamento em 10%</v>
      </c>
      <c r="H204" s="58" t="b">
        <v>1</v>
      </c>
      <c r="I204" s="59" t="s">
        <v>100</v>
      </c>
    </row>
    <row r="205">
      <c r="A205" s="61"/>
      <c r="B205" s="52" t="s">
        <v>417</v>
      </c>
      <c r="C205" s="45" t="s">
        <v>40</v>
      </c>
      <c r="D205" s="45">
        <v>38.0</v>
      </c>
      <c r="E205" s="52" t="s">
        <v>146</v>
      </c>
      <c r="F205" s="45" t="s">
        <v>97</v>
      </c>
      <c r="G205" s="57" t="str">
        <f t="shared" si="1"/>
        <v>Aumenta o número mínimo de itens e artefatos encontrados em +1</v>
      </c>
      <c r="H205" s="58" t="b">
        <v>1</v>
      </c>
      <c r="I205" s="59" t="s">
        <v>100</v>
      </c>
    </row>
    <row r="206">
      <c r="A206" s="61"/>
      <c r="B206" s="52" t="s">
        <v>418</v>
      </c>
      <c r="C206" s="45" t="s">
        <v>40</v>
      </c>
      <c r="D206" s="45">
        <v>39.0</v>
      </c>
      <c r="E206" s="52" t="s">
        <v>412</v>
      </c>
      <c r="F206" s="45" t="s">
        <v>262</v>
      </c>
      <c r="G206" s="57" t="str">
        <f t="shared" si="1"/>
        <v>Aumenta a força 25% das vezes</v>
      </c>
      <c r="H206" s="58" t="b">
        <v>1</v>
      </c>
      <c r="I206" s="59" t="s">
        <v>100</v>
      </c>
    </row>
    <row r="207">
      <c r="A207" s="61"/>
      <c r="B207" s="52" t="s">
        <v>419</v>
      </c>
      <c r="C207" s="45" t="s">
        <v>40</v>
      </c>
      <c r="D207" s="45">
        <v>42.0</v>
      </c>
      <c r="E207" s="52" t="s">
        <v>249</v>
      </c>
      <c r="F207" s="45" t="s">
        <v>73</v>
      </c>
      <c r="G207" s="57" t="str">
        <f t="shared" si="1"/>
        <v>Reduz o tempo de espera depois da missão em 75%</v>
      </c>
      <c r="H207" s="58" t="b">
        <v>1</v>
      </c>
      <c r="I207" s="59" t="s">
        <v>295</v>
      </c>
    </row>
    <row r="208">
      <c r="A208" s="61"/>
      <c r="B208" s="63" t="s">
        <v>420</v>
      </c>
      <c r="C208" s="54" t="s">
        <v>40</v>
      </c>
      <c r="D208" s="55">
        <v>44.0</v>
      </c>
      <c r="E208" s="53" t="s">
        <v>126</v>
      </c>
      <c r="F208" s="54" t="s">
        <v>118</v>
      </c>
      <c r="G208" s="57" t="str">
        <f t="shared" si="1"/>
        <v>Aumenta o número máximo de artefatos e itens de raid encontrados em +6</v>
      </c>
      <c r="H208" s="60" t="b">
        <v>0</v>
      </c>
      <c r="I208" s="59" t="s">
        <v>421</v>
      </c>
    </row>
    <row r="209">
      <c r="A209" s="61"/>
      <c r="B209" s="53" t="s">
        <v>422</v>
      </c>
      <c r="C209" s="54" t="s">
        <v>40</v>
      </c>
      <c r="D209" s="54">
        <v>46.0</v>
      </c>
      <c r="E209" s="53" t="s">
        <v>112</v>
      </c>
      <c r="F209" s="54" t="s">
        <v>118</v>
      </c>
      <c r="G209" s="57" t="str">
        <f t="shared" si="1"/>
        <v>Aumenta a força do equipamento em 20%</v>
      </c>
      <c r="H209" s="58" t="b">
        <v>1</v>
      </c>
      <c r="I209" s="59" t="s">
        <v>113</v>
      </c>
    </row>
    <row r="210">
      <c r="A210" s="61"/>
      <c r="B210" s="53" t="s">
        <v>423</v>
      </c>
      <c r="C210" s="54" t="s">
        <v>40</v>
      </c>
      <c r="D210" s="54">
        <v>49.0</v>
      </c>
      <c r="E210" s="53" t="s">
        <v>285</v>
      </c>
      <c r="F210" s="54" t="s">
        <v>97</v>
      </c>
      <c r="G210" s="57" t="str">
        <f t="shared" si="1"/>
        <v>Evita ferimentos 15% das vezes</v>
      </c>
      <c r="H210" s="58" t="b">
        <v>1</v>
      </c>
      <c r="I210" s="59" t="s">
        <v>161</v>
      </c>
    </row>
    <row r="211">
      <c r="A211" s="61"/>
      <c r="B211" s="53" t="s">
        <v>424</v>
      </c>
      <c r="C211" s="54" t="s">
        <v>40</v>
      </c>
      <c r="D211" s="55">
        <v>50.0</v>
      </c>
      <c r="E211" s="53" t="s">
        <v>425</v>
      </c>
      <c r="F211" s="54" t="s">
        <v>118</v>
      </c>
      <c r="G211" s="57" t="str">
        <f t="shared" si="1"/>
        <v>Aumenta o número mínimo de itens e artefatos encontrados em +3</v>
      </c>
      <c r="H211" s="58" t="b">
        <v>1</v>
      </c>
      <c r="I211" s="59" t="s">
        <v>426</v>
      </c>
    </row>
    <row r="212">
      <c r="A212" s="61"/>
      <c r="B212" s="63" t="s">
        <v>427</v>
      </c>
      <c r="C212" s="54" t="s">
        <v>40</v>
      </c>
      <c r="D212" s="55">
        <v>52.0</v>
      </c>
      <c r="E212" s="53" t="s">
        <v>129</v>
      </c>
      <c r="F212" s="54" t="s">
        <v>118</v>
      </c>
      <c r="G212" s="57" t="str">
        <f t="shared" si="1"/>
        <v>Aumenta o número máximo de artefatos e itens de raid encontrados por cada membro do grupo em +2</v>
      </c>
      <c r="H212" s="60" t="b">
        <v>0</v>
      </c>
      <c r="I212" s="59" t="s">
        <v>326</v>
      </c>
    </row>
    <row r="213">
      <c r="A213" s="61"/>
      <c r="B213" s="63" t="s">
        <v>428</v>
      </c>
      <c r="C213" s="54" t="s">
        <v>40</v>
      </c>
      <c r="D213" s="55">
        <v>53.0</v>
      </c>
      <c r="E213" s="53" t="s">
        <v>425</v>
      </c>
      <c r="F213" s="54" t="s">
        <v>73</v>
      </c>
      <c r="G213" s="57" t="str">
        <f t="shared" si="1"/>
        <v>Aumenta o número mínimo de itens e artefatos encontrados em +3</v>
      </c>
      <c r="H213" s="60" t="b">
        <v>0</v>
      </c>
      <c r="I213" s="59" t="s">
        <v>206</v>
      </c>
    </row>
    <row r="214">
      <c r="A214" s="61"/>
      <c r="B214" s="63" t="s">
        <v>429</v>
      </c>
      <c r="C214" s="54" t="s">
        <v>40</v>
      </c>
      <c r="D214" s="55">
        <v>54.0</v>
      </c>
      <c r="E214" s="53" t="s">
        <v>124</v>
      </c>
      <c r="F214" s="54" t="s">
        <v>118</v>
      </c>
      <c r="G214" s="57" t="str">
        <f t="shared" si="1"/>
        <v>Encontra mais 200% de ouro durante as missões</v>
      </c>
      <c r="H214" s="60" t="b">
        <v>0</v>
      </c>
      <c r="I214" s="59" t="s">
        <v>165</v>
      </c>
    </row>
    <row r="215">
      <c r="A215" s="61"/>
      <c r="B215" s="63" t="s">
        <v>430</v>
      </c>
      <c r="C215" s="54" t="s">
        <v>40</v>
      </c>
      <c r="D215" s="55">
        <v>55.0</v>
      </c>
      <c r="E215" s="53" t="s">
        <v>431</v>
      </c>
      <c r="F215" s="54" t="s">
        <v>118</v>
      </c>
      <c r="G215" s="57" t="str">
        <f t="shared" si="1"/>
        <v>Reduz a duração da missão em 25%</v>
      </c>
      <c r="H215" s="58" t="b">
        <v>1</v>
      </c>
      <c r="I215" s="59" t="s">
        <v>122</v>
      </c>
    </row>
    <row r="216">
      <c r="A216" s="61"/>
      <c r="B216" s="53" t="s">
        <v>432</v>
      </c>
      <c r="C216" s="54" t="s">
        <v>58</v>
      </c>
      <c r="D216" s="54">
        <v>12.0</v>
      </c>
      <c r="E216" s="53" t="s">
        <v>177</v>
      </c>
      <c r="F216" s="54" t="s">
        <v>77</v>
      </c>
      <c r="G216" s="57" t="str">
        <f t="shared" si="1"/>
        <v>Obtém pelo menos 25% de experiência quando ferido e a missão é bem sucedida</v>
      </c>
      <c r="H216" s="58" t="b">
        <v>1</v>
      </c>
      <c r="I216" s="59" t="s">
        <v>78</v>
      </c>
    </row>
    <row r="217">
      <c r="A217" s="61"/>
      <c r="B217" s="63" t="s">
        <v>433</v>
      </c>
      <c r="C217" s="54" t="s">
        <v>58</v>
      </c>
      <c r="D217" s="55">
        <v>13.0</v>
      </c>
      <c r="E217" s="53" t="s">
        <v>143</v>
      </c>
      <c r="F217" s="54" t="s">
        <v>97</v>
      </c>
      <c r="G217" s="57" t="str">
        <f t="shared" si="1"/>
        <v>Evita ferimentos 20% das vezes</v>
      </c>
      <c r="H217" s="60" t="b">
        <v>0</v>
      </c>
      <c r="I217" s="59" t="s">
        <v>394</v>
      </c>
    </row>
    <row r="218">
      <c r="A218" s="61"/>
      <c r="B218" s="53" t="s">
        <v>434</v>
      </c>
      <c r="C218" s="54" t="s">
        <v>58</v>
      </c>
      <c r="D218" s="54">
        <v>16.0</v>
      </c>
      <c r="E218" s="53" t="s">
        <v>72</v>
      </c>
      <c r="F218" s="54" t="s">
        <v>77</v>
      </c>
      <c r="G218" s="57" t="str">
        <f t="shared" si="1"/>
        <v>Aumenta a força em 40%</v>
      </c>
      <c r="H218" s="58" t="b">
        <v>1</v>
      </c>
      <c r="I218" s="59" t="s">
        <v>139</v>
      </c>
    </row>
    <row r="219">
      <c r="A219" s="61"/>
      <c r="B219" s="63" t="s">
        <v>435</v>
      </c>
      <c r="C219" s="54" t="s">
        <v>58</v>
      </c>
      <c r="D219" s="55">
        <v>17.0</v>
      </c>
      <c r="E219" s="53" t="s">
        <v>132</v>
      </c>
      <c r="F219" s="54" t="s">
        <v>77</v>
      </c>
      <c r="G219" s="57" t="str">
        <f t="shared" si="1"/>
        <v>Reduz a duração da missão em 10%</v>
      </c>
      <c r="H219" s="60" t="b">
        <v>0</v>
      </c>
      <c r="I219" s="59" t="s">
        <v>107</v>
      </c>
    </row>
    <row r="220">
      <c r="A220" s="61"/>
      <c r="B220" s="53" t="s">
        <v>436</v>
      </c>
      <c r="C220" s="54" t="s">
        <v>58</v>
      </c>
      <c r="D220" s="54">
        <v>26.0</v>
      </c>
      <c r="E220" s="53" t="s">
        <v>231</v>
      </c>
      <c r="F220" s="54" t="s">
        <v>73</v>
      </c>
      <c r="G220" s="57" t="str">
        <f t="shared" si="1"/>
        <v>Reduz o tempo de cura de companheiros em 10%</v>
      </c>
      <c r="H220" s="58" t="b">
        <v>1</v>
      </c>
      <c r="I220" s="59" t="s">
        <v>87</v>
      </c>
    </row>
    <row r="221">
      <c r="A221" s="61"/>
      <c r="B221" s="53" t="s">
        <v>437</v>
      </c>
      <c r="C221" s="54" t="s">
        <v>58</v>
      </c>
      <c r="D221" s="54">
        <v>31.0</v>
      </c>
      <c r="E221" s="53" t="s">
        <v>83</v>
      </c>
      <c r="F221" s="54" t="s">
        <v>73</v>
      </c>
      <c r="G221" s="57" t="str">
        <f t="shared" si="1"/>
        <v>Aumenta o número máximo de artefatos e itens de raid encontrados em +2</v>
      </c>
      <c r="H221" s="58" t="b">
        <v>1</v>
      </c>
      <c r="I221" s="59" t="s">
        <v>87</v>
      </c>
    </row>
    <row r="222">
      <c r="A222" s="61"/>
      <c r="B222" s="53" t="s">
        <v>438</v>
      </c>
      <c r="C222" s="54" t="s">
        <v>58</v>
      </c>
      <c r="D222" s="54">
        <v>34.0</v>
      </c>
      <c r="E222" s="53" t="s">
        <v>106</v>
      </c>
      <c r="F222" s="54" t="s">
        <v>97</v>
      </c>
      <c r="G222" s="57" t="str">
        <f t="shared" si="1"/>
        <v>Revive um companheiro derrotado 10% das vezes</v>
      </c>
      <c r="H222" s="58" t="b">
        <v>1</v>
      </c>
      <c r="I222" s="59" t="s">
        <v>155</v>
      </c>
    </row>
    <row r="223">
      <c r="A223" s="61"/>
      <c r="B223" s="53" t="s">
        <v>439</v>
      </c>
      <c r="C223" s="54" t="s">
        <v>58</v>
      </c>
      <c r="D223" s="54">
        <v>38.0</v>
      </c>
      <c r="E223" s="53" t="s">
        <v>187</v>
      </c>
      <c r="F223" s="54" t="s">
        <v>97</v>
      </c>
      <c r="G223" s="57" t="str">
        <f t="shared" si="1"/>
        <v>Aumenta a taxa de sobrevivência do grupo em 2%</v>
      </c>
      <c r="H223" s="58" t="b">
        <v>1</v>
      </c>
      <c r="I223" s="59" t="s">
        <v>100</v>
      </c>
    </row>
    <row r="224">
      <c r="A224" s="61"/>
      <c r="B224" s="53" t="s">
        <v>440</v>
      </c>
      <c r="C224" s="54" t="s">
        <v>58</v>
      </c>
      <c r="D224" s="55">
        <v>40.0</v>
      </c>
      <c r="E224" s="53" t="s">
        <v>92</v>
      </c>
      <c r="F224" s="54" t="s">
        <v>97</v>
      </c>
      <c r="G224" s="57" t="str">
        <f t="shared" si="1"/>
        <v>Revive um companheiro derrotado 5% das vezes</v>
      </c>
      <c r="H224" s="58" t="b">
        <v>1</v>
      </c>
      <c r="I224" s="59" t="s">
        <v>100</v>
      </c>
    </row>
    <row r="225">
      <c r="A225" s="61"/>
      <c r="B225" s="63" t="s">
        <v>441</v>
      </c>
      <c r="C225" s="54" t="s">
        <v>58</v>
      </c>
      <c r="D225" s="55">
        <v>42.0</v>
      </c>
      <c r="E225" s="53" t="s">
        <v>106</v>
      </c>
      <c r="F225" s="54" t="s">
        <v>118</v>
      </c>
      <c r="G225" s="57" t="str">
        <f t="shared" si="1"/>
        <v>Revive um companheiro derrotado 10% das vezes</v>
      </c>
      <c r="H225" s="60" t="b">
        <v>0</v>
      </c>
      <c r="I225" s="59" t="s">
        <v>442</v>
      </c>
    </row>
    <row r="226">
      <c r="A226" s="61"/>
      <c r="B226" s="63" t="s">
        <v>443</v>
      </c>
      <c r="C226" s="54" t="s">
        <v>58</v>
      </c>
      <c r="D226" s="55">
        <v>43.0</v>
      </c>
      <c r="E226" s="53" t="s">
        <v>171</v>
      </c>
      <c r="F226" s="54" t="s">
        <v>73</v>
      </c>
      <c r="G226" s="57" t="str">
        <f t="shared" si="1"/>
        <v>Reduz o tempo de espera depois da missão em 100%</v>
      </c>
      <c r="H226" s="58" t="b">
        <v>1</v>
      </c>
      <c r="I226" s="59" t="s">
        <v>90</v>
      </c>
    </row>
    <row r="227">
      <c r="A227" s="61"/>
      <c r="B227" s="53" t="s">
        <v>444</v>
      </c>
      <c r="C227" s="54" t="s">
        <v>58</v>
      </c>
      <c r="D227" s="54">
        <v>45.0</v>
      </c>
      <c r="E227" s="53" t="s">
        <v>72</v>
      </c>
      <c r="F227" s="54" t="s">
        <v>73</v>
      </c>
      <c r="G227" s="57" t="str">
        <f t="shared" si="1"/>
        <v>Aumenta a força em 40%</v>
      </c>
      <c r="H227" s="58" t="b">
        <v>1</v>
      </c>
      <c r="I227" s="59" t="s">
        <v>113</v>
      </c>
    </row>
    <row r="228">
      <c r="A228" s="61"/>
      <c r="B228" s="63" t="s">
        <v>445</v>
      </c>
      <c r="C228" s="54" t="s">
        <v>58</v>
      </c>
      <c r="D228" s="55">
        <v>46.0</v>
      </c>
      <c r="E228" s="53" t="s">
        <v>167</v>
      </c>
      <c r="F228" s="54" t="s">
        <v>97</v>
      </c>
      <c r="G228" s="57" t="str">
        <f t="shared" si="1"/>
        <v>Impede que 2 peças de equipamento se quebre durante a missão</v>
      </c>
      <c r="H228" s="60" t="b">
        <v>0</v>
      </c>
      <c r="I228" s="59" t="s">
        <v>446</v>
      </c>
    </row>
    <row r="229">
      <c r="A229" s="61"/>
      <c r="B229" s="63" t="s">
        <v>447</v>
      </c>
      <c r="C229" s="54" t="s">
        <v>58</v>
      </c>
      <c r="D229" s="55">
        <v>47.0</v>
      </c>
      <c r="E229" s="53" t="s">
        <v>367</v>
      </c>
      <c r="F229" s="54" t="s">
        <v>118</v>
      </c>
      <c r="G229" s="57" t="str">
        <f t="shared" si="1"/>
        <v>Impede que 3 peças de equipamento se quebre durante a missão</v>
      </c>
      <c r="H229" s="60" t="b">
        <v>0</v>
      </c>
      <c r="I229" s="59" t="s">
        <v>182</v>
      </c>
    </row>
    <row r="230">
      <c r="A230" s="61"/>
      <c r="B230" s="63" t="s">
        <v>448</v>
      </c>
      <c r="C230" s="54" t="s">
        <v>58</v>
      </c>
      <c r="D230" s="55">
        <v>48.0</v>
      </c>
      <c r="E230" s="53" t="s">
        <v>425</v>
      </c>
      <c r="F230" s="54" t="s">
        <v>118</v>
      </c>
      <c r="G230" s="57" t="str">
        <f t="shared" si="1"/>
        <v>Aumenta o número mínimo de itens e artefatos encontrados em +3</v>
      </c>
      <c r="H230" s="60" t="b">
        <v>0</v>
      </c>
      <c r="I230" s="59" t="s">
        <v>147</v>
      </c>
    </row>
    <row r="231">
      <c r="A231" s="61"/>
      <c r="B231" s="53" t="s">
        <v>449</v>
      </c>
      <c r="C231" s="54" t="s">
        <v>58</v>
      </c>
      <c r="D231" s="54">
        <v>49.0</v>
      </c>
      <c r="E231" s="53" t="s">
        <v>181</v>
      </c>
      <c r="F231" s="54" t="s">
        <v>118</v>
      </c>
      <c r="G231" s="57" t="str">
        <f t="shared" si="1"/>
        <v>Aumenta a taxa de sobrevivência de membros femininos do grupo em 10%</v>
      </c>
      <c r="H231" s="58" t="b">
        <v>1</v>
      </c>
      <c r="I231" s="59" t="s">
        <v>161</v>
      </c>
    </row>
    <row r="232">
      <c r="A232" s="61"/>
      <c r="B232" s="63" t="s">
        <v>450</v>
      </c>
      <c r="C232" s="54" t="s">
        <v>58</v>
      </c>
      <c r="D232" s="55">
        <v>52.0</v>
      </c>
      <c r="E232" s="53" t="s">
        <v>451</v>
      </c>
      <c r="F232" s="54" t="s">
        <v>73</v>
      </c>
      <c r="G232" s="57" t="str">
        <f t="shared" si="1"/>
        <v>Aumenta a taxa de sobrevivência do grupo em 10%</v>
      </c>
      <c r="H232" s="60" t="b">
        <v>0</v>
      </c>
      <c r="I232" s="59" t="s">
        <v>206</v>
      </c>
    </row>
    <row r="233">
      <c r="A233" s="61"/>
      <c r="B233" s="63" t="s">
        <v>452</v>
      </c>
      <c r="C233" s="54" t="s">
        <v>58</v>
      </c>
      <c r="D233" s="55">
        <v>54.0</v>
      </c>
      <c r="E233" s="53" t="s">
        <v>199</v>
      </c>
      <c r="F233" s="54" t="s">
        <v>118</v>
      </c>
      <c r="G233" s="57" t="str">
        <f t="shared" si="1"/>
        <v>Impede que o equipamento de um companheiro se quebre 3 vezes</v>
      </c>
      <c r="H233" s="60" t="b">
        <v>0</v>
      </c>
      <c r="I233" s="59" t="s">
        <v>383</v>
      </c>
    </row>
    <row r="234">
      <c r="A234" s="61"/>
      <c r="B234" s="53" t="s">
        <v>453</v>
      </c>
      <c r="C234" s="54" t="s">
        <v>58</v>
      </c>
      <c r="D234" s="55">
        <v>55.0</v>
      </c>
      <c r="E234" s="53" t="s">
        <v>451</v>
      </c>
      <c r="F234" s="54" t="s">
        <v>118</v>
      </c>
      <c r="G234" s="57" t="str">
        <f t="shared" si="1"/>
        <v>Aumenta a taxa de sobrevivência do grupo em 10%</v>
      </c>
      <c r="H234" s="58" t="b">
        <v>1</v>
      </c>
      <c r="I234" s="59" t="s">
        <v>122</v>
      </c>
    </row>
    <row r="235">
      <c r="A235" s="61"/>
      <c r="B235" s="63" t="s">
        <v>454</v>
      </c>
      <c r="C235" s="54" t="s">
        <v>39</v>
      </c>
      <c r="D235" s="55">
        <v>7.0</v>
      </c>
      <c r="E235" s="53" t="s">
        <v>231</v>
      </c>
      <c r="F235" s="54" t="s">
        <v>73</v>
      </c>
      <c r="G235" s="57" t="str">
        <f t="shared" si="1"/>
        <v>Reduz o tempo de cura de companheiros em 10%</v>
      </c>
      <c r="H235" s="60" t="b">
        <v>0</v>
      </c>
      <c r="I235" s="59" t="s">
        <v>240</v>
      </c>
    </row>
    <row r="236">
      <c r="A236" s="61"/>
      <c r="B236" s="63" t="s">
        <v>455</v>
      </c>
      <c r="C236" s="54" t="s">
        <v>39</v>
      </c>
      <c r="D236" s="55">
        <v>11.0</v>
      </c>
      <c r="E236" s="53" t="s">
        <v>86</v>
      </c>
      <c r="F236" s="54" t="s">
        <v>73</v>
      </c>
      <c r="G236" s="57" t="str">
        <f t="shared" si="1"/>
        <v>Aumenta a taxa de sobrevivência de membros masculinos do grupo em 5%</v>
      </c>
      <c r="H236" s="60" t="b">
        <v>0</v>
      </c>
      <c r="I236" s="59" t="s">
        <v>331</v>
      </c>
    </row>
    <row r="237">
      <c r="A237" s="61"/>
      <c r="B237" s="53" t="s">
        <v>456</v>
      </c>
      <c r="C237" s="54" t="s">
        <v>39</v>
      </c>
      <c r="D237" s="54">
        <v>12.0</v>
      </c>
      <c r="E237" s="53" t="s">
        <v>83</v>
      </c>
      <c r="F237" s="54" t="s">
        <v>77</v>
      </c>
      <c r="G237" s="57" t="str">
        <f t="shared" si="1"/>
        <v>Aumenta o número máximo de artefatos e itens de raid encontrados em +2</v>
      </c>
      <c r="H237" s="58" t="b">
        <v>1</v>
      </c>
      <c r="I237" s="59" t="s">
        <v>78</v>
      </c>
    </row>
    <row r="238">
      <c r="A238" s="61"/>
      <c r="B238" s="63" t="s">
        <v>457</v>
      </c>
      <c r="C238" s="54" t="s">
        <v>39</v>
      </c>
      <c r="D238" s="55">
        <v>14.0</v>
      </c>
      <c r="E238" s="53" t="s">
        <v>154</v>
      </c>
      <c r="F238" s="54" t="s">
        <v>73</v>
      </c>
      <c r="G238" s="57" t="str">
        <f t="shared" si="1"/>
        <v>Aumenta a força em 35%</v>
      </c>
      <c r="H238" s="60" t="b">
        <v>0</v>
      </c>
      <c r="I238" s="59" t="s">
        <v>238</v>
      </c>
    </row>
    <row r="239">
      <c r="A239" s="61"/>
      <c r="B239" s="53" t="s">
        <v>458</v>
      </c>
      <c r="C239" s="54" t="s">
        <v>39</v>
      </c>
      <c r="D239" s="54">
        <v>19.0</v>
      </c>
      <c r="E239" s="53" t="s">
        <v>328</v>
      </c>
      <c r="F239" s="54" t="s">
        <v>77</v>
      </c>
      <c r="G239" s="57" t="str">
        <f t="shared" si="1"/>
        <v>Aumenta a força do equipamento em 10%</v>
      </c>
      <c r="H239" s="58" t="b">
        <v>1</v>
      </c>
      <c r="I239" s="59" t="s">
        <v>139</v>
      </c>
    </row>
    <row r="240">
      <c r="A240" s="61"/>
      <c r="B240" s="53" t="s">
        <v>459</v>
      </c>
      <c r="C240" s="54" t="s">
        <v>39</v>
      </c>
      <c r="D240" s="55">
        <v>22.0</v>
      </c>
      <c r="E240" s="53" t="s">
        <v>325</v>
      </c>
      <c r="F240" s="54" t="s">
        <v>77</v>
      </c>
      <c r="G240" s="57" t="str">
        <f t="shared" si="1"/>
        <v>100% de bônus de experiência</v>
      </c>
      <c r="H240" s="58" t="b">
        <v>1</v>
      </c>
      <c r="I240" s="59" t="s">
        <v>460</v>
      </c>
    </row>
    <row r="241">
      <c r="A241" s="61"/>
      <c r="B241" s="53" t="s">
        <v>461</v>
      </c>
      <c r="C241" s="54" t="s">
        <v>39</v>
      </c>
      <c r="D241" s="54">
        <v>26.0</v>
      </c>
      <c r="E241" s="53" t="s">
        <v>354</v>
      </c>
      <c r="F241" s="54" t="s">
        <v>73</v>
      </c>
      <c r="G241" s="57" t="str">
        <f t="shared" si="1"/>
        <v>Impede que 1 peça de equipamento se quebre durante a missão</v>
      </c>
      <c r="H241" s="58" t="b">
        <v>1</v>
      </c>
      <c r="I241" s="59" t="s">
        <v>87</v>
      </c>
    </row>
    <row r="242">
      <c r="A242" s="61"/>
      <c r="B242" s="53" t="s">
        <v>462</v>
      </c>
      <c r="C242" s="54" t="s">
        <v>39</v>
      </c>
      <c r="D242" s="54">
        <v>30.0</v>
      </c>
      <c r="E242" s="53" t="s">
        <v>231</v>
      </c>
      <c r="F242" s="54" t="s">
        <v>73</v>
      </c>
      <c r="G242" s="57" t="str">
        <f t="shared" si="1"/>
        <v>Reduz o tempo de cura de companheiros em 10%</v>
      </c>
      <c r="H242" s="58" t="b">
        <v>1</v>
      </c>
      <c r="I242" s="59" t="s">
        <v>87</v>
      </c>
    </row>
    <row r="243">
      <c r="A243" s="61"/>
      <c r="B243" s="53" t="s">
        <v>463</v>
      </c>
      <c r="C243" s="54" t="s">
        <v>39</v>
      </c>
      <c r="D243" s="54">
        <v>38.0</v>
      </c>
      <c r="E243" s="53" t="s">
        <v>132</v>
      </c>
      <c r="F243" s="54" t="s">
        <v>97</v>
      </c>
      <c r="G243" s="57" t="str">
        <f t="shared" si="1"/>
        <v>Reduz a duração da missão em 10%</v>
      </c>
      <c r="H243" s="58" t="b">
        <v>1</v>
      </c>
      <c r="I243" s="59" t="s">
        <v>100</v>
      </c>
    </row>
    <row r="244">
      <c r="A244" s="61"/>
      <c r="B244" s="53" t="s">
        <v>464</v>
      </c>
      <c r="C244" s="54" t="s">
        <v>39</v>
      </c>
      <c r="D244" s="54">
        <v>39.0</v>
      </c>
      <c r="E244" s="53" t="s">
        <v>92</v>
      </c>
      <c r="F244" s="54" t="s">
        <v>97</v>
      </c>
      <c r="G244" s="57" t="str">
        <f t="shared" si="1"/>
        <v>Revive um companheiro derrotado 5% das vezes</v>
      </c>
      <c r="H244" s="58" t="b">
        <v>1</v>
      </c>
      <c r="I244" s="59" t="s">
        <v>100</v>
      </c>
    </row>
    <row r="245">
      <c r="A245" s="61"/>
      <c r="B245" s="63" t="s">
        <v>465</v>
      </c>
      <c r="C245" s="54" t="s">
        <v>39</v>
      </c>
      <c r="D245" s="55">
        <v>42.0</v>
      </c>
      <c r="E245" s="53" t="s">
        <v>112</v>
      </c>
      <c r="F245" s="54" t="s">
        <v>118</v>
      </c>
      <c r="G245" s="57" t="str">
        <f t="shared" si="1"/>
        <v>Aumenta a força do equipamento em 20%</v>
      </c>
      <c r="H245" s="60" t="b">
        <v>0</v>
      </c>
      <c r="I245" s="59" t="s">
        <v>351</v>
      </c>
    </row>
    <row r="246">
      <c r="A246" s="61"/>
      <c r="B246" s="53" t="s">
        <v>466</v>
      </c>
      <c r="C246" s="54" t="s">
        <v>39</v>
      </c>
      <c r="D246" s="55">
        <v>44.0</v>
      </c>
      <c r="E246" s="53" t="s">
        <v>388</v>
      </c>
      <c r="F246" s="54" t="s">
        <v>118</v>
      </c>
      <c r="G246" s="57" t="str">
        <f t="shared" si="1"/>
        <v>Aumenta a força em 25%</v>
      </c>
      <c r="H246" s="58" t="b">
        <v>1</v>
      </c>
      <c r="I246" s="59" t="s">
        <v>305</v>
      </c>
    </row>
    <row r="247">
      <c r="A247" s="61"/>
      <c r="B247" s="53" t="s">
        <v>467</v>
      </c>
      <c r="C247" s="54" t="s">
        <v>39</v>
      </c>
      <c r="D247" s="55">
        <v>47.0</v>
      </c>
      <c r="E247" s="53" t="s">
        <v>208</v>
      </c>
      <c r="F247" s="54" t="s">
        <v>73</v>
      </c>
      <c r="G247" s="57" t="str">
        <f t="shared" si="1"/>
        <v>Aumenta a força em 25%</v>
      </c>
      <c r="H247" s="58" t="b">
        <v>1</v>
      </c>
      <c r="I247" s="59" t="s">
        <v>113</v>
      </c>
    </row>
    <row r="248">
      <c r="A248" s="61"/>
      <c r="B248" s="63" t="s">
        <v>468</v>
      </c>
      <c r="C248" s="54" t="s">
        <v>39</v>
      </c>
      <c r="D248" s="55">
        <v>48.0</v>
      </c>
      <c r="E248" s="53" t="s">
        <v>279</v>
      </c>
      <c r="F248" s="54" t="s">
        <v>97</v>
      </c>
      <c r="G248" s="57" t="str">
        <f t="shared" si="1"/>
        <v>Aumenta a taxa de sobrevivência do grupo em 8%</v>
      </c>
      <c r="H248" s="60" t="b">
        <v>0</v>
      </c>
      <c r="I248" s="59" t="s">
        <v>469</v>
      </c>
    </row>
    <row r="249">
      <c r="A249" s="61"/>
      <c r="B249" s="53" t="s">
        <v>470</v>
      </c>
      <c r="C249" s="54" t="s">
        <v>39</v>
      </c>
      <c r="D249" s="55">
        <v>50.0</v>
      </c>
      <c r="E249" s="53" t="s">
        <v>341</v>
      </c>
      <c r="F249" s="54" t="s">
        <v>118</v>
      </c>
      <c r="G249" s="57" t="str">
        <f t="shared" si="1"/>
        <v>Aumenta a taxa de sobrevivência de membros masculinos do grupo em 10%</v>
      </c>
      <c r="H249" s="58" t="b">
        <v>1</v>
      </c>
      <c r="I249" s="59" t="s">
        <v>122</v>
      </c>
    </row>
    <row r="250">
      <c r="A250" s="61"/>
      <c r="B250" s="63" t="s">
        <v>471</v>
      </c>
      <c r="C250" s="54" t="s">
        <v>39</v>
      </c>
      <c r="D250" s="55">
        <v>52.0</v>
      </c>
      <c r="E250" s="53" t="s">
        <v>96</v>
      </c>
      <c r="F250" s="54" t="s">
        <v>118</v>
      </c>
      <c r="G250" s="57" t="str">
        <f t="shared" si="1"/>
        <v>Aumenta o número máximo de artefatos e itens de raid encontrados em +4</v>
      </c>
      <c r="H250" s="58" t="b">
        <v>1</v>
      </c>
      <c r="I250" s="59" t="s">
        <v>122</v>
      </c>
    </row>
    <row r="251">
      <c r="A251" s="61"/>
      <c r="B251" s="53" t="s">
        <v>472</v>
      </c>
      <c r="C251" s="54" t="s">
        <v>39</v>
      </c>
      <c r="D251" s="54">
        <v>53.0</v>
      </c>
      <c r="E251" s="53" t="s">
        <v>154</v>
      </c>
      <c r="F251" s="54" t="s">
        <v>97</v>
      </c>
      <c r="G251" s="57" t="str">
        <f t="shared" si="1"/>
        <v>Aumenta a força em 35%</v>
      </c>
      <c r="H251" s="58" t="b">
        <v>1</v>
      </c>
      <c r="I251" s="59" t="s">
        <v>277</v>
      </c>
    </row>
    <row r="252">
      <c r="A252" s="61"/>
      <c r="B252" s="53" t="s">
        <v>473</v>
      </c>
      <c r="C252" s="54" t="s">
        <v>39</v>
      </c>
      <c r="D252" s="54">
        <v>54.0</v>
      </c>
      <c r="E252" s="53" t="s">
        <v>171</v>
      </c>
      <c r="F252" s="54" t="s">
        <v>118</v>
      </c>
      <c r="G252" s="57" t="str">
        <f t="shared" si="1"/>
        <v>Reduz o tempo de espera depois da missão em 100%</v>
      </c>
      <c r="H252" s="58" t="b">
        <v>1</v>
      </c>
      <c r="I252" s="59" t="s">
        <v>133</v>
      </c>
    </row>
    <row r="253">
      <c r="A253" s="61"/>
      <c r="B253" s="63" t="s">
        <v>474</v>
      </c>
      <c r="C253" s="54" t="s">
        <v>39</v>
      </c>
      <c r="D253" s="55">
        <v>56.0</v>
      </c>
      <c r="E253" s="53" t="s">
        <v>199</v>
      </c>
      <c r="F253" s="54" t="s">
        <v>118</v>
      </c>
      <c r="G253" s="57" t="str">
        <f t="shared" si="1"/>
        <v>Impede que o equipamento de um companheiro se quebre 3 vezes</v>
      </c>
      <c r="H253" s="60" t="b">
        <v>0</v>
      </c>
      <c r="I253" s="59" t="s">
        <v>394</v>
      </c>
    </row>
    <row r="254">
      <c r="A254" s="61"/>
      <c r="B254" s="63" t="s">
        <v>475</v>
      </c>
      <c r="C254" s="54" t="s">
        <v>39</v>
      </c>
      <c r="D254" s="55">
        <v>57.0</v>
      </c>
      <c r="E254" s="53" t="s">
        <v>367</v>
      </c>
      <c r="F254" s="54" t="s">
        <v>118</v>
      </c>
      <c r="G254" s="57" t="str">
        <f t="shared" si="1"/>
        <v>Impede que 3 peças de equipamento se quebre durante a missão</v>
      </c>
      <c r="H254" s="58" t="b">
        <v>1</v>
      </c>
      <c r="I254" s="59" t="s">
        <v>110</v>
      </c>
    </row>
    <row r="255">
      <c r="A255" s="61"/>
      <c r="B255" s="63" t="s">
        <v>476</v>
      </c>
      <c r="C255" s="54" t="s">
        <v>39</v>
      </c>
      <c r="D255" s="55">
        <v>60.0</v>
      </c>
      <c r="E255" s="53" t="s">
        <v>431</v>
      </c>
      <c r="F255" s="54" t="s">
        <v>406</v>
      </c>
      <c r="G255" s="57" t="str">
        <f t="shared" si="1"/>
        <v>Reduz a duração da missão em 25%</v>
      </c>
      <c r="H255" s="60" t="b">
        <v>0</v>
      </c>
      <c r="I255" s="59" t="s">
        <v>407</v>
      </c>
    </row>
    <row r="256">
      <c r="A256" s="61"/>
      <c r="B256" s="53" t="s">
        <v>477</v>
      </c>
      <c r="C256" s="54" t="s">
        <v>52</v>
      </c>
      <c r="D256" s="54">
        <v>9.0</v>
      </c>
      <c r="E256" s="53" t="s">
        <v>412</v>
      </c>
      <c r="F256" s="54" t="s">
        <v>77</v>
      </c>
      <c r="G256" s="57" t="str">
        <f t="shared" si="1"/>
        <v>Aumenta a força 25% das vezes</v>
      </c>
      <c r="H256" s="54" t="b">
        <v>1</v>
      </c>
      <c r="I256" s="59" t="s">
        <v>136</v>
      </c>
    </row>
    <row r="257">
      <c r="A257" s="61"/>
      <c r="B257" s="63" t="s">
        <v>478</v>
      </c>
      <c r="C257" s="54" t="s">
        <v>52</v>
      </c>
      <c r="D257" s="55">
        <v>13.0</v>
      </c>
      <c r="E257" s="53" t="s">
        <v>124</v>
      </c>
      <c r="F257" s="54" t="s">
        <v>77</v>
      </c>
      <c r="G257" s="57" t="str">
        <f t="shared" si="1"/>
        <v>Encontra mais 200% de ouro durante as missões</v>
      </c>
      <c r="H257" s="54" t="b">
        <v>1</v>
      </c>
      <c r="I257" s="59" t="s">
        <v>90</v>
      </c>
    </row>
    <row r="258">
      <c r="A258" s="61"/>
      <c r="B258" s="53" t="s">
        <v>479</v>
      </c>
      <c r="C258" s="54" t="s">
        <v>52</v>
      </c>
      <c r="D258" s="54">
        <v>15.0</v>
      </c>
      <c r="E258" s="53" t="s">
        <v>158</v>
      </c>
      <c r="F258" s="54" t="s">
        <v>73</v>
      </c>
      <c r="G258" s="57" t="str">
        <f t="shared" si="1"/>
        <v>25% de bônus de experiência</v>
      </c>
      <c r="H258" s="54" t="b">
        <v>1</v>
      </c>
      <c r="I258" s="59" t="s">
        <v>78</v>
      </c>
    </row>
    <row r="259">
      <c r="A259" s="61"/>
      <c r="B259" s="53" t="s">
        <v>480</v>
      </c>
      <c r="C259" s="54" t="s">
        <v>52</v>
      </c>
      <c r="D259" s="54">
        <v>18.0</v>
      </c>
      <c r="E259" s="53" t="s">
        <v>328</v>
      </c>
      <c r="F259" s="54" t="s">
        <v>77</v>
      </c>
      <c r="G259" s="57" t="str">
        <f t="shared" si="1"/>
        <v>Aumenta a força do equipamento em 10%</v>
      </c>
      <c r="H259" s="54" t="b">
        <v>1</v>
      </c>
      <c r="I259" s="59" t="s">
        <v>139</v>
      </c>
    </row>
    <row r="260">
      <c r="A260" s="61"/>
      <c r="B260" s="53" t="s">
        <v>481</v>
      </c>
      <c r="C260" s="54" t="s">
        <v>52</v>
      </c>
      <c r="D260" s="55">
        <v>36.0</v>
      </c>
      <c r="E260" s="53" t="s">
        <v>210</v>
      </c>
      <c r="F260" s="54" t="s">
        <v>73</v>
      </c>
      <c r="G260" s="57" t="str">
        <f t="shared" si="1"/>
        <v>Aumenta a força dos feiticeiros do grupo em 10%</v>
      </c>
      <c r="H260" s="54" t="b">
        <v>1</v>
      </c>
      <c r="I260" s="59" t="s">
        <v>100</v>
      </c>
    </row>
    <row r="261">
      <c r="A261" s="61"/>
      <c r="B261" s="53" t="s">
        <v>482</v>
      </c>
      <c r="C261" s="54" t="s">
        <v>52</v>
      </c>
      <c r="D261" s="55">
        <v>38.0</v>
      </c>
      <c r="E261" s="53" t="s">
        <v>138</v>
      </c>
      <c r="F261" s="54" t="s">
        <v>97</v>
      </c>
      <c r="G261" s="57" t="str">
        <f t="shared" si="1"/>
        <v>Evita ferimentos 10% das vezes</v>
      </c>
      <c r="H261" s="54" t="b">
        <v>1</v>
      </c>
      <c r="I261" s="59" t="s">
        <v>100</v>
      </c>
    </row>
    <row r="262">
      <c r="A262" s="61"/>
      <c r="B262" s="63" t="s">
        <v>483</v>
      </c>
      <c r="C262" s="54" t="s">
        <v>52</v>
      </c>
      <c r="D262" s="55">
        <v>38.0</v>
      </c>
      <c r="E262" s="53" t="s">
        <v>484</v>
      </c>
      <c r="F262" s="54" t="s">
        <v>97</v>
      </c>
      <c r="G262" s="57" t="str">
        <f t="shared" si="1"/>
        <v>Aumenta o número mínimo de itens e artefatos encontrados em +2</v>
      </c>
      <c r="H262" s="54" t="b">
        <v>1</v>
      </c>
      <c r="I262" s="59" t="s">
        <v>485</v>
      </c>
    </row>
    <row r="263">
      <c r="A263" s="61"/>
      <c r="B263" s="53" t="s">
        <v>486</v>
      </c>
      <c r="C263" s="54" t="s">
        <v>52</v>
      </c>
      <c r="D263" s="55">
        <v>39.0</v>
      </c>
      <c r="E263" s="53" t="s">
        <v>94</v>
      </c>
      <c r="F263" s="54" t="s">
        <v>97</v>
      </c>
      <c r="G263" s="57" t="str">
        <f t="shared" si="1"/>
        <v>Aumenta a taxa de sobrevivência de membros femininos do grupo em 5%</v>
      </c>
      <c r="H263" s="54" t="b">
        <v>1</v>
      </c>
      <c r="I263" s="59" t="s">
        <v>100</v>
      </c>
    </row>
    <row r="264">
      <c r="A264" s="61"/>
      <c r="B264" s="53" t="s">
        <v>487</v>
      </c>
      <c r="C264" s="54" t="s">
        <v>52</v>
      </c>
      <c r="D264" s="55">
        <v>40.0</v>
      </c>
      <c r="E264" s="53" t="s">
        <v>308</v>
      </c>
      <c r="F264" s="54" t="s">
        <v>97</v>
      </c>
      <c r="G264" s="57" t="str">
        <f t="shared" si="1"/>
        <v>Impede que o equipamento de um companheiro se quebre 2 vezes</v>
      </c>
      <c r="H264" s="54" t="b">
        <v>1</v>
      </c>
      <c r="I264" s="59" t="s">
        <v>426</v>
      </c>
    </row>
    <row r="265">
      <c r="A265" s="61"/>
      <c r="B265" s="53" t="s">
        <v>488</v>
      </c>
      <c r="C265" s="54" t="s">
        <v>52</v>
      </c>
      <c r="D265" s="54">
        <v>45.0</v>
      </c>
      <c r="E265" s="53" t="s">
        <v>72</v>
      </c>
      <c r="F265" s="54" t="s">
        <v>97</v>
      </c>
      <c r="G265" s="57" t="str">
        <f t="shared" si="1"/>
        <v>Aumenta a força em 40%</v>
      </c>
      <c r="H265" s="54" t="b">
        <v>1</v>
      </c>
      <c r="I265" s="59" t="s">
        <v>113</v>
      </c>
    </row>
    <row r="266">
      <c r="A266" s="61"/>
      <c r="B266" s="63" t="s">
        <v>489</v>
      </c>
      <c r="C266" s="54" t="s">
        <v>52</v>
      </c>
      <c r="D266" s="55">
        <v>46.0</v>
      </c>
      <c r="E266" s="53" t="s">
        <v>129</v>
      </c>
      <c r="F266" s="54" t="s">
        <v>118</v>
      </c>
      <c r="G266" s="57" t="str">
        <f t="shared" si="1"/>
        <v>Aumenta o número máximo de artefatos e itens de raid encontrados por cada membro do grupo em +2</v>
      </c>
      <c r="H266" s="54" t="b">
        <v>1</v>
      </c>
      <c r="I266" s="59" t="s">
        <v>74</v>
      </c>
    </row>
    <row r="267">
      <c r="A267" s="61"/>
      <c r="B267" s="53" t="s">
        <v>490</v>
      </c>
      <c r="C267" s="54" t="s">
        <v>52</v>
      </c>
      <c r="D267" s="54">
        <v>49.0</v>
      </c>
      <c r="E267" s="53" t="s">
        <v>106</v>
      </c>
      <c r="F267" s="54" t="s">
        <v>118</v>
      </c>
      <c r="G267" s="57" t="str">
        <f t="shared" si="1"/>
        <v>Revive um companheiro derrotado 10% das vezes</v>
      </c>
      <c r="H267" s="54" t="b">
        <v>1</v>
      </c>
      <c r="I267" s="59" t="s">
        <v>161</v>
      </c>
    </row>
    <row r="268">
      <c r="A268" s="61"/>
      <c r="B268" s="63" t="s">
        <v>491</v>
      </c>
      <c r="C268" s="54" t="s">
        <v>52</v>
      </c>
      <c r="D268" s="55">
        <v>50.0</v>
      </c>
      <c r="E268" s="53" t="s">
        <v>347</v>
      </c>
      <c r="F268" s="54" t="s">
        <v>97</v>
      </c>
      <c r="G268" s="57" t="str">
        <f t="shared" si="1"/>
        <v>Aumenta a força dos guerreiros do grupo em 50%</v>
      </c>
      <c r="H268" s="65" t="b">
        <v>0</v>
      </c>
      <c r="I268" s="59" t="s">
        <v>98</v>
      </c>
    </row>
    <row r="269">
      <c r="A269" s="61"/>
      <c r="B269" s="53" t="s">
        <v>492</v>
      </c>
      <c r="C269" s="54" t="s">
        <v>52</v>
      </c>
      <c r="D269" s="55">
        <v>52.0</v>
      </c>
      <c r="E269" s="53" t="s">
        <v>143</v>
      </c>
      <c r="F269" s="54" t="s">
        <v>118</v>
      </c>
      <c r="G269" s="57" t="str">
        <f t="shared" si="1"/>
        <v>Evita ferimentos 20% das vezes</v>
      </c>
      <c r="H269" s="54" t="b">
        <v>1</v>
      </c>
      <c r="I269" s="59" t="s">
        <v>122</v>
      </c>
    </row>
    <row r="270">
      <c r="A270" s="61"/>
      <c r="B270" s="63" t="s">
        <v>493</v>
      </c>
      <c r="C270" s="54" t="s">
        <v>52</v>
      </c>
      <c r="D270" s="55">
        <v>56.0</v>
      </c>
      <c r="E270" s="53" t="s">
        <v>494</v>
      </c>
      <c r="F270" s="54" t="s">
        <v>73</v>
      </c>
      <c r="G270" s="57" t="str">
        <f t="shared" si="1"/>
        <v>Aumenta a força do equipamento em 50%</v>
      </c>
      <c r="H270" s="54" t="b">
        <v>1</v>
      </c>
      <c r="I270" s="59" t="s">
        <v>110</v>
      </c>
    </row>
    <row r="271">
      <c r="A271" s="61"/>
      <c r="B271" s="53" t="s">
        <v>495</v>
      </c>
      <c r="C271" s="54" t="s">
        <v>52</v>
      </c>
      <c r="D271" s="54">
        <v>58.0</v>
      </c>
      <c r="E271" s="53" t="s">
        <v>197</v>
      </c>
      <c r="F271" s="54" t="s">
        <v>97</v>
      </c>
      <c r="G271" s="57" t="str">
        <f t="shared" si="1"/>
        <v>Revive um companheiro derrotado 15% das vezes</v>
      </c>
      <c r="H271" s="54" t="b">
        <v>1</v>
      </c>
      <c r="I271" s="59" t="s">
        <v>256</v>
      </c>
    </row>
    <row r="272">
      <c r="A272" s="61"/>
      <c r="B272" s="53" t="s">
        <v>496</v>
      </c>
      <c r="C272" s="54" t="s">
        <v>42</v>
      </c>
      <c r="D272" s="54">
        <v>10.0</v>
      </c>
      <c r="E272" s="53" t="s">
        <v>135</v>
      </c>
      <c r="F272" s="54" t="s">
        <v>262</v>
      </c>
      <c r="G272" s="57" t="str">
        <f t="shared" si="1"/>
        <v>Reduz o tempo de espera depois da missão em 50%</v>
      </c>
      <c r="H272" s="54" t="b">
        <v>1</v>
      </c>
      <c r="I272" s="59" t="s">
        <v>78</v>
      </c>
    </row>
    <row r="273">
      <c r="A273" s="61"/>
      <c r="B273" s="53" t="s">
        <v>497</v>
      </c>
      <c r="C273" s="54" t="s">
        <v>42</v>
      </c>
      <c r="D273" s="54">
        <v>23.0</v>
      </c>
      <c r="E273" s="53" t="s">
        <v>388</v>
      </c>
      <c r="F273" s="54" t="s">
        <v>77</v>
      </c>
      <c r="G273" s="57" t="str">
        <f t="shared" si="1"/>
        <v>Aumenta a força em 25%</v>
      </c>
      <c r="H273" s="54" t="b">
        <v>1</v>
      </c>
      <c r="I273" s="59" t="s">
        <v>139</v>
      </c>
    </row>
    <row r="274">
      <c r="A274" s="61"/>
      <c r="B274" s="53" t="s">
        <v>498</v>
      </c>
      <c r="C274" s="54" t="s">
        <v>42</v>
      </c>
      <c r="D274" s="54">
        <v>25.0</v>
      </c>
      <c r="E274" s="53" t="s">
        <v>177</v>
      </c>
      <c r="F274" s="54" t="s">
        <v>73</v>
      </c>
      <c r="G274" s="57" t="str">
        <f t="shared" si="1"/>
        <v>Obtém pelo menos 25% de experiência quando ferido e a missão é bem sucedida</v>
      </c>
      <c r="H274" s="54" t="b">
        <v>1</v>
      </c>
      <c r="I274" s="59" t="s">
        <v>87</v>
      </c>
    </row>
    <row r="275">
      <c r="A275" s="61"/>
      <c r="B275" s="53" t="s">
        <v>499</v>
      </c>
      <c r="C275" s="54" t="s">
        <v>42</v>
      </c>
      <c r="D275" s="54">
        <v>32.0</v>
      </c>
      <c r="E275" s="53" t="s">
        <v>94</v>
      </c>
      <c r="F275" s="54" t="s">
        <v>73</v>
      </c>
      <c r="G275" s="57" t="str">
        <f t="shared" si="1"/>
        <v>Aumenta a taxa de sobrevivência de membros femininos do grupo em 5%</v>
      </c>
      <c r="H275" s="54" t="b">
        <v>1</v>
      </c>
      <c r="I275" s="59" t="s">
        <v>87</v>
      </c>
    </row>
    <row r="276">
      <c r="A276" s="61"/>
      <c r="B276" s="53" t="s">
        <v>500</v>
      </c>
      <c r="C276" s="54" t="s">
        <v>42</v>
      </c>
      <c r="D276" s="54">
        <v>38.0</v>
      </c>
      <c r="E276" s="53" t="s">
        <v>86</v>
      </c>
      <c r="F276" s="54" t="s">
        <v>97</v>
      </c>
      <c r="G276" s="57" t="str">
        <f t="shared" si="1"/>
        <v>Aumenta a taxa de sobrevivência de membros masculinos do grupo em 5%</v>
      </c>
      <c r="H276" s="54" t="b">
        <v>1</v>
      </c>
      <c r="I276" s="59" t="s">
        <v>100</v>
      </c>
    </row>
    <row r="277">
      <c r="A277" s="61"/>
      <c r="B277" s="53" t="s">
        <v>501</v>
      </c>
      <c r="C277" s="54" t="s">
        <v>42</v>
      </c>
      <c r="D277" s="54">
        <v>40.0</v>
      </c>
      <c r="E277" s="53" t="s">
        <v>208</v>
      </c>
      <c r="F277" s="54" t="s">
        <v>97</v>
      </c>
      <c r="G277" s="57" t="str">
        <f t="shared" si="1"/>
        <v>Aumenta a força em 25%</v>
      </c>
      <c r="H277" s="54" t="b">
        <v>1</v>
      </c>
      <c r="I277" s="59" t="s">
        <v>100</v>
      </c>
    </row>
    <row r="278">
      <c r="A278" s="61"/>
      <c r="B278" s="53" t="s">
        <v>502</v>
      </c>
      <c r="C278" s="54" t="s">
        <v>42</v>
      </c>
      <c r="D278" s="55">
        <v>43.0</v>
      </c>
      <c r="E278" s="53" t="s">
        <v>124</v>
      </c>
      <c r="F278" s="54" t="s">
        <v>77</v>
      </c>
      <c r="G278" s="57" t="str">
        <f t="shared" si="1"/>
        <v>Encontra mais 200% de ouro durante as missões</v>
      </c>
      <c r="H278" s="54" t="b">
        <v>0</v>
      </c>
      <c r="I278" s="59" t="s">
        <v>195</v>
      </c>
    </row>
    <row r="279">
      <c r="A279" s="61"/>
      <c r="B279" s="63" t="s">
        <v>503</v>
      </c>
      <c r="C279" s="54" t="s">
        <v>42</v>
      </c>
      <c r="D279" s="55">
        <v>44.0</v>
      </c>
      <c r="E279" s="53" t="s">
        <v>374</v>
      </c>
      <c r="F279" s="54" t="s">
        <v>97</v>
      </c>
      <c r="G279" s="57" t="str">
        <f t="shared" si="1"/>
        <v>Encontra mais 100% de ouro durante as missões</v>
      </c>
      <c r="H279" s="54" t="b">
        <v>0</v>
      </c>
      <c r="I279" s="59" t="s">
        <v>311</v>
      </c>
    </row>
    <row r="280">
      <c r="A280" s="61"/>
      <c r="B280" s="63" t="s">
        <v>504</v>
      </c>
      <c r="C280" s="54" t="s">
        <v>42</v>
      </c>
      <c r="D280" s="55">
        <v>47.0</v>
      </c>
      <c r="E280" s="53" t="s">
        <v>249</v>
      </c>
      <c r="F280" s="54" t="s">
        <v>118</v>
      </c>
      <c r="G280" s="57" t="str">
        <f t="shared" si="1"/>
        <v>Reduz o tempo de espera depois da missão em 75%</v>
      </c>
      <c r="H280" s="54" t="b">
        <v>0</v>
      </c>
      <c r="I280" s="59" t="s">
        <v>505</v>
      </c>
    </row>
    <row r="281">
      <c r="A281" s="61"/>
      <c r="B281" s="53" t="s">
        <v>506</v>
      </c>
      <c r="C281" s="54" t="s">
        <v>42</v>
      </c>
      <c r="D281" s="55">
        <v>48.0</v>
      </c>
      <c r="E281" s="53" t="s">
        <v>154</v>
      </c>
      <c r="F281" s="54" t="s">
        <v>118</v>
      </c>
      <c r="G281" s="57" t="str">
        <f t="shared" si="1"/>
        <v>Aumenta a força em 35%</v>
      </c>
      <c r="H281" s="54" t="b">
        <v>1</v>
      </c>
      <c r="I281" s="59" t="s">
        <v>122</v>
      </c>
    </row>
    <row r="282">
      <c r="A282" s="61"/>
      <c r="B282" s="53" t="s">
        <v>507</v>
      </c>
      <c r="C282" s="54" t="s">
        <v>42</v>
      </c>
      <c r="D282" s="54">
        <v>50.0</v>
      </c>
      <c r="E282" s="53" t="s">
        <v>285</v>
      </c>
      <c r="F282" s="54" t="s">
        <v>97</v>
      </c>
      <c r="G282" s="57" t="str">
        <f t="shared" si="1"/>
        <v>Evita ferimentos 15% das vezes</v>
      </c>
      <c r="H282" s="54" t="b">
        <v>1</v>
      </c>
      <c r="I282" s="59" t="s">
        <v>161</v>
      </c>
    </row>
    <row r="283">
      <c r="A283" s="61"/>
      <c r="B283" s="53" t="s">
        <v>508</v>
      </c>
      <c r="C283" s="54" t="s">
        <v>42</v>
      </c>
      <c r="D283" s="55">
        <v>51.0</v>
      </c>
      <c r="E283" s="53" t="s">
        <v>129</v>
      </c>
      <c r="F283" s="54" t="s">
        <v>97</v>
      </c>
      <c r="G283" s="57" t="str">
        <f t="shared" si="1"/>
        <v>Aumenta o número máximo de artefatos e itens de raid encontrados por cada membro do grupo em +2</v>
      </c>
      <c r="H283" s="54" t="b">
        <v>1</v>
      </c>
      <c r="I283" s="59" t="s">
        <v>215</v>
      </c>
    </row>
    <row r="284">
      <c r="A284" s="61"/>
      <c r="B284" s="63" t="s">
        <v>509</v>
      </c>
      <c r="C284" s="54" t="s">
        <v>42</v>
      </c>
      <c r="D284" s="55">
        <v>53.0</v>
      </c>
      <c r="E284" s="53" t="s">
        <v>341</v>
      </c>
      <c r="F284" s="54" t="s">
        <v>118</v>
      </c>
      <c r="G284" s="57" t="str">
        <f t="shared" si="1"/>
        <v>Aumenta a taxa de sobrevivência de membros masculinos do grupo em 10%</v>
      </c>
      <c r="H284" s="54" t="b">
        <v>1</v>
      </c>
      <c r="I284" s="59" t="s">
        <v>122</v>
      </c>
    </row>
    <row r="285">
      <c r="A285" s="61"/>
      <c r="B285" s="63" t="s">
        <v>510</v>
      </c>
      <c r="C285" s="54" t="s">
        <v>42</v>
      </c>
      <c r="D285" s="55">
        <v>54.0</v>
      </c>
      <c r="E285" s="53" t="s">
        <v>109</v>
      </c>
      <c r="F285" s="54" t="s">
        <v>118</v>
      </c>
      <c r="G285" s="57" t="str">
        <f t="shared" si="1"/>
        <v>Aumenta o número máximo de artefatos e itens de raid encontrados por cada membro do grupo em +1</v>
      </c>
      <c r="H285" s="54" t="b">
        <v>0</v>
      </c>
      <c r="I285" s="59" t="s">
        <v>415</v>
      </c>
    </row>
    <row r="286">
      <c r="A286" s="61"/>
      <c r="B286" s="53" t="s">
        <v>511</v>
      </c>
      <c r="C286" s="54" t="s">
        <v>53</v>
      </c>
      <c r="D286" s="54">
        <v>10.0</v>
      </c>
      <c r="E286" s="53" t="s">
        <v>132</v>
      </c>
      <c r="F286" s="54" t="s">
        <v>77</v>
      </c>
      <c r="G286" s="57" t="str">
        <f t="shared" si="1"/>
        <v>Reduz a duração da missão em 10%</v>
      </c>
      <c r="H286" s="54" t="b">
        <v>1</v>
      </c>
      <c r="I286" s="59" t="s">
        <v>78</v>
      </c>
    </row>
    <row r="287">
      <c r="A287" s="61"/>
      <c r="B287" s="53" t="s">
        <v>512</v>
      </c>
      <c r="C287" s="54" t="s">
        <v>53</v>
      </c>
      <c r="D287" s="55">
        <v>17.0</v>
      </c>
      <c r="E287" s="53" t="s">
        <v>80</v>
      </c>
      <c r="F287" s="54" t="s">
        <v>77</v>
      </c>
      <c r="G287" s="57" t="str">
        <f t="shared" si="1"/>
        <v>Aumenta o número de companheiros em +1</v>
      </c>
      <c r="H287" s="54" t="b">
        <v>1</v>
      </c>
      <c r="I287" s="59" t="s">
        <v>513</v>
      </c>
    </row>
    <row r="288">
      <c r="A288" s="61"/>
      <c r="B288" s="53" t="s">
        <v>514</v>
      </c>
      <c r="C288" s="54" t="s">
        <v>53</v>
      </c>
      <c r="D288" s="54">
        <v>20.0</v>
      </c>
      <c r="E288" s="53" t="s">
        <v>361</v>
      </c>
      <c r="F288" s="54" t="s">
        <v>77</v>
      </c>
      <c r="G288" s="57" t="str">
        <f t="shared" si="1"/>
        <v>Aumenta a defesa do equipamento em 10%</v>
      </c>
      <c r="H288" s="54" t="b">
        <v>1</v>
      </c>
      <c r="I288" s="59" t="s">
        <v>139</v>
      </c>
    </row>
    <row r="289">
      <c r="A289" s="61"/>
      <c r="B289" s="53" t="s">
        <v>515</v>
      </c>
      <c r="C289" s="54" t="s">
        <v>53</v>
      </c>
      <c r="D289" s="54">
        <v>25.0</v>
      </c>
      <c r="E289" s="53" t="s">
        <v>185</v>
      </c>
      <c r="F289" s="54" t="s">
        <v>73</v>
      </c>
      <c r="G289" s="57" t="str">
        <f t="shared" si="1"/>
        <v>Aumenta a força dos guerreiros do grupo em 15%</v>
      </c>
      <c r="H289" s="54" t="b">
        <v>1</v>
      </c>
      <c r="I289" s="59" t="s">
        <v>87</v>
      </c>
    </row>
    <row r="290">
      <c r="A290" s="61"/>
      <c r="B290" s="53" t="s">
        <v>516</v>
      </c>
      <c r="C290" s="54" t="s">
        <v>53</v>
      </c>
      <c r="D290" s="54">
        <v>32.0</v>
      </c>
      <c r="E290" s="53" t="s">
        <v>354</v>
      </c>
      <c r="F290" s="54" t="s">
        <v>73</v>
      </c>
      <c r="G290" s="57" t="str">
        <f t="shared" si="1"/>
        <v>Impede que 1 peça de equipamento se quebre durante a missão</v>
      </c>
      <c r="H290" s="54" t="b">
        <v>1</v>
      </c>
      <c r="I290" s="59" t="s">
        <v>87</v>
      </c>
    </row>
    <row r="291">
      <c r="A291" s="61"/>
      <c r="B291" s="63" t="s">
        <v>517</v>
      </c>
      <c r="C291" s="54" t="s">
        <v>53</v>
      </c>
      <c r="D291" s="55">
        <v>34.0</v>
      </c>
      <c r="E291" s="53" t="s">
        <v>115</v>
      </c>
      <c r="F291" s="54" t="s">
        <v>97</v>
      </c>
      <c r="G291" s="57" t="str">
        <f t="shared" si="1"/>
        <v>Aumenta a taxa de sobrevivência do grupo em 5%</v>
      </c>
      <c r="H291" s="65" t="b">
        <v>0</v>
      </c>
      <c r="I291" s="59" t="s">
        <v>233</v>
      </c>
    </row>
    <row r="292">
      <c r="A292" s="61"/>
      <c r="B292" s="53" t="s">
        <v>518</v>
      </c>
      <c r="C292" s="54" t="s">
        <v>53</v>
      </c>
      <c r="D292" s="54">
        <v>38.0</v>
      </c>
      <c r="E292" s="53" t="s">
        <v>212</v>
      </c>
      <c r="F292" s="54" t="s">
        <v>97</v>
      </c>
      <c r="G292" s="57" t="str">
        <f t="shared" si="1"/>
        <v>Aumenta a força em 25%</v>
      </c>
      <c r="H292" s="54" t="b">
        <v>1</v>
      </c>
      <c r="I292" s="59" t="s">
        <v>100</v>
      </c>
    </row>
    <row r="293">
      <c r="A293" s="61"/>
      <c r="B293" s="63" t="s">
        <v>519</v>
      </c>
      <c r="C293" s="54" t="s">
        <v>53</v>
      </c>
      <c r="D293" s="55">
        <v>39.0</v>
      </c>
      <c r="E293" s="53" t="s">
        <v>96</v>
      </c>
      <c r="F293" s="54" t="s">
        <v>73</v>
      </c>
      <c r="G293" s="57" t="str">
        <f t="shared" si="1"/>
        <v>Aumenta o número máximo de artefatos e itens de raid encontrados em +4</v>
      </c>
      <c r="H293" s="65" t="b">
        <v>0</v>
      </c>
      <c r="I293" s="59" t="s">
        <v>321</v>
      </c>
    </row>
    <row r="294">
      <c r="A294" s="61"/>
      <c r="B294" s="53" t="s">
        <v>520</v>
      </c>
      <c r="C294" s="54" t="s">
        <v>53</v>
      </c>
      <c r="D294" s="55">
        <v>40.0</v>
      </c>
      <c r="E294" s="53" t="s">
        <v>187</v>
      </c>
      <c r="F294" s="54" t="s">
        <v>97</v>
      </c>
      <c r="G294" s="57" t="str">
        <f t="shared" si="1"/>
        <v>Aumenta a taxa de sobrevivência do grupo em 2%</v>
      </c>
      <c r="H294" s="54" t="b">
        <v>1</v>
      </c>
      <c r="I294" s="59" t="s">
        <v>100</v>
      </c>
    </row>
    <row r="295">
      <c r="A295" s="61"/>
      <c r="B295" s="63" t="s">
        <v>521</v>
      </c>
      <c r="C295" s="54" t="s">
        <v>53</v>
      </c>
      <c r="D295" s="55">
        <v>45.0</v>
      </c>
      <c r="E295" s="53" t="s">
        <v>279</v>
      </c>
      <c r="F295" s="54" t="s">
        <v>118</v>
      </c>
      <c r="G295" s="57" t="str">
        <f t="shared" si="1"/>
        <v>Aumenta a taxa de sobrevivência do grupo em 8%</v>
      </c>
      <c r="H295" s="65" t="b">
        <v>0</v>
      </c>
      <c r="I295" s="59" t="s">
        <v>288</v>
      </c>
    </row>
    <row r="296">
      <c r="A296" s="61"/>
      <c r="B296" s="53" t="s">
        <v>522</v>
      </c>
      <c r="C296" s="54" t="s">
        <v>53</v>
      </c>
      <c r="D296" s="55">
        <v>46.0</v>
      </c>
      <c r="E296" s="53" t="s">
        <v>154</v>
      </c>
      <c r="F296" s="54" t="s">
        <v>73</v>
      </c>
      <c r="G296" s="57" t="str">
        <f t="shared" si="1"/>
        <v>Aumenta a força em 35%</v>
      </c>
      <c r="H296" s="54" t="b">
        <v>1</v>
      </c>
      <c r="I296" s="59" t="s">
        <v>113</v>
      </c>
    </row>
    <row r="297">
      <c r="A297" s="61"/>
      <c r="B297" s="63" t="s">
        <v>523</v>
      </c>
      <c r="C297" s="54" t="s">
        <v>53</v>
      </c>
      <c r="D297" s="55">
        <v>47.0</v>
      </c>
      <c r="E297" s="53" t="s">
        <v>167</v>
      </c>
      <c r="F297" s="54" t="s">
        <v>73</v>
      </c>
      <c r="G297" s="57" t="str">
        <f t="shared" si="1"/>
        <v>Impede que 2 peças de equipamento se quebre durante a missão</v>
      </c>
      <c r="H297" s="65" t="b">
        <v>0</v>
      </c>
      <c r="I297" s="59" t="s">
        <v>311</v>
      </c>
    </row>
    <row r="298">
      <c r="A298" s="61"/>
      <c r="B298" s="53" t="s">
        <v>524</v>
      </c>
      <c r="C298" s="54" t="s">
        <v>53</v>
      </c>
      <c r="D298" s="55">
        <v>48.0</v>
      </c>
      <c r="E298" s="53" t="s">
        <v>484</v>
      </c>
      <c r="F298" s="54" t="s">
        <v>73</v>
      </c>
      <c r="G298" s="57" t="str">
        <f t="shared" si="1"/>
        <v>Aumenta o número mínimo de itens e artefatos encontrados em +2</v>
      </c>
      <c r="H298" s="54" t="b">
        <v>1</v>
      </c>
      <c r="I298" s="59" t="s">
        <v>169</v>
      </c>
    </row>
    <row r="299">
      <c r="A299" s="61"/>
      <c r="B299" s="53" t="s">
        <v>525</v>
      </c>
      <c r="C299" s="54" t="s">
        <v>53</v>
      </c>
      <c r="D299" s="55">
        <v>49.0</v>
      </c>
      <c r="E299" s="53" t="s">
        <v>431</v>
      </c>
      <c r="F299" s="54" t="s">
        <v>118</v>
      </c>
      <c r="G299" s="57" t="str">
        <f t="shared" si="1"/>
        <v>Reduz a duração da missão em 25%</v>
      </c>
      <c r="H299" s="54" t="b">
        <v>1</v>
      </c>
      <c r="I299" s="59" t="s">
        <v>122</v>
      </c>
    </row>
    <row r="300">
      <c r="A300" s="61"/>
      <c r="B300" s="53" t="s">
        <v>526</v>
      </c>
      <c r="C300" s="54" t="s">
        <v>53</v>
      </c>
      <c r="D300" s="54">
        <v>50.0</v>
      </c>
      <c r="E300" s="53" t="s">
        <v>129</v>
      </c>
      <c r="F300" s="54" t="s">
        <v>118</v>
      </c>
      <c r="G300" s="57" t="str">
        <f t="shared" si="1"/>
        <v>Aumenta o número máximo de artefatos e itens de raid encontrados por cada membro do grupo em +2</v>
      </c>
      <c r="H300" s="54" t="b">
        <v>1</v>
      </c>
      <c r="I300" s="59" t="s">
        <v>295</v>
      </c>
    </row>
    <row r="301">
      <c r="A301" s="61"/>
      <c r="B301" s="63" t="s">
        <v>527</v>
      </c>
      <c r="C301" s="54" t="s">
        <v>53</v>
      </c>
      <c r="D301" s="55">
        <v>52.0</v>
      </c>
      <c r="E301" s="53" t="s">
        <v>199</v>
      </c>
      <c r="F301" s="54" t="s">
        <v>118</v>
      </c>
      <c r="G301" s="57" t="str">
        <f t="shared" si="1"/>
        <v>Impede que o equipamento de um companheiro se quebre 3 vezes</v>
      </c>
      <c r="H301" s="65" t="b">
        <v>0</v>
      </c>
      <c r="I301" s="59" t="s">
        <v>165</v>
      </c>
    </row>
    <row r="302">
      <c r="A302" s="61"/>
      <c r="B302" s="63" t="s">
        <v>528</v>
      </c>
      <c r="C302" s="54" t="s">
        <v>53</v>
      </c>
      <c r="D302" s="55">
        <v>55.0</v>
      </c>
      <c r="E302" s="53" t="s">
        <v>212</v>
      </c>
      <c r="F302" s="54" t="s">
        <v>73</v>
      </c>
      <c r="G302" s="57" t="str">
        <f t="shared" si="1"/>
        <v>Aumenta a força em 25%</v>
      </c>
      <c r="H302" s="54" t="b">
        <v>1</v>
      </c>
      <c r="I302" s="59" t="s">
        <v>122</v>
      </c>
    </row>
    <row r="303">
      <c r="A303" s="61"/>
      <c r="B303" s="53" t="s">
        <v>529</v>
      </c>
      <c r="C303" s="54" t="s">
        <v>53</v>
      </c>
      <c r="D303" s="54">
        <v>58.0</v>
      </c>
      <c r="E303" s="53" t="s">
        <v>171</v>
      </c>
      <c r="F303" s="54" t="s">
        <v>97</v>
      </c>
      <c r="G303" s="57" t="str">
        <f t="shared" si="1"/>
        <v>Reduz o tempo de espera depois da missão em 100%</v>
      </c>
      <c r="H303" s="54" t="b">
        <v>1</v>
      </c>
      <c r="I303" s="59" t="s">
        <v>215</v>
      </c>
    </row>
    <row r="304">
      <c r="A304" s="61"/>
      <c r="B304" s="53" t="s">
        <v>530</v>
      </c>
      <c r="C304" s="54" t="s">
        <v>41</v>
      </c>
      <c r="D304" s="54">
        <v>8.0</v>
      </c>
      <c r="E304" s="53" t="s">
        <v>212</v>
      </c>
      <c r="F304" s="54" t="s">
        <v>77</v>
      </c>
      <c r="G304" s="57" t="str">
        <f t="shared" si="1"/>
        <v>Aumenta a força em 25%</v>
      </c>
      <c r="H304" s="54" t="b">
        <v>1</v>
      </c>
      <c r="I304" s="59" t="s">
        <v>136</v>
      </c>
    </row>
    <row r="305">
      <c r="A305" s="61"/>
      <c r="B305" s="53" t="s">
        <v>531</v>
      </c>
      <c r="C305" s="54" t="s">
        <v>41</v>
      </c>
      <c r="D305" s="54">
        <v>15.0</v>
      </c>
      <c r="E305" s="53" t="s">
        <v>185</v>
      </c>
      <c r="F305" s="54" t="s">
        <v>77</v>
      </c>
      <c r="G305" s="57" t="str">
        <f t="shared" si="1"/>
        <v>Aumenta a força dos guerreiros do grupo em 15%</v>
      </c>
      <c r="H305" s="54" t="b">
        <v>1</v>
      </c>
      <c r="I305" s="59" t="s">
        <v>78</v>
      </c>
    </row>
    <row r="306">
      <c r="A306" s="61"/>
      <c r="B306" s="53" t="s">
        <v>532</v>
      </c>
      <c r="C306" s="54" t="s">
        <v>41</v>
      </c>
      <c r="D306" s="54">
        <v>22.0</v>
      </c>
      <c r="E306" s="53" t="s">
        <v>86</v>
      </c>
      <c r="F306" s="54" t="s">
        <v>73</v>
      </c>
      <c r="G306" s="57" t="str">
        <f t="shared" si="1"/>
        <v>Aumenta a taxa de sobrevivência de membros masculinos do grupo em 5%</v>
      </c>
      <c r="H306" s="54" t="b">
        <v>1</v>
      </c>
      <c r="I306" s="59" t="s">
        <v>139</v>
      </c>
    </row>
    <row r="307">
      <c r="A307" s="61"/>
      <c r="B307" s="53" t="s">
        <v>533</v>
      </c>
      <c r="C307" s="54" t="s">
        <v>41</v>
      </c>
      <c r="D307" s="55">
        <v>27.0</v>
      </c>
      <c r="E307" s="53" t="s">
        <v>80</v>
      </c>
      <c r="F307" s="54" t="s">
        <v>73</v>
      </c>
      <c r="G307" s="57" t="str">
        <f t="shared" si="1"/>
        <v>Aumenta o número de companheiros em +1</v>
      </c>
      <c r="H307" s="54" t="b">
        <v>1</v>
      </c>
      <c r="I307" s="59" t="s">
        <v>116</v>
      </c>
    </row>
    <row r="308">
      <c r="A308" s="61"/>
      <c r="B308" s="53" t="s">
        <v>534</v>
      </c>
      <c r="C308" s="54" t="s">
        <v>41</v>
      </c>
      <c r="D308" s="54">
        <v>30.0</v>
      </c>
      <c r="E308" s="53" t="s">
        <v>152</v>
      </c>
      <c r="F308" s="54" t="s">
        <v>77</v>
      </c>
      <c r="G308" s="57" t="str">
        <f t="shared" si="1"/>
        <v>Impede que o equipamento de um companheiro se quebre 1 vez</v>
      </c>
      <c r="H308" s="54" t="b">
        <v>1</v>
      </c>
      <c r="I308" s="59" t="s">
        <v>386</v>
      </c>
    </row>
    <row r="309">
      <c r="A309" s="61"/>
      <c r="B309" s="53" t="s">
        <v>535</v>
      </c>
      <c r="C309" s="54" t="s">
        <v>41</v>
      </c>
      <c r="D309" s="54">
        <v>32.0</v>
      </c>
      <c r="E309" s="53" t="s">
        <v>135</v>
      </c>
      <c r="F309" s="54" t="s">
        <v>73</v>
      </c>
      <c r="G309" s="57" t="str">
        <f t="shared" si="1"/>
        <v>Reduz o tempo de espera depois da missão em 50%</v>
      </c>
      <c r="H309" s="54" t="b">
        <v>1</v>
      </c>
      <c r="I309" s="59" t="s">
        <v>87</v>
      </c>
    </row>
    <row r="310">
      <c r="A310" s="61"/>
      <c r="B310" s="53" t="s">
        <v>536</v>
      </c>
      <c r="C310" s="54" t="s">
        <v>41</v>
      </c>
      <c r="D310" s="55">
        <v>38.0</v>
      </c>
      <c r="E310" s="53" t="s">
        <v>138</v>
      </c>
      <c r="F310" s="54" t="s">
        <v>97</v>
      </c>
      <c r="G310" s="57" t="str">
        <f t="shared" si="1"/>
        <v>Evita ferimentos 10% das vezes</v>
      </c>
      <c r="H310" s="54" t="b">
        <v>1</v>
      </c>
      <c r="I310" s="59" t="s">
        <v>100</v>
      </c>
    </row>
    <row r="311">
      <c r="A311" s="61"/>
      <c r="B311" s="53" t="s">
        <v>537</v>
      </c>
      <c r="C311" s="54" t="s">
        <v>41</v>
      </c>
      <c r="D311" s="55">
        <v>40.0</v>
      </c>
      <c r="E311" s="53" t="s">
        <v>212</v>
      </c>
      <c r="F311" s="54" t="s">
        <v>97</v>
      </c>
      <c r="G311" s="57" t="str">
        <f t="shared" si="1"/>
        <v>Aumenta a força em 25%</v>
      </c>
      <c r="H311" s="54" t="b">
        <v>1</v>
      </c>
      <c r="I311" s="59" t="s">
        <v>100</v>
      </c>
    </row>
    <row r="312">
      <c r="A312" s="61"/>
      <c r="B312" s="63" t="s">
        <v>538</v>
      </c>
      <c r="C312" s="54" t="s">
        <v>41</v>
      </c>
      <c r="D312" s="55">
        <v>46.0</v>
      </c>
      <c r="E312" s="53" t="s">
        <v>106</v>
      </c>
      <c r="F312" s="54" t="s">
        <v>97</v>
      </c>
      <c r="G312" s="57" t="str">
        <f t="shared" si="1"/>
        <v>Revive um companheiro derrotado 10% das vezes</v>
      </c>
      <c r="H312" s="65" t="b">
        <v>0</v>
      </c>
      <c r="I312" s="59" t="s">
        <v>259</v>
      </c>
    </row>
    <row r="313">
      <c r="A313" s="61"/>
      <c r="B313" s="53" t="s">
        <v>539</v>
      </c>
      <c r="C313" s="54" t="s">
        <v>41</v>
      </c>
      <c r="D313" s="54">
        <v>48.0</v>
      </c>
      <c r="E313" s="53" t="s">
        <v>212</v>
      </c>
      <c r="F313" s="54" t="s">
        <v>118</v>
      </c>
      <c r="G313" s="57" t="str">
        <f t="shared" si="1"/>
        <v>Aumenta a força em 25%</v>
      </c>
      <c r="H313" s="54" t="b">
        <v>1</v>
      </c>
      <c r="I313" s="59" t="s">
        <v>161</v>
      </c>
    </row>
    <row r="314">
      <c r="A314" s="61"/>
      <c r="B314" s="63" t="s">
        <v>540</v>
      </c>
      <c r="C314" s="54" t="s">
        <v>41</v>
      </c>
      <c r="D314" s="55">
        <v>48.0</v>
      </c>
      <c r="E314" s="53" t="s">
        <v>80</v>
      </c>
      <c r="F314" s="54" t="s">
        <v>118</v>
      </c>
      <c r="G314" s="57" t="str">
        <f t="shared" si="1"/>
        <v>Aumenta o número de companheiros em +1</v>
      </c>
      <c r="H314" s="65" t="b">
        <v>0</v>
      </c>
      <c r="I314" s="59" t="s">
        <v>541</v>
      </c>
    </row>
    <row r="315">
      <c r="A315" s="61"/>
      <c r="B315" s="53" t="s">
        <v>542</v>
      </c>
      <c r="C315" s="54" t="s">
        <v>41</v>
      </c>
      <c r="D315" s="55">
        <v>50.0</v>
      </c>
      <c r="E315" s="53" t="s">
        <v>249</v>
      </c>
      <c r="F315" s="54" t="s">
        <v>73</v>
      </c>
      <c r="G315" s="57" t="str">
        <f t="shared" si="1"/>
        <v>Reduz o tempo de espera depois da missão em 75%</v>
      </c>
      <c r="H315" s="54" t="b">
        <v>1</v>
      </c>
      <c r="I315" s="59" t="s">
        <v>122</v>
      </c>
    </row>
    <row r="316">
      <c r="A316" s="61"/>
      <c r="B316" s="63" t="s">
        <v>543</v>
      </c>
      <c r="C316" s="54" t="s">
        <v>41</v>
      </c>
      <c r="D316" s="55">
        <v>52.0</v>
      </c>
      <c r="E316" s="53" t="s">
        <v>126</v>
      </c>
      <c r="F316" s="54" t="s">
        <v>97</v>
      </c>
      <c r="G316" s="57" t="str">
        <f t="shared" si="1"/>
        <v>Aumenta o número máximo de artefatos e itens de raid encontrados em +6</v>
      </c>
      <c r="H316" s="54" t="b">
        <v>1</v>
      </c>
      <c r="I316" s="59" t="s">
        <v>277</v>
      </c>
    </row>
    <row r="317">
      <c r="A317" s="61"/>
      <c r="B317" s="63" t="s">
        <v>544</v>
      </c>
      <c r="C317" s="54" t="s">
        <v>41</v>
      </c>
      <c r="D317" s="55">
        <v>54.0</v>
      </c>
      <c r="E317" s="53" t="s">
        <v>181</v>
      </c>
      <c r="F317" s="54" t="s">
        <v>118</v>
      </c>
      <c r="G317" s="57" t="str">
        <f t="shared" si="1"/>
        <v>Aumenta a taxa de sobrevivência de membros femininos do grupo em 10%</v>
      </c>
      <c r="H317" s="54" t="b">
        <v>1</v>
      </c>
      <c r="I317" s="59" t="s">
        <v>122</v>
      </c>
    </row>
    <row r="318">
      <c r="A318" s="61"/>
      <c r="B318" s="63" t="s">
        <v>545</v>
      </c>
      <c r="C318" s="54" t="s">
        <v>41</v>
      </c>
      <c r="D318" s="55">
        <v>55.0</v>
      </c>
      <c r="E318" s="53" t="s">
        <v>129</v>
      </c>
      <c r="F318" s="54" t="s">
        <v>118</v>
      </c>
      <c r="G318" s="57" t="str">
        <f t="shared" si="1"/>
        <v>Aumenta o número máximo de artefatos e itens de raid encontrados por cada membro do grupo em +2</v>
      </c>
      <c r="H318" s="54" t="b">
        <v>1</v>
      </c>
      <c r="I318" s="59" t="s">
        <v>271</v>
      </c>
    </row>
    <row r="319">
      <c r="A319" s="61"/>
      <c r="B319" s="53" t="s">
        <v>546</v>
      </c>
      <c r="C319" s="54" t="s">
        <v>63</v>
      </c>
      <c r="D319" s="54">
        <v>13.0</v>
      </c>
      <c r="E319" s="53" t="s">
        <v>86</v>
      </c>
      <c r="F319" s="54" t="s">
        <v>77</v>
      </c>
      <c r="G319" s="57" t="str">
        <f t="shared" si="1"/>
        <v>Aumenta a taxa de sobrevivência de membros masculinos do grupo em 5%</v>
      </c>
      <c r="H319" s="54" t="b">
        <v>1</v>
      </c>
      <c r="I319" s="59" t="s">
        <v>78</v>
      </c>
    </row>
    <row r="320">
      <c r="A320" s="61"/>
      <c r="B320" s="53" t="s">
        <v>547</v>
      </c>
      <c r="C320" s="54" t="s">
        <v>63</v>
      </c>
      <c r="D320" s="54">
        <v>15.0</v>
      </c>
      <c r="E320" s="53" t="s">
        <v>109</v>
      </c>
      <c r="F320" s="54" t="s">
        <v>97</v>
      </c>
      <c r="G320" s="57" t="str">
        <f t="shared" si="1"/>
        <v>Aumenta o número máximo de artefatos e itens de raid encontrados por cada membro do grupo em +1</v>
      </c>
      <c r="H320" s="54" t="b">
        <v>1</v>
      </c>
      <c r="I320" s="59" t="s">
        <v>155</v>
      </c>
    </row>
    <row r="321">
      <c r="A321" s="61"/>
      <c r="B321" s="53" t="s">
        <v>548</v>
      </c>
      <c r="C321" s="54" t="s">
        <v>63</v>
      </c>
      <c r="D321" s="54">
        <v>17.0</v>
      </c>
      <c r="E321" s="53" t="s">
        <v>80</v>
      </c>
      <c r="F321" s="54" t="s">
        <v>77</v>
      </c>
      <c r="G321" s="57" t="str">
        <f t="shared" si="1"/>
        <v>Aumenta o número de companheiros em +1</v>
      </c>
      <c r="H321" s="54" t="b">
        <v>1</v>
      </c>
      <c r="I321" s="59" t="s">
        <v>133</v>
      </c>
    </row>
    <row r="322">
      <c r="A322" s="61"/>
      <c r="B322" s="63" t="s">
        <v>549</v>
      </c>
      <c r="C322" s="54" t="s">
        <v>63</v>
      </c>
      <c r="D322" s="55">
        <v>19.0</v>
      </c>
      <c r="E322" s="53" t="s">
        <v>76</v>
      </c>
      <c r="F322" s="54" t="s">
        <v>77</v>
      </c>
      <c r="G322" s="57" t="str">
        <f t="shared" si="1"/>
        <v>Encontra mais 50% de ouro durante as missões</v>
      </c>
      <c r="H322" s="65" t="b">
        <v>0</v>
      </c>
      <c r="I322" s="59" t="s">
        <v>280</v>
      </c>
    </row>
    <row r="323">
      <c r="A323" s="61"/>
      <c r="B323" s="63" t="s">
        <v>550</v>
      </c>
      <c r="C323" s="54" t="s">
        <v>63</v>
      </c>
      <c r="D323" s="55">
        <v>20.0</v>
      </c>
      <c r="E323" s="53" t="s">
        <v>132</v>
      </c>
      <c r="F323" s="54" t="s">
        <v>77</v>
      </c>
      <c r="G323" s="57" t="str">
        <f t="shared" si="1"/>
        <v>Reduz a duração da missão em 10%</v>
      </c>
      <c r="H323" s="54" t="b">
        <v>1</v>
      </c>
      <c r="I323" s="59" t="s">
        <v>485</v>
      </c>
    </row>
    <row r="324">
      <c r="A324" s="61"/>
      <c r="B324" s="53" t="s">
        <v>551</v>
      </c>
      <c r="C324" s="54" t="s">
        <v>63</v>
      </c>
      <c r="D324" s="54">
        <v>23.0</v>
      </c>
      <c r="E324" s="53" t="s">
        <v>158</v>
      </c>
      <c r="F324" s="54" t="s">
        <v>77</v>
      </c>
      <c r="G324" s="57" t="str">
        <f t="shared" si="1"/>
        <v>25% de bônus de experiência</v>
      </c>
      <c r="H324" s="54" t="b">
        <v>1</v>
      </c>
      <c r="I324" s="59" t="s">
        <v>139</v>
      </c>
    </row>
    <row r="325">
      <c r="A325" s="61"/>
      <c r="B325" s="53" t="s">
        <v>552</v>
      </c>
      <c r="C325" s="54" t="s">
        <v>63</v>
      </c>
      <c r="D325" s="54">
        <v>26.0</v>
      </c>
      <c r="E325" s="53" t="s">
        <v>135</v>
      </c>
      <c r="F325" s="54" t="s">
        <v>73</v>
      </c>
      <c r="G325" s="57" t="str">
        <f t="shared" si="1"/>
        <v>Reduz o tempo de espera depois da missão em 50%</v>
      </c>
      <c r="H325" s="54" t="b">
        <v>1</v>
      </c>
      <c r="I325" s="59" t="s">
        <v>87</v>
      </c>
    </row>
    <row r="326">
      <c r="A326" s="61"/>
      <c r="B326" s="53" t="s">
        <v>553</v>
      </c>
      <c r="C326" s="54" t="s">
        <v>63</v>
      </c>
      <c r="D326" s="54">
        <v>29.0</v>
      </c>
      <c r="E326" s="53" t="s">
        <v>217</v>
      </c>
      <c r="F326" s="54" t="s">
        <v>73</v>
      </c>
      <c r="G326" s="57" t="str">
        <f t="shared" si="1"/>
        <v>Aumenta a força dos guerreiros do grupo em 25%</v>
      </c>
      <c r="H326" s="54" t="b">
        <v>1</v>
      </c>
      <c r="I326" s="59" t="s">
        <v>133</v>
      </c>
    </row>
    <row r="327">
      <c r="A327" s="61"/>
      <c r="B327" s="53" t="s">
        <v>554</v>
      </c>
      <c r="C327" s="54" t="s">
        <v>63</v>
      </c>
      <c r="D327" s="54">
        <v>33.0</v>
      </c>
      <c r="E327" s="53" t="s">
        <v>210</v>
      </c>
      <c r="F327" s="54" t="s">
        <v>73</v>
      </c>
      <c r="G327" s="57" t="str">
        <f t="shared" si="1"/>
        <v>Aumenta a força dos feiticeiros do grupo em 10%</v>
      </c>
      <c r="H327" s="54" t="b">
        <v>1</v>
      </c>
      <c r="I327" s="59" t="s">
        <v>87</v>
      </c>
    </row>
    <row r="328">
      <c r="A328" s="61"/>
      <c r="B328" s="53" t="s">
        <v>555</v>
      </c>
      <c r="C328" s="54" t="s">
        <v>63</v>
      </c>
      <c r="D328" s="54">
        <v>37.0</v>
      </c>
      <c r="E328" s="53" t="s">
        <v>146</v>
      </c>
      <c r="F328" s="54" t="s">
        <v>97</v>
      </c>
      <c r="G328" s="57" t="str">
        <f t="shared" si="1"/>
        <v>Aumenta o número mínimo de itens e artefatos encontrados em +1</v>
      </c>
      <c r="H328" s="54" t="b">
        <v>1</v>
      </c>
      <c r="I328" s="59" t="s">
        <v>100</v>
      </c>
    </row>
    <row r="329">
      <c r="A329" s="61"/>
      <c r="B329" s="53" t="s">
        <v>556</v>
      </c>
      <c r="C329" s="54" t="s">
        <v>63</v>
      </c>
      <c r="D329" s="55">
        <v>40.0</v>
      </c>
      <c r="E329" s="53" t="s">
        <v>92</v>
      </c>
      <c r="F329" s="54" t="s">
        <v>97</v>
      </c>
      <c r="G329" s="57" t="str">
        <f t="shared" si="1"/>
        <v>Revive um companheiro derrotado 5% das vezes</v>
      </c>
      <c r="H329" s="54" t="b">
        <v>1</v>
      </c>
      <c r="I329" s="59" t="s">
        <v>100</v>
      </c>
    </row>
    <row r="330">
      <c r="A330" s="61"/>
      <c r="B330" s="63" t="s">
        <v>557</v>
      </c>
      <c r="C330" s="54" t="s">
        <v>63</v>
      </c>
      <c r="D330" s="55">
        <v>42.0</v>
      </c>
      <c r="E330" s="53" t="s">
        <v>96</v>
      </c>
      <c r="F330" s="54" t="s">
        <v>97</v>
      </c>
      <c r="G330" s="57" t="str">
        <f t="shared" si="1"/>
        <v>Aumenta o número máximo de artefatos e itens de raid encontrados em +4</v>
      </c>
      <c r="H330" s="65" t="b">
        <v>0</v>
      </c>
      <c r="I330" s="59" t="s">
        <v>130</v>
      </c>
    </row>
    <row r="331">
      <c r="A331" s="61"/>
      <c r="B331" s="63" t="s">
        <v>558</v>
      </c>
      <c r="C331" s="54" t="s">
        <v>63</v>
      </c>
      <c r="D331" s="55">
        <v>45.0</v>
      </c>
      <c r="E331" s="53" t="s">
        <v>109</v>
      </c>
      <c r="F331" s="54" t="s">
        <v>118</v>
      </c>
      <c r="G331" s="57" t="str">
        <f t="shared" si="1"/>
        <v>Aumenta o número máximo de artefatos e itens de raid encontrados por cada membro do grupo em +1</v>
      </c>
      <c r="H331" s="65" t="b">
        <v>0</v>
      </c>
      <c r="I331" s="59" t="s">
        <v>559</v>
      </c>
    </row>
    <row r="332">
      <c r="A332" s="61"/>
      <c r="B332" s="53" t="s">
        <v>560</v>
      </c>
      <c r="C332" s="54" t="s">
        <v>63</v>
      </c>
      <c r="D332" s="55">
        <v>47.0</v>
      </c>
      <c r="E332" s="53" t="s">
        <v>285</v>
      </c>
      <c r="F332" s="54" t="s">
        <v>118</v>
      </c>
      <c r="G332" s="57" t="str">
        <f t="shared" si="1"/>
        <v>Evita ferimentos 15% das vezes</v>
      </c>
      <c r="H332" s="54" t="b">
        <v>1</v>
      </c>
      <c r="I332" s="59" t="s">
        <v>113</v>
      </c>
    </row>
    <row r="333">
      <c r="A333" s="61"/>
      <c r="B333" s="63" t="s">
        <v>561</v>
      </c>
      <c r="C333" s="54" t="s">
        <v>63</v>
      </c>
      <c r="D333" s="55">
        <v>49.0</v>
      </c>
      <c r="E333" s="53" t="s">
        <v>484</v>
      </c>
      <c r="F333" s="54" t="s">
        <v>118</v>
      </c>
      <c r="G333" s="57" t="str">
        <f t="shared" si="1"/>
        <v>Aumenta o número mínimo de itens e artefatos encontrados em +2</v>
      </c>
      <c r="H333" s="65" t="b">
        <v>0</v>
      </c>
      <c r="I333" s="59" t="s">
        <v>562</v>
      </c>
    </row>
    <row r="334">
      <c r="A334" s="61"/>
      <c r="B334" s="63" t="s">
        <v>563</v>
      </c>
      <c r="C334" s="54" t="s">
        <v>63</v>
      </c>
      <c r="D334" s="55">
        <v>50.0</v>
      </c>
      <c r="E334" s="53" t="s">
        <v>189</v>
      </c>
      <c r="F334" s="54" t="s">
        <v>97</v>
      </c>
      <c r="G334" s="57" t="str">
        <f t="shared" si="1"/>
        <v>Aumenta a força em 30%</v>
      </c>
      <c r="H334" s="54" t="b">
        <v>1</v>
      </c>
      <c r="I334" s="59" t="s">
        <v>122</v>
      </c>
    </row>
    <row r="335">
      <c r="A335" s="61"/>
      <c r="B335" s="53" t="s">
        <v>564</v>
      </c>
      <c r="C335" s="54" t="s">
        <v>63</v>
      </c>
      <c r="D335" s="55">
        <v>53.0</v>
      </c>
      <c r="E335" s="53" t="s">
        <v>231</v>
      </c>
      <c r="F335" s="54" t="s">
        <v>118</v>
      </c>
      <c r="G335" s="57" t="str">
        <f t="shared" si="1"/>
        <v>Reduz o tempo de cura de companheiros em 10%</v>
      </c>
      <c r="H335" s="54" t="b">
        <v>1</v>
      </c>
      <c r="I335" s="59" t="s">
        <v>122</v>
      </c>
    </row>
    <row r="336">
      <c r="A336" s="61"/>
      <c r="B336" s="63" t="s">
        <v>565</v>
      </c>
      <c r="C336" s="54" t="s">
        <v>63</v>
      </c>
      <c r="D336" s="55">
        <v>54.0</v>
      </c>
      <c r="E336" s="53" t="s">
        <v>308</v>
      </c>
      <c r="F336" s="54" t="s">
        <v>118</v>
      </c>
      <c r="G336" s="57" t="str">
        <f t="shared" si="1"/>
        <v>Impede que o equipamento de um companheiro se quebre 2 vezes</v>
      </c>
      <c r="H336" s="65" t="b">
        <v>0</v>
      </c>
      <c r="I336" s="59" t="s">
        <v>226</v>
      </c>
    </row>
    <row r="337">
      <c r="A337" s="61"/>
      <c r="B337" s="53" t="s">
        <v>566</v>
      </c>
      <c r="C337" s="54" t="s">
        <v>61</v>
      </c>
      <c r="D337" s="54">
        <v>11.0</v>
      </c>
      <c r="E337" s="53" t="s">
        <v>210</v>
      </c>
      <c r="F337" s="54" t="s">
        <v>77</v>
      </c>
      <c r="G337" s="57" t="str">
        <f t="shared" si="1"/>
        <v>Aumenta a força dos feiticeiros do grupo em 10%</v>
      </c>
      <c r="H337" s="54" t="b">
        <v>1</v>
      </c>
      <c r="I337" s="59" t="s">
        <v>78</v>
      </c>
    </row>
    <row r="338">
      <c r="A338" s="61"/>
      <c r="B338" s="53" t="s">
        <v>567</v>
      </c>
      <c r="C338" s="54" t="s">
        <v>61</v>
      </c>
      <c r="D338" s="55">
        <v>19.0</v>
      </c>
      <c r="E338" s="53" t="s">
        <v>325</v>
      </c>
      <c r="F338" s="54" t="s">
        <v>73</v>
      </c>
      <c r="G338" s="57" t="str">
        <f t="shared" si="1"/>
        <v>100% de bônus de experiência</v>
      </c>
      <c r="H338" s="65" t="b">
        <v>0</v>
      </c>
      <c r="I338" s="59" t="s">
        <v>415</v>
      </c>
    </row>
    <row r="339">
      <c r="A339" s="61"/>
      <c r="B339" s="53" t="s">
        <v>568</v>
      </c>
      <c r="C339" s="54" t="s">
        <v>61</v>
      </c>
      <c r="D339" s="54">
        <v>24.0</v>
      </c>
      <c r="E339" s="53" t="s">
        <v>138</v>
      </c>
      <c r="F339" s="54" t="s">
        <v>77</v>
      </c>
      <c r="G339" s="57" t="str">
        <f t="shared" si="1"/>
        <v>Evita ferimentos 10% das vezes</v>
      </c>
      <c r="H339" s="54" t="b">
        <v>1</v>
      </c>
      <c r="I339" s="59" t="s">
        <v>139</v>
      </c>
    </row>
    <row r="340">
      <c r="A340" s="61"/>
      <c r="B340" s="53" t="s">
        <v>569</v>
      </c>
      <c r="C340" s="54" t="s">
        <v>61</v>
      </c>
      <c r="D340" s="54">
        <v>27.0</v>
      </c>
      <c r="E340" s="53" t="s">
        <v>187</v>
      </c>
      <c r="F340" s="54" t="s">
        <v>73</v>
      </c>
      <c r="G340" s="57" t="str">
        <f t="shared" si="1"/>
        <v>Aumenta a taxa de sobrevivência do grupo em 2%</v>
      </c>
      <c r="H340" s="54" t="b">
        <v>1</v>
      </c>
      <c r="I340" s="59" t="s">
        <v>87</v>
      </c>
    </row>
    <row r="341">
      <c r="A341" s="61"/>
      <c r="B341" s="53" t="s">
        <v>570</v>
      </c>
      <c r="C341" s="54" t="s">
        <v>61</v>
      </c>
      <c r="D341" s="55">
        <v>33.0</v>
      </c>
      <c r="E341" s="53" t="s">
        <v>106</v>
      </c>
      <c r="F341" s="54" t="s">
        <v>97</v>
      </c>
      <c r="G341" s="57" t="str">
        <f t="shared" si="1"/>
        <v>Revive um companheiro derrotado 10% das vezes</v>
      </c>
      <c r="H341" s="54" t="b">
        <v>1</v>
      </c>
      <c r="I341" s="59" t="s">
        <v>229</v>
      </c>
    </row>
    <row r="342">
      <c r="A342" s="61"/>
      <c r="B342" s="53" t="s">
        <v>571</v>
      </c>
      <c r="C342" s="54" t="s">
        <v>61</v>
      </c>
      <c r="D342" s="55">
        <v>35.0</v>
      </c>
      <c r="E342" s="53" t="s">
        <v>92</v>
      </c>
      <c r="F342" s="54" t="s">
        <v>73</v>
      </c>
      <c r="G342" s="57" t="str">
        <f t="shared" si="1"/>
        <v>Revive um companheiro derrotado 5% das vezes</v>
      </c>
      <c r="H342" s="54" t="b">
        <v>1</v>
      </c>
      <c r="I342" s="59" t="s">
        <v>100</v>
      </c>
    </row>
    <row r="343">
      <c r="A343" s="61"/>
      <c r="B343" s="53" t="s">
        <v>572</v>
      </c>
      <c r="C343" s="54" t="s">
        <v>61</v>
      </c>
      <c r="D343" s="55">
        <v>36.0</v>
      </c>
      <c r="E343" s="53" t="s">
        <v>76</v>
      </c>
      <c r="F343" s="54" t="s">
        <v>97</v>
      </c>
      <c r="G343" s="57" t="str">
        <f t="shared" si="1"/>
        <v>Encontra mais 50% de ouro durante as missões</v>
      </c>
      <c r="H343" s="54" t="b">
        <v>1</v>
      </c>
      <c r="I343" s="59" t="s">
        <v>100</v>
      </c>
    </row>
    <row r="344">
      <c r="A344" s="61"/>
      <c r="B344" s="53" t="s">
        <v>573</v>
      </c>
      <c r="C344" s="54" t="s">
        <v>61</v>
      </c>
      <c r="D344" s="55">
        <v>38.0</v>
      </c>
      <c r="E344" s="53" t="s">
        <v>231</v>
      </c>
      <c r="F344" s="54" t="s">
        <v>97</v>
      </c>
      <c r="G344" s="57" t="str">
        <f t="shared" si="1"/>
        <v>Reduz o tempo de cura de companheiros em 10%</v>
      </c>
      <c r="H344" s="54" t="b">
        <v>1</v>
      </c>
      <c r="I344" s="59" t="s">
        <v>100</v>
      </c>
    </row>
    <row r="345">
      <c r="A345" s="61"/>
      <c r="B345" s="53" t="s">
        <v>574</v>
      </c>
      <c r="C345" s="54" t="s">
        <v>61</v>
      </c>
      <c r="D345" s="55">
        <v>39.0</v>
      </c>
      <c r="E345" s="53" t="s">
        <v>249</v>
      </c>
      <c r="F345" s="54" t="s">
        <v>97</v>
      </c>
      <c r="G345" s="57" t="str">
        <f t="shared" si="1"/>
        <v>Reduz o tempo de espera depois da missão em 75%</v>
      </c>
      <c r="H345" s="54" t="b">
        <v>1</v>
      </c>
      <c r="I345" s="59" t="s">
        <v>84</v>
      </c>
    </row>
    <row r="346">
      <c r="A346" s="61"/>
      <c r="B346" s="53" t="s">
        <v>575</v>
      </c>
      <c r="C346" s="54" t="s">
        <v>61</v>
      </c>
      <c r="D346" s="54">
        <v>43.0</v>
      </c>
      <c r="E346" s="53" t="s">
        <v>222</v>
      </c>
      <c r="F346" s="54" t="s">
        <v>118</v>
      </c>
      <c r="G346" s="57" t="str">
        <f t="shared" si="1"/>
        <v>Reduz a duração da missão em 50%</v>
      </c>
      <c r="H346" s="54" t="b">
        <v>1</v>
      </c>
      <c r="I346" s="59" t="s">
        <v>256</v>
      </c>
    </row>
    <row r="347">
      <c r="A347" s="61"/>
      <c r="B347" s="53" t="s">
        <v>576</v>
      </c>
      <c r="C347" s="54" t="s">
        <v>61</v>
      </c>
      <c r="D347" s="54">
        <v>44.0</v>
      </c>
      <c r="E347" s="53" t="s">
        <v>367</v>
      </c>
      <c r="F347" s="54" t="s">
        <v>118</v>
      </c>
      <c r="G347" s="57" t="str">
        <f t="shared" si="1"/>
        <v>Impede que 3 peças de equipamento se quebre durante a missão</v>
      </c>
      <c r="H347" s="54" t="b">
        <v>1</v>
      </c>
      <c r="I347" s="59" t="s">
        <v>133</v>
      </c>
    </row>
    <row r="348">
      <c r="A348" s="61"/>
      <c r="B348" s="53" t="s">
        <v>577</v>
      </c>
      <c r="C348" s="54" t="s">
        <v>61</v>
      </c>
      <c r="D348" s="55">
        <v>45.0</v>
      </c>
      <c r="E348" s="53" t="s">
        <v>103</v>
      </c>
      <c r="F348" s="54" t="s">
        <v>118</v>
      </c>
      <c r="G348" s="57" t="str">
        <f t="shared" si="1"/>
        <v>Reduz o tempo de cura de companheiros em 25%</v>
      </c>
      <c r="H348" s="65" t="b">
        <v>0</v>
      </c>
      <c r="I348" s="59" t="s">
        <v>238</v>
      </c>
    </row>
    <row r="349">
      <c r="A349" s="61"/>
      <c r="B349" s="53" t="s">
        <v>578</v>
      </c>
      <c r="C349" s="54" t="s">
        <v>61</v>
      </c>
      <c r="D349" s="55">
        <v>46.0</v>
      </c>
      <c r="E349" s="53" t="s">
        <v>199</v>
      </c>
      <c r="F349" s="54" t="s">
        <v>118</v>
      </c>
      <c r="G349" s="57" t="str">
        <f t="shared" si="1"/>
        <v>Impede que o equipamento de um companheiro se quebre 3 vezes</v>
      </c>
      <c r="H349" s="65" t="b">
        <v>0</v>
      </c>
      <c r="I349" s="59" t="s">
        <v>98</v>
      </c>
    </row>
    <row r="350">
      <c r="A350" s="61"/>
      <c r="B350" s="53" t="s">
        <v>579</v>
      </c>
      <c r="C350" s="54" t="s">
        <v>61</v>
      </c>
      <c r="D350" s="55">
        <v>47.0</v>
      </c>
      <c r="E350" s="53" t="s">
        <v>72</v>
      </c>
      <c r="F350" s="54" t="s">
        <v>97</v>
      </c>
      <c r="G350" s="57" t="str">
        <f t="shared" si="1"/>
        <v>Aumenta a força em 40%</v>
      </c>
      <c r="H350" s="54" t="b">
        <v>1</v>
      </c>
      <c r="I350" s="59" t="s">
        <v>113</v>
      </c>
    </row>
    <row r="351">
      <c r="A351" s="61"/>
      <c r="B351" s="53" t="s">
        <v>580</v>
      </c>
      <c r="C351" s="54" t="s">
        <v>61</v>
      </c>
      <c r="D351" s="55">
        <v>50.0</v>
      </c>
      <c r="E351" s="53" t="s">
        <v>208</v>
      </c>
      <c r="F351" s="54" t="s">
        <v>118</v>
      </c>
      <c r="G351" s="57" t="str">
        <f t="shared" si="1"/>
        <v>Aumenta a força em 25%</v>
      </c>
      <c r="H351" s="54" t="b">
        <v>1</v>
      </c>
      <c r="I351" s="59" t="s">
        <v>122</v>
      </c>
    </row>
    <row r="352">
      <c r="A352" s="66"/>
      <c r="B352" s="67" t="s">
        <v>581</v>
      </c>
      <c r="C352" s="68" t="s">
        <v>61</v>
      </c>
      <c r="D352" s="69">
        <v>51.0</v>
      </c>
      <c r="E352" s="67" t="s">
        <v>129</v>
      </c>
      <c r="F352" s="68" t="s">
        <v>73</v>
      </c>
      <c r="G352" s="70" t="str">
        <f t="shared" si="1"/>
        <v>Aumenta o número máximo de artefatos e itens de raid encontrados por cada membro do grupo em +2</v>
      </c>
      <c r="H352" s="71" t="b">
        <v>0</v>
      </c>
      <c r="I352" s="72" t="s">
        <v>235</v>
      </c>
    </row>
    <row r="353">
      <c r="A353" s="61"/>
      <c r="B353" s="53" t="s">
        <v>582</v>
      </c>
      <c r="C353" s="54" t="s">
        <v>61</v>
      </c>
      <c r="D353" s="55">
        <v>53.0</v>
      </c>
      <c r="E353" s="53" t="s">
        <v>83</v>
      </c>
      <c r="F353" s="54" t="s">
        <v>118</v>
      </c>
      <c r="G353" s="57" t="str">
        <f t="shared" si="1"/>
        <v>Aumenta o número máximo de artefatos e itens de raid encontrados em +2</v>
      </c>
      <c r="H353" s="54" t="b">
        <v>1</v>
      </c>
      <c r="I353" s="59" t="s">
        <v>122</v>
      </c>
    </row>
    <row r="354">
      <c r="A354" s="61"/>
      <c r="B354" s="63" t="s">
        <v>583</v>
      </c>
      <c r="C354" s="54" t="s">
        <v>61</v>
      </c>
      <c r="D354" s="55">
        <v>55.0</v>
      </c>
      <c r="E354" s="53" t="s">
        <v>285</v>
      </c>
      <c r="F354" s="54" t="s">
        <v>97</v>
      </c>
      <c r="G354" s="57" t="str">
        <f t="shared" si="1"/>
        <v>Evita ferimentos 15% das vezes</v>
      </c>
      <c r="H354" s="54" t="b">
        <v>1</v>
      </c>
      <c r="I354" s="59" t="s">
        <v>110</v>
      </c>
    </row>
    <row r="355">
      <c r="A355" s="61"/>
      <c r="B355" s="63" t="s">
        <v>584</v>
      </c>
      <c r="C355" s="54" t="s">
        <v>43</v>
      </c>
      <c r="D355" s="55">
        <v>12.0</v>
      </c>
      <c r="E355" s="53" t="s">
        <v>269</v>
      </c>
      <c r="F355" s="54" t="s">
        <v>73</v>
      </c>
      <c r="G355" s="57" t="str">
        <f t="shared" si="1"/>
        <v>Aumenta a força em 50%</v>
      </c>
      <c r="H355" s="65" t="b">
        <v>0</v>
      </c>
      <c r="I355" s="59" t="s">
        <v>264</v>
      </c>
    </row>
    <row r="356">
      <c r="A356" s="61"/>
      <c r="B356" s="53" t="s">
        <v>585</v>
      </c>
      <c r="C356" s="54" t="s">
        <v>43</v>
      </c>
      <c r="D356" s="54">
        <v>13.0</v>
      </c>
      <c r="E356" s="53" t="s">
        <v>141</v>
      </c>
      <c r="F356" s="54" t="s">
        <v>77</v>
      </c>
      <c r="G356" s="57" t="str">
        <f t="shared" si="1"/>
        <v>Diminui a chance de quebra de equipamento em 15% das vezes</v>
      </c>
      <c r="H356" s="54" t="b">
        <v>1</v>
      </c>
      <c r="I356" s="59" t="s">
        <v>78</v>
      </c>
    </row>
    <row r="357">
      <c r="A357" s="61"/>
      <c r="B357" s="53" t="s">
        <v>586</v>
      </c>
      <c r="C357" s="54" t="s">
        <v>43</v>
      </c>
      <c r="D357" s="54">
        <v>18.0</v>
      </c>
      <c r="E357" s="53" t="s">
        <v>177</v>
      </c>
      <c r="F357" s="54" t="s">
        <v>77</v>
      </c>
      <c r="G357" s="57" t="str">
        <f t="shared" si="1"/>
        <v>Obtém pelo menos 25% de experiência quando ferido e a missão é bem sucedida</v>
      </c>
      <c r="H357" s="54" t="b">
        <v>1</v>
      </c>
      <c r="I357" s="59" t="s">
        <v>139</v>
      </c>
    </row>
    <row r="358">
      <c r="A358" s="61"/>
      <c r="B358" s="53" t="s">
        <v>587</v>
      </c>
      <c r="C358" s="54" t="s">
        <v>43</v>
      </c>
      <c r="D358" s="54">
        <v>22.0</v>
      </c>
      <c r="E358" s="53" t="s">
        <v>185</v>
      </c>
      <c r="F358" s="54" t="s">
        <v>73</v>
      </c>
      <c r="G358" s="57" t="str">
        <f t="shared" si="1"/>
        <v>Aumenta a força dos guerreiros do grupo em 15%</v>
      </c>
      <c r="H358" s="54" t="b">
        <v>1</v>
      </c>
      <c r="I358" s="59" t="s">
        <v>139</v>
      </c>
    </row>
    <row r="359">
      <c r="A359" s="61"/>
      <c r="B359" s="53" t="s">
        <v>588</v>
      </c>
      <c r="C359" s="54" t="s">
        <v>43</v>
      </c>
      <c r="D359" s="55">
        <v>28.0</v>
      </c>
      <c r="E359" s="53" t="s">
        <v>431</v>
      </c>
      <c r="F359" s="54" t="s">
        <v>73</v>
      </c>
      <c r="G359" s="57" t="str">
        <f t="shared" si="1"/>
        <v>Reduz a duração da missão em 25%</v>
      </c>
      <c r="H359" s="54" t="b">
        <v>1</v>
      </c>
      <c r="I359" s="59" t="s">
        <v>90</v>
      </c>
    </row>
    <row r="360">
      <c r="A360" s="61"/>
      <c r="B360" s="53" t="s">
        <v>589</v>
      </c>
      <c r="C360" s="54" t="s">
        <v>43</v>
      </c>
      <c r="D360" s="54">
        <v>30.0</v>
      </c>
      <c r="E360" s="53" t="s">
        <v>126</v>
      </c>
      <c r="F360" s="54" t="s">
        <v>73</v>
      </c>
      <c r="G360" s="57" t="str">
        <f t="shared" si="1"/>
        <v>Aumenta o número máximo de artefatos e itens de raid encontrados em +6</v>
      </c>
      <c r="H360" s="54" t="b">
        <v>1</v>
      </c>
      <c r="I360" s="59" t="s">
        <v>386</v>
      </c>
    </row>
    <row r="361">
      <c r="A361" s="61"/>
      <c r="B361" s="63" t="s">
        <v>590</v>
      </c>
      <c r="C361" s="54" t="s">
        <v>43</v>
      </c>
      <c r="D361" s="55">
        <v>33.0</v>
      </c>
      <c r="E361" s="53" t="s">
        <v>164</v>
      </c>
      <c r="F361" s="54" t="s">
        <v>73</v>
      </c>
      <c r="G361" s="57" t="str">
        <f t="shared" si="1"/>
        <v>Diminui a chance de quebra de equipamento em 50% das vezes</v>
      </c>
      <c r="H361" s="65" t="b">
        <v>0</v>
      </c>
      <c r="I361" s="59" t="s">
        <v>206</v>
      </c>
    </row>
    <row r="362">
      <c r="A362" s="61"/>
      <c r="B362" s="63" t="s">
        <v>591</v>
      </c>
      <c r="C362" s="54" t="s">
        <v>43</v>
      </c>
      <c r="D362" s="55">
        <v>34.0</v>
      </c>
      <c r="E362" s="53" t="s">
        <v>89</v>
      </c>
      <c r="F362" s="54" t="s">
        <v>97</v>
      </c>
      <c r="G362" s="57" t="str">
        <f t="shared" si="1"/>
        <v>Obtém pelo menos 50% de experiência quando ferido e a missão é bem sucedida</v>
      </c>
      <c r="H362" s="65" t="b">
        <v>0</v>
      </c>
      <c r="I362" s="59" t="s">
        <v>321</v>
      </c>
    </row>
    <row r="363">
      <c r="A363" s="61"/>
      <c r="B363" s="53" t="s">
        <v>592</v>
      </c>
      <c r="C363" s="54" t="s">
        <v>43</v>
      </c>
      <c r="D363" s="55">
        <v>36.0</v>
      </c>
      <c r="E363" s="53" t="s">
        <v>86</v>
      </c>
      <c r="F363" s="54" t="s">
        <v>73</v>
      </c>
      <c r="G363" s="57" t="str">
        <f t="shared" si="1"/>
        <v>Aumenta a taxa de sobrevivência de membros masculinos do grupo em 5%</v>
      </c>
      <c r="H363" s="54" t="b">
        <v>1</v>
      </c>
      <c r="I363" s="59" t="s">
        <v>100</v>
      </c>
    </row>
    <row r="364">
      <c r="A364" s="61"/>
      <c r="B364" s="53" t="s">
        <v>593</v>
      </c>
      <c r="C364" s="54" t="s">
        <v>43</v>
      </c>
      <c r="D364" s="55">
        <v>37.0</v>
      </c>
      <c r="E364" s="53" t="s">
        <v>328</v>
      </c>
      <c r="F364" s="54" t="s">
        <v>97</v>
      </c>
      <c r="G364" s="57" t="str">
        <f t="shared" si="1"/>
        <v>Aumenta a força do equipamento em 10%</v>
      </c>
      <c r="H364" s="54" t="b">
        <v>1</v>
      </c>
      <c r="I364" s="59" t="s">
        <v>100</v>
      </c>
    </row>
    <row r="365">
      <c r="A365" s="61"/>
      <c r="B365" s="53" t="s">
        <v>594</v>
      </c>
      <c r="C365" s="54" t="s">
        <v>43</v>
      </c>
      <c r="D365" s="55">
        <v>39.0</v>
      </c>
      <c r="E365" s="53" t="s">
        <v>185</v>
      </c>
      <c r="F365" s="54" t="s">
        <v>97</v>
      </c>
      <c r="G365" s="57" t="str">
        <f t="shared" si="1"/>
        <v>Aumenta a força dos guerreiros do grupo em 15%</v>
      </c>
      <c r="H365" s="54" t="b">
        <v>1</v>
      </c>
      <c r="I365" s="59" t="s">
        <v>100</v>
      </c>
    </row>
    <row r="366">
      <c r="A366" s="61"/>
      <c r="B366" s="53" t="s">
        <v>595</v>
      </c>
      <c r="C366" s="54" t="s">
        <v>43</v>
      </c>
      <c r="D366" s="54">
        <v>40.0</v>
      </c>
      <c r="E366" s="53" t="s">
        <v>279</v>
      </c>
      <c r="F366" s="54" t="s">
        <v>77</v>
      </c>
      <c r="G366" s="57" t="str">
        <f t="shared" si="1"/>
        <v>Aumenta a taxa de sobrevivência do grupo em 8%</v>
      </c>
      <c r="H366" s="54" t="b">
        <v>1</v>
      </c>
      <c r="I366" s="59" t="s">
        <v>295</v>
      </c>
    </row>
    <row r="367">
      <c r="A367" s="61"/>
      <c r="B367" s="53" t="s">
        <v>596</v>
      </c>
      <c r="C367" s="54" t="s">
        <v>43</v>
      </c>
      <c r="D367" s="54">
        <v>47.0</v>
      </c>
      <c r="E367" s="53" t="s">
        <v>597</v>
      </c>
      <c r="F367" s="54" t="s">
        <v>118</v>
      </c>
      <c r="G367" s="57" t="str">
        <f t="shared" si="1"/>
        <v>Reduz a chance de companheiros quebrarem o equipamento em 10%</v>
      </c>
      <c r="H367" s="54" t="b">
        <v>1</v>
      </c>
      <c r="I367" s="59" t="s">
        <v>113</v>
      </c>
    </row>
    <row r="368">
      <c r="A368" s="61"/>
      <c r="B368" s="53" t="s">
        <v>598</v>
      </c>
      <c r="C368" s="54" t="s">
        <v>43</v>
      </c>
      <c r="D368" s="54">
        <v>48.0</v>
      </c>
      <c r="E368" s="53" t="s">
        <v>244</v>
      </c>
      <c r="F368" s="54" t="s">
        <v>77</v>
      </c>
      <c r="G368" s="57" t="str">
        <f t="shared" si="1"/>
        <v>Diminui a chance de quebra de equipamento em 30% das vezes</v>
      </c>
      <c r="H368" s="54" t="b">
        <v>1</v>
      </c>
      <c r="I368" s="59" t="s">
        <v>391</v>
      </c>
    </row>
    <row r="369">
      <c r="A369" s="61"/>
      <c r="B369" s="53" t="s">
        <v>599</v>
      </c>
      <c r="C369" s="54" t="s">
        <v>43</v>
      </c>
      <c r="D369" s="54">
        <v>49.0</v>
      </c>
      <c r="E369" s="53" t="s">
        <v>92</v>
      </c>
      <c r="F369" s="54" t="s">
        <v>118</v>
      </c>
      <c r="G369" s="57" t="str">
        <f t="shared" si="1"/>
        <v>Revive um companheiro derrotado 5% das vezes</v>
      </c>
      <c r="H369" s="54" t="b">
        <v>1</v>
      </c>
      <c r="I369" s="59" t="s">
        <v>161</v>
      </c>
    </row>
    <row r="370">
      <c r="A370" s="61"/>
      <c r="B370" s="53" t="s">
        <v>600</v>
      </c>
      <c r="C370" s="54" t="s">
        <v>43</v>
      </c>
      <c r="D370" s="55">
        <v>50.0</v>
      </c>
      <c r="E370" s="53" t="s">
        <v>181</v>
      </c>
      <c r="F370" s="54" t="s">
        <v>97</v>
      </c>
      <c r="G370" s="57" t="str">
        <f t="shared" si="1"/>
        <v>Aumenta a taxa de sobrevivência de membros femininos do grupo em 10%</v>
      </c>
      <c r="H370" s="54" t="b">
        <v>1</v>
      </c>
      <c r="I370" s="59" t="s">
        <v>122</v>
      </c>
    </row>
    <row r="371">
      <c r="A371" s="61"/>
      <c r="B371" s="63" t="s">
        <v>601</v>
      </c>
      <c r="C371" s="54" t="s">
        <v>43</v>
      </c>
      <c r="D371" s="55">
        <v>53.0</v>
      </c>
      <c r="E371" s="53" t="s">
        <v>484</v>
      </c>
      <c r="F371" s="54" t="s">
        <v>118</v>
      </c>
      <c r="G371" s="57" t="str">
        <f t="shared" si="1"/>
        <v>Aumenta o número mínimo de itens e artefatos encontrados em +2</v>
      </c>
      <c r="H371" s="54" t="b">
        <v>1</v>
      </c>
      <c r="I371" s="59" t="s">
        <v>122</v>
      </c>
    </row>
    <row r="372">
      <c r="A372" s="61"/>
      <c r="B372" s="53" t="s">
        <v>602</v>
      </c>
      <c r="C372" s="54" t="s">
        <v>43</v>
      </c>
      <c r="D372" s="55">
        <v>55.0</v>
      </c>
      <c r="E372" s="53" t="s">
        <v>129</v>
      </c>
      <c r="F372" s="54" t="s">
        <v>118</v>
      </c>
      <c r="G372" s="57" t="str">
        <f t="shared" si="1"/>
        <v>Aumenta o número máximo de artefatos e itens de raid encontrados por cada membro do grupo em +2</v>
      </c>
      <c r="H372" s="54" t="b">
        <v>1</v>
      </c>
      <c r="I372" s="59" t="s">
        <v>513</v>
      </c>
    </row>
    <row r="373">
      <c r="A373" s="61"/>
      <c r="B373" s="63" t="s">
        <v>603</v>
      </c>
      <c r="C373" s="54" t="s">
        <v>43</v>
      </c>
      <c r="D373" s="55">
        <v>56.0</v>
      </c>
      <c r="E373" s="53" t="s">
        <v>316</v>
      </c>
      <c r="F373" s="54" t="s">
        <v>97</v>
      </c>
      <c r="G373" s="57" t="str">
        <f t="shared" si="1"/>
        <v>Aumenta o número de companheiros em +3</v>
      </c>
      <c r="H373" s="65" t="b">
        <v>0</v>
      </c>
      <c r="I373" s="59" t="s">
        <v>165</v>
      </c>
    </row>
    <row r="374">
      <c r="A374" s="61"/>
      <c r="B374" s="63" t="s">
        <v>604</v>
      </c>
      <c r="C374" s="54" t="s">
        <v>43</v>
      </c>
      <c r="D374" s="55">
        <v>57.0</v>
      </c>
      <c r="E374" s="53" t="s">
        <v>167</v>
      </c>
      <c r="F374" s="54" t="s">
        <v>77</v>
      </c>
      <c r="G374" s="57" t="str">
        <f t="shared" si="1"/>
        <v>Impede que 2 peças de equipamento se quebre durante a missão</v>
      </c>
      <c r="H374" s="65" t="b">
        <v>0</v>
      </c>
      <c r="I374" s="59" t="s">
        <v>195</v>
      </c>
    </row>
    <row r="375">
      <c r="A375" s="61"/>
      <c r="B375" s="53" t="s">
        <v>605</v>
      </c>
      <c r="C375" s="54" t="s">
        <v>65</v>
      </c>
      <c r="D375" s="54">
        <v>9.0</v>
      </c>
      <c r="E375" s="53" t="s">
        <v>138</v>
      </c>
      <c r="F375" s="54" t="s">
        <v>77</v>
      </c>
      <c r="G375" s="57" t="str">
        <f t="shared" si="1"/>
        <v>Evita ferimentos 10% das vezes</v>
      </c>
      <c r="H375" s="54" t="b">
        <v>1</v>
      </c>
      <c r="I375" s="59" t="s">
        <v>136</v>
      </c>
    </row>
    <row r="376">
      <c r="A376" s="61"/>
      <c r="B376" s="53" t="s">
        <v>606</v>
      </c>
      <c r="C376" s="54" t="s">
        <v>65</v>
      </c>
      <c r="D376" s="54">
        <v>12.0</v>
      </c>
      <c r="E376" s="53" t="s">
        <v>231</v>
      </c>
      <c r="F376" s="54" t="s">
        <v>77</v>
      </c>
      <c r="G376" s="57" t="str">
        <f t="shared" si="1"/>
        <v>Reduz o tempo de cura de companheiros em 10%</v>
      </c>
      <c r="H376" s="54" t="b">
        <v>1</v>
      </c>
      <c r="I376" s="59" t="s">
        <v>116</v>
      </c>
    </row>
    <row r="377">
      <c r="A377" s="61"/>
      <c r="B377" s="53" t="s">
        <v>607</v>
      </c>
      <c r="C377" s="54" t="s">
        <v>65</v>
      </c>
      <c r="D377" s="54">
        <v>24.0</v>
      </c>
      <c r="E377" s="53" t="s">
        <v>132</v>
      </c>
      <c r="F377" s="54" t="s">
        <v>77</v>
      </c>
      <c r="G377" s="57" t="str">
        <f t="shared" si="1"/>
        <v>Reduz a duração da missão em 10%</v>
      </c>
      <c r="H377" s="54" t="b">
        <v>1</v>
      </c>
      <c r="I377" s="59" t="s">
        <v>139</v>
      </c>
    </row>
    <row r="378">
      <c r="A378" s="61"/>
      <c r="B378" s="63" t="s">
        <v>608</v>
      </c>
      <c r="C378" s="54" t="s">
        <v>65</v>
      </c>
      <c r="D378" s="55">
        <v>24.0</v>
      </c>
      <c r="E378" s="53" t="s">
        <v>208</v>
      </c>
      <c r="F378" s="54" t="s">
        <v>77</v>
      </c>
      <c r="G378" s="57" t="str">
        <f t="shared" si="1"/>
        <v>Aumenta a força em 25%</v>
      </c>
      <c r="H378" s="54" t="b">
        <v>1</v>
      </c>
      <c r="I378" s="59" t="s">
        <v>293</v>
      </c>
    </row>
    <row r="379">
      <c r="A379" s="61"/>
      <c r="B379" s="53" t="s">
        <v>609</v>
      </c>
      <c r="C379" s="54" t="s">
        <v>65</v>
      </c>
      <c r="D379" s="54">
        <v>26.0</v>
      </c>
      <c r="E379" s="53" t="s">
        <v>231</v>
      </c>
      <c r="F379" s="54" t="s">
        <v>73</v>
      </c>
      <c r="G379" s="57" t="str">
        <f t="shared" si="1"/>
        <v>Reduz o tempo de cura de companheiros em 10%</v>
      </c>
      <c r="H379" s="54" t="b">
        <v>1</v>
      </c>
      <c r="I379" s="59" t="s">
        <v>87</v>
      </c>
    </row>
    <row r="380">
      <c r="A380" s="61"/>
      <c r="B380" s="53" t="s">
        <v>610</v>
      </c>
      <c r="C380" s="54" t="s">
        <v>65</v>
      </c>
      <c r="D380" s="54">
        <v>34.0</v>
      </c>
      <c r="E380" s="53" t="s">
        <v>76</v>
      </c>
      <c r="F380" s="54" t="s">
        <v>73</v>
      </c>
      <c r="G380" s="57" t="str">
        <f t="shared" si="1"/>
        <v>Encontra mais 50% de ouro durante as missões</v>
      </c>
      <c r="H380" s="54" t="b">
        <v>1</v>
      </c>
      <c r="I380" s="59" t="s">
        <v>87</v>
      </c>
    </row>
    <row r="381">
      <c r="A381" s="61"/>
      <c r="B381" s="63" t="s">
        <v>611</v>
      </c>
      <c r="C381" s="54" t="s">
        <v>65</v>
      </c>
      <c r="D381" s="55">
        <v>35.0</v>
      </c>
      <c r="E381" s="53" t="s">
        <v>244</v>
      </c>
      <c r="F381" s="54" t="s">
        <v>97</v>
      </c>
      <c r="G381" s="57" t="str">
        <f t="shared" si="1"/>
        <v>Diminui a chance de quebra de equipamento em 30% das vezes</v>
      </c>
      <c r="H381" s="65" t="b">
        <v>0</v>
      </c>
      <c r="I381" s="59" t="s">
        <v>394</v>
      </c>
    </row>
    <row r="382">
      <c r="A382" s="61"/>
      <c r="B382" s="53" t="s">
        <v>612</v>
      </c>
      <c r="C382" s="54" t="s">
        <v>65</v>
      </c>
      <c r="D382" s="54">
        <v>36.0</v>
      </c>
      <c r="E382" s="53" t="s">
        <v>135</v>
      </c>
      <c r="F382" s="54" t="s">
        <v>97</v>
      </c>
      <c r="G382" s="57" t="str">
        <f t="shared" si="1"/>
        <v>Reduz o tempo de espera depois da missão em 50%</v>
      </c>
      <c r="H382" s="54" t="b">
        <v>1</v>
      </c>
      <c r="I382" s="59" t="s">
        <v>100</v>
      </c>
    </row>
    <row r="383">
      <c r="A383" s="61"/>
      <c r="B383" s="63" t="s">
        <v>613</v>
      </c>
      <c r="C383" s="54" t="s">
        <v>65</v>
      </c>
      <c r="D383" s="55">
        <v>38.0</v>
      </c>
      <c r="E383" s="53" t="s">
        <v>431</v>
      </c>
      <c r="F383" s="54" t="s">
        <v>118</v>
      </c>
      <c r="G383" s="57" t="str">
        <f t="shared" si="1"/>
        <v>Reduz a duração da missão em 25%</v>
      </c>
      <c r="H383" s="54" t="b">
        <v>1</v>
      </c>
      <c r="I383" s="59" t="s">
        <v>84</v>
      </c>
    </row>
    <row r="384">
      <c r="A384" s="61"/>
      <c r="B384" s="53" t="s">
        <v>614</v>
      </c>
      <c r="C384" s="54" t="s">
        <v>65</v>
      </c>
      <c r="D384" s="54">
        <v>39.0</v>
      </c>
      <c r="E384" s="53" t="s">
        <v>92</v>
      </c>
      <c r="F384" s="54" t="s">
        <v>97</v>
      </c>
      <c r="G384" s="57" t="str">
        <f t="shared" si="1"/>
        <v>Revive um companheiro derrotado 5% das vezes</v>
      </c>
      <c r="H384" s="54" t="b">
        <v>1</v>
      </c>
      <c r="I384" s="59" t="s">
        <v>100</v>
      </c>
    </row>
    <row r="385">
      <c r="A385" s="61"/>
      <c r="B385" s="63" t="s">
        <v>615</v>
      </c>
      <c r="C385" s="54" t="s">
        <v>65</v>
      </c>
      <c r="D385" s="55">
        <v>43.0</v>
      </c>
      <c r="E385" s="53" t="s">
        <v>279</v>
      </c>
      <c r="F385" s="54" t="s">
        <v>77</v>
      </c>
      <c r="G385" s="57" t="str">
        <f t="shared" si="1"/>
        <v>Aumenta a taxa de sobrevivência do grupo em 8%</v>
      </c>
      <c r="H385" s="65" t="b">
        <v>0</v>
      </c>
      <c r="I385" s="59" t="s">
        <v>206</v>
      </c>
    </row>
    <row r="386">
      <c r="A386" s="61"/>
      <c r="B386" s="63" t="s">
        <v>616</v>
      </c>
      <c r="C386" s="54" t="s">
        <v>65</v>
      </c>
      <c r="D386" s="55">
        <v>44.0</v>
      </c>
      <c r="E386" s="53" t="s">
        <v>249</v>
      </c>
      <c r="F386" s="54" t="s">
        <v>118</v>
      </c>
      <c r="G386" s="57" t="str">
        <f t="shared" si="1"/>
        <v>Reduz o tempo de espera depois da missão em 75%</v>
      </c>
      <c r="H386" s="65" t="b">
        <v>0</v>
      </c>
      <c r="I386" s="59" t="s">
        <v>617</v>
      </c>
    </row>
    <row r="387">
      <c r="A387" s="61"/>
      <c r="B387" s="63" t="s">
        <v>618</v>
      </c>
      <c r="C387" s="54" t="s">
        <v>65</v>
      </c>
      <c r="D387" s="55">
        <v>46.0</v>
      </c>
      <c r="E387" s="53" t="s">
        <v>431</v>
      </c>
      <c r="F387" s="54" t="s">
        <v>118</v>
      </c>
      <c r="G387" s="57" t="str">
        <f t="shared" si="1"/>
        <v>Reduz a duração da missão em 25%</v>
      </c>
      <c r="H387" s="65" t="b">
        <v>0</v>
      </c>
      <c r="I387" s="59" t="s">
        <v>240</v>
      </c>
    </row>
    <row r="388">
      <c r="A388" s="61"/>
      <c r="B388" s="53" t="s">
        <v>619</v>
      </c>
      <c r="C388" s="54" t="s">
        <v>65</v>
      </c>
      <c r="D388" s="55">
        <v>47.0</v>
      </c>
      <c r="E388" s="53" t="s">
        <v>279</v>
      </c>
      <c r="F388" s="54" t="s">
        <v>97</v>
      </c>
      <c r="G388" s="57" t="str">
        <f t="shared" si="1"/>
        <v>Aumenta a taxa de sobrevivência do grupo em 8%</v>
      </c>
      <c r="H388" s="54" t="b">
        <v>1</v>
      </c>
      <c r="I388" s="59" t="s">
        <v>113</v>
      </c>
    </row>
    <row r="389">
      <c r="A389" s="61"/>
      <c r="B389" s="63" t="s">
        <v>620</v>
      </c>
      <c r="C389" s="54" t="s">
        <v>65</v>
      </c>
      <c r="D389" s="55">
        <v>48.0</v>
      </c>
      <c r="E389" s="53" t="s">
        <v>347</v>
      </c>
      <c r="F389" s="54" t="s">
        <v>97</v>
      </c>
      <c r="G389" s="57" t="str">
        <f t="shared" si="1"/>
        <v>Aumenta a força dos guerreiros do grupo em 50%</v>
      </c>
      <c r="H389" s="54" t="b">
        <v>1</v>
      </c>
      <c r="I389" s="59" t="s">
        <v>460</v>
      </c>
    </row>
    <row r="390">
      <c r="A390" s="61"/>
      <c r="B390" s="53" t="s">
        <v>621</v>
      </c>
      <c r="C390" s="54" t="s">
        <v>65</v>
      </c>
      <c r="D390" s="54">
        <v>49.0</v>
      </c>
      <c r="E390" s="53" t="s">
        <v>129</v>
      </c>
      <c r="F390" s="54" t="s">
        <v>118</v>
      </c>
      <c r="G390" s="57" t="str">
        <f t="shared" si="1"/>
        <v>Aumenta o número máximo de artefatos e itens de raid encontrados por cada membro do grupo em +2</v>
      </c>
      <c r="H390" s="54" t="b">
        <v>1</v>
      </c>
      <c r="I390" s="59" t="s">
        <v>161</v>
      </c>
    </row>
    <row r="391">
      <c r="A391" s="61"/>
      <c r="B391" s="63" t="s">
        <v>622</v>
      </c>
      <c r="C391" s="54" t="s">
        <v>65</v>
      </c>
      <c r="D391" s="55">
        <v>50.0</v>
      </c>
      <c r="E391" s="53" t="s">
        <v>103</v>
      </c>
      <c r="F391" s="54" t="s">
        <v>118</v>
      </c>
      <c r="G391" s="57" t="str">
        <f t="shared" si="1"/>
        <v>Reduz o tempo de cura de companheiros em 25%</v>
      </c>
      <c r="H391" s="54" t="b">
        <v>1</v>
      </c>
      <c r="I391" s="59" t="s">
        <v>122</v>
      </c>
    </row>
    <row r="392">
      <c r="A392" s="61"/>
      <c r="B392" s="63" t="s">
        <v>623</v>
      </c>
      <c r="C392" s="54" t="s">
        <v>65</v>
      </c>
      <c r="D392" s="55">
        <v>55.0</v>
      </c>
      <c r="E392" s="53" t="s">
        <v>624</v>
      </c>
      <c r="F392" s="54" t="s">
        <v>118</v>
      </c>
      <c r="G392" s="57" t="str">
        <f t="shared" si="1"/>
        <v>Reduz a chance de companheiros quebrarem o equipamento em 15%</v>
      </c>
      <c r="H392" s="54" t="b">
        <v>1</v>
      </c>
      <c r="I392" s="59" t="s">
        <v>122</v>
      </c>
    </row>
    <row r="393">
      <c r="A393" s="61"/>
      <c r="B393" s="63" t="s">
        <v>625</v>
      </c>
      <c r="C393" s="54" t="s">
        <v>66</v>
      </c>
      <c r="D393" s="55">
        <v>8.0</v>
      </c>
      <c r="E393" s="53" t="s">
        <v>208</v>
      </c>
      <c r="F393" s="54" t="s">
        <v>73</v>
      </c>
      <c r="G393" s="57" t="str">
        <f t="shared" si="1"/>
        <v>Aumenta a força em 25%</v>
      </c>
      <c r="H393" s="65" t="b">
        <v>0</v>
      </c>
      <c r="I393" s="59" t="s">
        <v>626</v>
      </c>
    </row>
    <row r="394">
      <c r="A394" s="61"/>
      <c r="B394" s="53" t="s">
        <v>627</v>
      </c>
      <c r="C394" s="54" t="s">
        <v>66</v>
      </c>
      <c r="D394" s="54">
        <v>10.0</v>
      </c>
      <c r="E394" s="53" t="s">
        <v>412</v>
      </c>
      <c r="F394" s="54" t="s">
        <v>118</v>
      </c>
      <c r="G394" s="57" t="str">
        <f t="shared" si="1"/>
        <v>Aumenta a força 25% das vezes</v>
      </c>
      <c r="H394" s="54" t="b">
        <v>1</v>
      </c>
      <c r="I394" s="59" t="s">
        <v>305</v>
      </c>
    </row>
    <row r="395">
      <c r="A395" s="61"/>
      <c r="B395" s="53" t="s">
        <v>628</v>
      </c>
      <c r="C395" s="54" t="s">
        <v>66</v>
      </c>
      <c r="D395" s="54">
        <v>12.0</v>
      </c>
      <c r="E395" s="53" t="s">
        <v>328</v>
      </c>
      <c r="F395" s="54" t="s">
        <v>77</v>
      </c>
      <c r="G395" s="57" t="str">
        <f t="shared" si="1"/>
        <v>Aumenta a força do equipamento em 10%</v>
      </c>
      <c r="H395" s="54" t="b">
        <v>1</v>
      </c>
      <c r="I395" s="59" t="s">
        <v>78</v>
      </c>
    </row>
    <row r="396">
      <c r="A396" s="61"/>
      <c r="B396" s="53" t="s">
        <v>629</v>
      </c>
      <c r="C396" s="54" t="s">
        <v>66</v>
      </c>
      <c r="D396" s="54">
        <v>24.0</v>
      </c>
      <c r="E396" s="53" t="s">
        <v>361</v>
      </c>
      <c r="F396" s="54" t="s">
        <v>73</v>
      </c>
      <c r="G396" s="57" t="str">
        <f t="shared" si="1"/>
        <v>Aumenta a defesa do equipamento em 10%</v>
      </c>
      <c r="H396" s="54" t="b">
        <v>1</v>
      </c>
      <c r="I396" s="59" t="s">
        <v>139</v>
      </c>
    </row>
    <row r="397">
      <c r="A397" s="61"/>
      <c r="B397" s="53" t="s">
        <v>630</v>
      </c>
      <c r="C397" s="54" t="s">
        <v>66</v>
      </c>
      <c r="D397" s="54">
        <v>25.0</v>
      </c>
      <c r="E397" s="53" t="s">
        <v>431</v>
      </c>
      <c r="F397" s="54" t="s">
        <v>97</v>
      </c>
      <c r="G397" s="57" t="str">
        <f t="shared" si="1"/>
        <v>Reduz a duração da missão em 25%</v>
      </c>
      <c r="H397" s="54" t="b">
        <v>1</v>
      </c>
      <c r="I397" s="59" t="s">
        <v>295</v>
      </c>
    </row>
    <row r="398">
      <c r="A398" s="61"/>
      <c r="B398" s="53" t="s">
        <v>631</v>
      </c>
      <c r="C398" s="54" t="s">
        <v>66</v>
      </c>
      <c r="D398" s="54">
        <v>26.0</v>
      </c>
      <c r="E398" s="53" t="s">
        <v>231</v>
      </c>
      <c r="F398" s="54" t="s">
        <v>77</v>
      </c>
      <c r="G398" s="57" t="str">
        <f t="shared" si="1"/>
        <v>Reduz o tempo de cura de companheiros em 10%</v>
      </c>
      <c r="H398" s="54" t="b">
        <v>1</v>
      </c>
      <c r="I398" s="59" t="s">
        <v>87</v>
      </c>
    </row>
    <row r="399">
      <c r="A399" s="61"/>
      <c r="B399" s="63" t="s">
        <v>632</v>
      </c>
      <c r="C399" s="54" t="s">
        <v>66</v>
      </c>
      <c r="D399" s="55">
        <v>29.0</v>
      </c>
      <c r="E399" s="53" t="s">
        <v>208</v>
      </c>
      <c r="F399" s="54" t="s">
        <v>97</v>
      </c>
      <c r="G399" s="57" t="str">
        <f t="shared" si="1"/>
        <v>Aumenta a força em 25%</v>
      </c>
      <c r="H399" s="65" t="b">
        <v>0</v>
      </c>
      <c r="I399" s="59" t="s">
        <v>351</v>
      </c>
    </row>
    <row r="400">
      <c r="A400" s="61"/>
      <c r="B400" s="53" t="s">
        <v>633</v>
      </c>
      <c r="C400" s="54" t="s">
        <v>66</v>
      </c>
      <c r="D400" s="54">
        <v>35.0</v>
      </c>
      <c r="E400" s="53" t="s">
        <v>208</v>
      </c>
      <c r="F400" s="54" t="s">
        <v>97</v>
      </c>
      <c r="G400" s="57" t="str">
        <f t="shared" si="1"/>
        <v>Aumenta a força em 25%</v>
      </c>
      <c r="H400" s="54" t="b">
        <v>1</v>
      </c>
      <c r="I400" s="59" t="s">
        <v>100</v>
      </c>
    </row>
    <row r="401">
      <c r="A401" s="61"/>
      <c r="B401" s="53" t="s">
        <v>634</v>
      </c>
      <c r="C401" s="54" t="s">
        <v>66</v>
      </c>
      <c r="D401" s="54">
        <v>36.0</v>
      </c>
      <c r="E401" s="53" t="s">
        <v>328</v>
      </c>
      <c r="F401" s="54" t="s">
        <v>73</v>
      </c>
      <c r="G401" s="57" t="str">
        <f t="shared" si="1"/>
        <v>Aumenta a força do equipamento em 10%</v>
      </c>
      <c r="H401" s="54" t="b">
        <v>1</v>
      </c>
      <c r="I401" s="59" t="s">
        <v>100</v>
      </c>
    </row>
    <row r="402">
      <c r="A402" s="61"/>
      <c r="B402" s="53" t="s">
        <v>635</v>
      </c>
      <c r="C402" s="54" t="s">
        <v>66</v>
      </c>
      <c r="D402" s="55">
        <v>38.0</v>
      </c>
      <c r="E402" s="53" t="s">
        <v>269</v>
      </c>
      <c r="F402" s="54" t="s">
        <v>97</v>
      </c>
      <c r="G402" s="57" t="str">
        <f t="shared" si="1"/>
        <v>Aumenta a força em 50%</v>
      </c>
      <c r="H402" s="54" t="b">
        <v>1</v>
      </c>
      <c r="I402" s="59" t="s">
        <v>100</v>
      </c>
    </row>
    <row r="403">
      <c r="A403" s="61"/>
      <c r="B403" s="63" t="s">
        <v>636</v>
      </c>
      <c r="C403" s="54" t="s">
        <v>66</v>
      </c>
      <c r="D403" s="55">
        <v>43.0</v>
      </c>
      <c r="E403" s="53" t="s">
        <v>106</v>
      </c>
      <c r="F403" s="54" t="s">
        <v>73</v>
      </c>
      <c r="G403" s="57" t="str">
        <f t="shared" si="1"/>
        <v>Revive um companheiro derrotado 10% das vezes</v>
      </c>
      <c r="H403" s="65" t="b">
        <v>0</v>
      </c>
      <c r="I403" s="59" t="s">
        <v>321</v>
      </c>
    </row>
    <row r="404">
      <c r="A404" s="61"/>
      <c r="B404" s="53" t="s">
        <v>637</v>
      </c>
      <c r="C404" s="54" t="s">
        <v>66</v>
      </c>
      <c r="D404" s="55">
        <v>45.0</v>
      </c>
      <c r="E404" s="53" t="s">
        <v>96</v>
      </c>
      <c r="F404" s="54" t="s">
        <v>97</v>
      </c>
      <c r="G404" s="57" t="str">
        <f t="shared" si="1"/>
        <v>Aumenta o número máximo de artefatos e itens de raid encontrados em +4</v>
      </c>
      <c r="H404" s="54" t="b">
        <v>1</v>
      </c>
      <c r="I404" s="59" t="s">
        <v>113</v>
      </c>
    </row>
    <row r="405">
      <c r="A405" s="61"/>
      <c r="B405" s="63" t="s">
        <v>638</v>
      </c>
      <c r="C405" s="54" t="s">
        <v>66</v>
      </c>
      <c r="D405" s="55">
        <v>48.0</v>
      </c>
      <c r="E405" s="53" t="s">
        <v>129</v>
      </c>
      <c r="F405" s="54" t="s">
        <v>118</v>
      </c>
      <c r="G405" s="57" t="str">
        <f t="shared" si="1"/>
        <v>Aumenta o número máximo de artefatos e itens de raid encontrados por cada membro do grupo em +2</v>
      </c>
      <c r="H405" s="54" t="b">
        <v>1</v>
      </c>
      <c r="I405" s="59" t="s">
        <v>639</v>
      </c>
    </row>
    <row r="406">
      <c r="A406" s="61"/>
      <c r="B406" s="53" t="s">
        <v>640</v>
      </c>
      <c r="C406" s="54" t="s">
        <v>66</v>
      </c>
      <c r="D406" s="54">
        <v>49.0</v>
      </c>
      <c r="E406" s="53" t="s">
        <v>154</v>
      </c>
      <c r="F406" s="54" t="s">
        <v>118</v>
      </c>
      <c r="G406" s="57" t="str">
        <f t="shared" si="1"/>
        <v>Aumenta a força em 35%</v>
      </c>
      <c r="H406" s="54" t="b">
        <v>1</v>
      </c>
      <c r="I406" s="59" t="s">
        <v>161</v>
      </c>
    </row>
    <row r="407">
      <c r="A407" s="61"/>
      <c r="B407" s="63" t="s">
        <v>641</v>
      </c>
      <c r="C407" s="54" t="s">
        <v>66</v>
      </c>
      <c r="D407" s="55">
        <v>53.0</v>
      </c>
      <c r="E407" s="53" t="s">
        <v>494</v>
      </c>
      <c r="F407" s="54" t="s">
        <v>118</v>
      </c>
      <c r="G407" s="57" t="str">
        <f t="shared" si="1"/>
        <v>Aumenta a força do equipamento em 50%</v>
      </c>
      <c r="H407" s="54" t="b">
        <v>1</v>
      </c>
      <c r="I407" s="59" t="s">
        <v>122</v>
      </c>
    </row>
    <row r="408">
      <c r="A408" s="61"/>
      <c r="B408" s="63" t="s">
        <v>642</v>
      </c>
      <c r="C408" s="54" t="s">
        <v>66</v>
      </c>
      <c r="D408" s="55">
        <v>53.0</v>
      </c>
      <c r="E408" s="53" t="s">
        <v>126</v>
      </c>
      <c r="F408" s="54" t="s">
        <v>118</v>
      </c>
      <c r="G408" s="57" t="str">
        <f t="shared" si="1"/>
        <v>Aumenta o número máximo de artefatos e itens de raid encontrados em +6</v>
      </c>
      <c r="H408" s="65" t="b">
        <v>0</v>
      </c>
      <c r="I408" s="59" t="s">
        <v>335</v>
      </c>
    </row>
    <row r="409">
      <c r="A409" s="61"/>
      <c r="B409" s="63" t="s">
        <v>643</v>
      </c>
      <c r="C409" s="54" t="s">
        <v>66</v>
      </c>
      <c r="D409" s="55">
        <v>58.0</v>
      </c>
      <c r="E409" s="53" t="s">
        <v>224</v>
      </c>
      <c r="F409" s="54" t="s">
        <v>97</v>
      </c>
      <c r="G409" s="57" t="str">
        <f t="shared" si="1"/>
        <v>Reduz o tempo de cura de companheiros em 50%</v>
      </c>
      <c r="H409" s="54" t="b">
        <v>1</v>
      </c>
      <c r="I409" s="59" t="s">
        <v>110</v>
      </c>
    </row>
    <row r="410">
      <c r="A410" s="61"/>
      <c r="B410" s="63" t="s">
        <v>644</v>
      </c>
      <c r="C410" s="54" t="s">
        <v>66</v>
      </c>
      <c r="D410" s="55">
        <v>47.0</v>
      </c>
      <c r="E410" s="53" t="s">
        <v>103</v>
      </c>
      <c r="F410" s="54" t="s">
        <v>118</v>
      </c>
      <c r="G410" s="57" t="str">
        <f t="shared" si="1"/>
        <v>Reduz o tempo de cura de companheiros em 25%</v>
      </c>
      <c r="H410" s="65" t="b">
        <v>0</v>
      </c>
      <c r="I410" s="59" t="s">
        <v>645</v>
      </c>
    </row>
    <row r="411">
      <c r="A411" s="61"/>
      <c r="B411" s="53" t="s">
        <v>646</v>
      </c>
      <c r="C411" s="54" t="s">
        <v>55</v>
      </c>
      <c r="D411" s="54">
        <v>8.0</v>
      </c>
      <c r="E411" s="53" t="s">
        <v>158</v>
      </c>
      <c r="F411" s="54" t="s">
        <v>77</v>
      </c>
      <c r="G411" s="57" t="str">
        <f t="shared" si="1"/>
        <v>25% de bônus de experiência</v>
      </c>
      <c r="H411" s="54" t="b">
        <v>1</v>
      </c>
      <c r="I411" s="59" t="s">
        <v>136</v>
      </c>
    </row>
    <row r="412">
      <c r="A412" s="61"/>
      <c r="B412" s="53" t="s">
        <v>647</v>
      </c>
      <c r="C412" s="54" t="s">
        <v>55</v>
      </c>
      <c r="D412" s="54">
        <v>15.0</v>
      </c>
      <c r="E412" s="53" t="s">
        <v>135</v>
      </c>
      <c r="F412" s="54" t="s">
        <v>77</v>
      </c>
      <c r="G412" s="57" t="str">
        <f t="shared" si="1"/>
        <v>Reduz o tempo de espera depois da missão em 50%</v>
      </c>
      <c r="H412" s="54" t="b">
        <v>1</v>
      </c>
      <c r="I412" s="59" t="s">
        <v>78</v>
      </c>
    </row>
    <row r="413">
      <c r="A413" s="61"/>
      <c r="B413" s="53" t="s">
        <v>648</v>
      </c>
      <c r="C413" s="54" t="s">
        <v>55</v>
      </c>
      <c r="D413" s="54">
        <v>15.0</v>
      </c>
      <c r="E413" s="53" t="s">
        <v>109</v>
      </c>
      <c r="F413" s="54" t="s">
        <v>118</v>
      </c>
      <c r="G413" s="57" t="str">
        <f t="shared" si="1"/>
        <v>Aumenta o número máximo de artefatos e itens de raid encontrados por cada membro do grupo em +1</v>
      </c>
      <c r="H413" s="54" t="b">
        <v>1</v>
      </c>
      <c r="I413" s="59" t="s">
        <v>256</v>
      </c>
    </row>
    <row r="414">
      <c r="A414" s="61"/>
      <c r="B414" s="63" t="s">
        <v>649</v>
      </c>
      <c r="C414" s="54" t="s">
        <v>55</v>
      </c>
      <c r="D414" s="55">
        <v>19.0</v>
      </c>
      <c r="E414" s="53" t="s">
        <v>132</v>
      </c>
      <c r="F414" s="54" t="s">
        <v>73</v>
      </c>
      <c r="G414" s="57" t="str">
        <f t="shared" si="1"/>
        <v>Reduz a duração da missão em 10%</v>
      </c>
      <c r="H414" s="65" t="b">
        <v>0</v>
      </c>
      <c r="I414" s="59" t="s">
        <v>98</v>
      </c>
    </row>
    <row r="415">
      <c r="A415" s="61"/>
      <c r="B415" s="53" t="s">
        <v>650</v>
      </c>
      <c r="C415" s="54" t="s">
        <v>55</v>
      </c>
      <c r="D415" s="54">
        <v>22.0</v>
      </c>
      <c r="E415" s="53" t="s">
        <v>152</v>
      </c>
      <c r="F415" s="54" t="s">
        <v>73</v>
      </c>
      <c r="G415" s="57" t="str">
        <f t="shared" si="1"/>
        <v>Impede que o equipamento de um companheiro se quebre 1 vez</v>
      </c>
      <c r="H415" s="54" t="b">
        <v>1</v>
      </c>
      <c r="I415" s="59" t="s">
        <v>139</v>
      </c>
    </row>
    <row r="416">
      <c r="A416" s="61"/>
      <c r="B416" s="63" t="s">
        <v>651</v>
      </c>
      <c r="C416" s="54" t="s">
        <v>55</v>
      </c>
      <c r="D416" s="55">
        <v>27.0</v>
      </c>
      <c r="E416" s="53" t="s">
        <v>276</v>
      </c>
      <c r="F416" s="54" t="s">
        <v>97</v>
      </c>
      <c r="G416" s="57" t="str">
        <f t="shared" si="1"/>
        <v>50% de bônus de experiência</v>
      </c>
      <c r="H416" s="65" t="b">
        <v>0</v>
      </c>
      <c r="I416" s="59" t="s">
        <v>626</v>
      </c>
    </row>
    <row r="417">
      <c r="A417" s="61"/>
      <c r="B417" s="53" t="s">
        <v>652</v>
      </c>
      <c r="C417" s="54" t="s">
        <v>55</v>
      </c>
      <c r="D417" s="54">
        <v>29.0</v>
      </c>
      <c r="E417" s="53" t="s">
        <v>177</v>
      </c>
      <c r="F417" s="54" t="s">
        <v>73</v>
      </c>
      <c r="G417" s="57" t="str">
        <f t="shared" si="1"/>
        <v>Obtém pelo menos 25% de experiência quando ferido e a missão é bem sucedida</v>
      </c>
      <c r="H417" s="54" t="b">
        <v>1</v>
      </c>
      <c r="I417" s="59" t="s">
        <v>87</v>
      </c>
    </row>
    <row r="418">
      <c r="A418" s="61"/>
      <c r="B418" s="63" t="s">
        <v>653</v>
      </c>
      <c r="C418" s="54" t="s">
        <v>55</v>
      </c>
      <c r="D418" s="55">
        <v>34.0</v>
      </c>
      <c r="E418" s="53" t="s">
        <v>96</v>
      </c>
      <c r="F418" s="54" t="s">
        <v>97</v>
      </c>
      <c r="G418" s="57" t="str">
        <f t="shared" si="1"/>
        <v>Aumenta o número máximo de artefatos e itens de raid encontrados em +4</v>
      </c>
      <c r="H418" s="65" t="b">
        <v>0</v>
      </c>
      <c r="I418" s="59" t="s">
        <v>326</v>
      </c>
    </row>
    <row r="419">
      <c r="A419" s="61"/>
      <c r="B419" s="53" t="s">
        <v>654</v>
      </c>
      <c r="C419" s="54" t="s">
        <v>55</v>
      </c>
      <c r="D419" s="55">
        <v>36.0</v>
      </c>
      <c r="E419" s="53" t="s">
        <v>279</v>
      </c>
      <c r="F419" s="54" t="s">
        <v>73</v>
      </c>
      <c r="G419" s="57" t="str">
        <f t="shared" si="1"/>
        <v>Aumenta a taxa de sobrevivência do grupo em 8%</v>
      </c>
      <c r="H419" s="54" t="b">
        <v>1</v>
      </c>
      <c r="I419" s="59" t="s">
        <v>460</v>
      </c>
    </row>
    <row r="420">
      <c r="A420" s="61"/>
      <c r="B420" s="53" t="s">
        <v>655</v>
      </c>
      <c r="C420" s="54" t="s">
        <v>55</v>
      </c>
      <c r="D420" s="55">
        <v>38.0</v>
      </c>
      <c r="E420" s="53" t="s">
        <v>231</v>
      </c>
      <c r="F420" s="54" t="s">
        <v>97</v>
      </c>
      <c r="G420" s="57" t="str">
        <f t="shared" si="1"/>
        <v>Reduz o tempo de cura de companheiros em 10%</v>
      </c>
      <c r="H420" s="54" t="b">
        <v>1</v>
      </c>
      <c r="I420" s="59" t="s">
        <v>100</v>
      </c>
    </row>
    <row r="421">
      <c r="A421" s="61"/>
      <c r="B421" s="53" t="s">
        <v>656</v>
      </c>
      <c r="C421" s="54" t="s">
        <v>55</v>
      </c>
      <c r="D421" s="55">
        <v>40.0</v>
      </c>
      <c r="E421" s="53" t="s">
        <v>187</v>
      </c>
      <c r="F421" s="54" t="s">
        <v>97</v>
      </c>
      <c r="G421" s="57" t="str">
        <f t="shared" si="1"/>
        <v>Aumenta a taxa de sobrevivência do grupo em 2%</v>
      </c>
      <c r="H421" s="54" t="b">
        <v>1</v>
      </c>
      <c r="I421" s="59" t="s">
        <v>100</v>
      </c>
    </row>
    <row r="422">
      <c r="A422" s="61"/>
      <c r="B422" s="63" t="s">
        <v>657</v>
      </c>
      <c r="C422" s="54" t="s">
        <v>55</v>
      </c>
      <c r="D422" s="55">
        <v>44.0</v>
      </c>
      <c r="E422" s="53" t="s">
        <v>143</v>
      </c>
      <c r="F422" s="54" t="s">
        <v>118</v>
      </c>
      <c r="G422" s="57" t="str">
        <f t="shared" si="1"/>
        <v>Evita ferimentos 20% das vezes</v>
      </c>
      <c r="H422" s="65" t="b">
        <v>0</v>
      </c>
      <c r="I422" s="59" t="s">
        <v>658</v>
      </c>
    </row>
    <row r="423">
      <c r="A423" s="61"/>
      <c r="B423" s="53" t="s">
        <v>659</v>
      </c>
      <c r="C423" s="54" t="s">
        <v>55</v>
      </c>
      <c r="D423" s="55">
        <v>45.0</v>
      </c>
      <c r="E423" s="53" t="s">
        <v>252</v>
      </c>
      <c r="F423" s="54" t="s">
        <v>118</v>
      </c>
      <c r="G423" s="57" t="str">
        <f t="shared" si="1"/>
        <v>Aumenta a força dos feiticeiros do grupo em 20%</v>
      </c>
      <c r="H423" s="54" t="b">
        <v>1</v>
      </c>
      <c r="I423" s="59" t="s">
        <v>113</v>
      </c>
    </row>
    <row r="424">
      <c r="A424" s="61"/>
      <c r="B424" s="53" t="s">
        <v>660</v>
      </c>
      <c r="C424" s="54" t="s">
        <v>55</v>
      </c>
      <c r="D424" s="55">
        <v>49.0</v>
      </c>
      <c r="E424" s="53" t="s">
        <v>121</v>
      </c>
      <c r="F424" s="54" t="s">
        <v>97</v>
      </c>
      <c r="G424" s="57" t="str">
        <f t="shared" si="1"/>
        <v>Aumenta a força do equipamento em 25%</v>
      </c>
      <c r="H424" s="54" t="b">
        <v>1</v>
      </c>
      <c r="I424" s="59" t="s">
        <v>122</v>
      </c>
    </row>
    <row r="425">
      <c r="A425" s="61"/>
      <c r="B425" s="63" t="s">
        <v>661</v>
      </c>
      <c r="C425" s="54" t="s">
        <v>55</v>
      </c>
      <c r="D425" s="55">
        <v>52.0</v>
      </c>
      <c r="E425" s="53" t="s">
        <v>197</v>
      </c>
      <c r="F425" s="54" t="s">
        <v>118</v>
      </c>
      <c r="G425" s="57" t="str">
        <f t="shared" si="1"/>
        <v>Revive um companheiro derrotado 15% das vezes</v>
      </c>
      <c r="H425" s="65" t="b">
        <v>0</v>
      </c>
      <c r="I425" s="59" t="s">
        <v>362</v>
      </c>
    </row>
    <row r="426">
      <c r="A426" s="61"/>
      <c r="B426" s="63" t="s">
        <v>662</v>
      </c>
      <c r="C426" s="54" t="s">
        <v>55</v>
      </c>
      <c r="D426" s="55">
        <v>55.0</v>
      </c>
      <c r="E426" s="53" t="s">
        <v>146</v>
      </c>
      <c r="F426" s="54" t="s">
        <v>97</v>
      </c>
      <c r="G426" s="57" t="str">
        <f t="shared" si="1"/>
        <v>Aumenta o número mínimo de itens e artefatos encontrados em +1</v>
      </c>
      <c r="H426" s="54" t="b">
        <v>1</v>
      </c>
      <c r="I426" s="59" t="s">
        <v>122</v>
      </c>
    </row>
    <row r="427">
      <c r="A427" s="61"/>
      <c r="B427" s="63" t="s">
        <v>663</v>
      </c>
      <c r="C427" s="54" t="s">
        <v>55</v>
      </c>
      <c r="D427" s="55">
        <v>56.0</v>
      </c>
      <c r="E427" s="53" t="s">
        <v>664</v>
      </c>
      <c r="F427" s="54" t="s">
        <v>97</v>
      </c>
      <c r="G427" s="57" t="str">
        <f t="shared" si="1"/>
        <v>Aumenta a força do equipamento em 75%</v>
      </c>
      <c r="H427" s="54" t="b">
        <v>1</v>
      </c>
      <c r="I427" s="59" t="s">
        <v>293</v>
      </c>
    </row>
    <row r="428">
      <c r="A428" s="61"/>
      <c r="B428" s="53" t="s">
        <v>665</v>
      </c>
      <c r="C428" s="54" t="s">
        <v>55</v>
      </c>
      <c r="D428" s="55">
        <v>57.0</v>
      </c>
      <c r="E428" s="53" t="s">
        <v>222</v>
      </c>
      <c r="F428" s="54" t="s">
        <v>118</v>
      </c>
      <c r="G428" s="57" t="str">
        <f t="shared" si="1"/>
        <v>Reduz a duração da missão em 50%</v>
      </c>
      <c r="H428" s="54" t="b">
        <v>1</v>
      </c>
      <c r="I428" s="59" t="s">
        <v>277</v>
      </c>
    </row>
    <row r="429">
      <c r="A429" s="61"/>
      <c r="B429" s="63" t="s">
        <v>666</v>
      </c>
      <c r="C429" s="54" t="s">
        <v>45</v>
      </c>
      <c r="D429" s="55">
        <v>12.0</v>
      </c>
      <c r="E429" s="53" t="s">
        <v>276</v>
      </c>
      <c r="F429" s="54" t="s">
        <v>97</v>
      </c>
      <c r="G429" s="57" t="str">
        <f t="shared" si="1"/>
        <v>50% de bônus de experiência</v>
      </c>
      <c r="H429" s="65" t="b">
        <v>0</v>
      </c>
      <c r="I429" s="59" t="s">
        <v>321</v>
      </c>
    </row>
    <row r="430">
      <c r="A430" s="61"/>
      <c r="B430" s="53" t="s">
        <v>667</v>
      </c>
      <c r="C430" s="54" t="s">
        <v>45</v>
      </c>
      <c r="D430" s="54">
        <v>13.0</v>
      </c>
      <c r="E430" s="53" t="s">
        <v>72</v>
      </c>
      <c r="F430" s="54" t="s">
        <v>73</v>
      </c>
      <c r="G430" s="57" t="str">
        <f t="shared" si="1"/>
        <v>Aumenta a força em 40%</v>
      </c>
      <c r="H430" s="54" t="b">
        <v>1</v>
      </c>
      <c r="I430" s="59" t="s">
        <v>78</v>
      </c>
    </row>
    <row r="431">
      <c r="A431" s="61"/>
      <c r="B431" s="53" t="s">
        <v>668</v>
      </c>
      <c r="C431" s="54" t="s">
        <v>45</v>
      </c>
      <c r="D431" s="54">
        <v>19.0</v>
      </c>
      <c r="E431" s="53" t="s">
        <v>210</v>
      </c>
      <c r="F431" s="54" t="s">
        <v>77</v>
      </c>
      <c r="G431" s="57" t="str">
        <f t="shared" si="1"/>
        <v>Aumenta a força dos feiticeiros do grupo em 10%</v>
      </c>
      <c r="H431" s="54" t="b">
        <v>1</v>
      </c>
      <c r="I431" s="59" t="s">
        <v>139</v>
      </c>
    </row>
    <row r="432">
      <c r="A432" s="61"/>
      <c r="B432" s="63" t="s">
        <v>669</v>
      </c>
      <c r="C432" s="54" t="s">
        <v>45</v>
      </c>
      <c r="D432" s="55">
        <v>23.0</v>
      </c>
      <c r="E432" s="53" t="s">
        <v>152</v>
      </c>
      <c r="F432" s="54" t="s">
        <v>77</v>
      </c>
      <c r="G432" s="57" t="str">
        <f t="shared" si="1"/>
        <v>Impede que o equipamento de um companheiro se quebre 1 vez</v>
      </c>
      <c r="H432" s="65" t="b">
        <v>0</v>
      </c>
      <c r="I432" s="59" t="s">
        <v>107</v>
      </c>
    </row>
    <row r="433">
      <c r="A433" s="61"/>
      <c r="B433" s="53" t="s">
        <v>670</v>
      </c>
      <c r="C433" s="54" t="s">
        <v>45</v>
      </c>
      <c r="D433" s="54">
        <v>28.0</v>
      </c>
      <c r="E433" s="53" t="s">
        <v>431</v>
      </c>
      <c r="F433" s="54" t="s">
        <v>118</v>
      </c>
      <c r="G433" s="57" t="str">
        <f t="shared" si="1"/>
        <v>Reduz a duração da missão em 25%</v>
      </c>
      <c r="H433" s="54" t="b">
        <v>1</v>
      </c>
      <c r="I433" s="59" t="s">
        <v>215</v>
      </c>
    </row>
    <row r="434">
      <c r="A434" s="61"/>
      <c r="B434" s="53" t="s">
        <v>671</v>
      </c>
      <c r="C434" s="54" t="s">
        <v>45</v>
      </c>
      <c r="D434" s="54">
        <v>29.0</v>
      </c>
      <c r="E434" s="53" t="s">
        <v>158</v>
      </c>
      <c r="F434" s="54" t="s">
        <v>97</v>
      </c>
      <c r="G434" s="57" t="str">
        <f t="shared" si="1"/>
        <v>25% de bônus de experiência</v>
      </c>
      <c r="H434" s="54" t="b">
        <v>1</v>
      </c>
      <c r="I434" s="59" t="s">
        <v>87</v>
      </c>
    </row>
    <row r="435">
      <c r="A435" s="61"/>
      <c r="B435" s="53" t="s">
        <v>672</v>
      </c>
      <c r="C435" s="54" t="s">
        <v>45</v>
      </c>
      <c r="D435" s="54">
        <v>32.0</v>
      </c>
      <c r="E435" s="53" t="s">
        <v>210</v>
      </c>
      <c r="F435" s="54" t="s">
        <v>73</v>
      </c>
      <c r="G435" s="57" t="str">
        <f t="shared" si="1"/>
        <v>Aumenta a força dos feiticeiros do grupo em 10%</v>
      </c>
      <c r="H435" s="54" t="b">
        <v>1</v>
      </c>
      <c r="I435" s="59" t="s">
        <v>87</v>
      </c>
    </row>
    <row r="436">
      <c r="A436" s="61"/>
      <c r="B436" s="63" t="s">
        <v>673</v>
      </c>
      <c r="C436" s="54" t="s">
        <v>45</v>
      </c>
      <c r="D436" s="55">
        <v>33.0</v>
      </c>
      <c r="E436" s="53" t="s">
        <v>285</v>
      </c>
      <c r="F436" s="54" t="s">
        <v>97</v>
      </c>
      <c r="G436" s="57" t="str">
        <f t="shared" si="1"/>
        <v>Evita ferimentos 15% das vezes</v>
      </c>
      <c r="H436" s="65" t="b">
        <v>0</v>
      </c>
      <c r="I436" s="59" t="s">
        <v>674</v>
      </c>
    </row>
    <row r="437">
      <c r="A437" s="61"/>
      <c r="B437" s="63" t="s">
        <v>675</v>
      </c>
      <c r="C437" s="54" t="s">
        <v>45</v>
      </c>
      <c r="D437" s="55">
        <v>37.0</v>
      </c>
      <c r="E437" s="53" t="s">
        <v>291</v>
      </c>
      <c r="F437" s="54" t="s">
        <v>97</v>
      </c>
      <c r="G437" s="57" t="str">
        <f t="shared" si="1"/>
        <v>Evita ferimentos 30% das vezes</v>
      </c>
      <c r="H437" s="54" t="b">
        <v>1</v>
      </c>
      <c r="I437" s="59" t="s">
        <v>293</v>
      </c>
    </row>
    <row r="438">
      <c r="A438" s="61"/>
      <c r="B438" s="53" t="s">
        <v>676</v>
      </c>
      <c r="C438" s="54" t="s">
        <v>45</v>
      </c>
      <c r="D438" s="55">
        <v>38.0</v>
      </c>
      <c r="E438" s="53" t="s">
        <v>231</v>
      </c>
      <c r="F438" s="54" t="s">
        <v>97</v>
      </c>
      <c r="G438" s="57" t="str">
        <f t="shared" si="1"/>
        <v>Reduz o tempo de cura de companheiros em 10%</v>
      </c>
      <c r="H438" s="54" t="b">
        <v>1</v>
      </c>
      <c r="I438" s="59" t="s">
        <v>100</v>
      </c>
    </row>
    <row r="439">
      <c r="A439" s="61"/>
      <c r="B439" s="53" t="s">
        <v>677</v>
      </c>
      <c r="C439" s="54" t="s">
        <v>45</v>
      </c>
      <c r="D439" s="55">
        <v>39.0</v>
      </c>
      <c r="E439" s="53" t="s">
        <v>210</v>
      </c>
      <c r="F439" s="54" t="s">
        <v>97</v>
      </c>
      <c r="G439" s="57" t="str">
        <f t="shared" si="1"/>
        <v>Aumenta a força dos feiticeiros do grupo em 10%</v>
      </c>
      <c r="H439" s="54" t="b">
        <v>1</v>
      </c>
      <c r="I439" s="59" t="s">
        <v>100</v>
      </c>
    </row>
    <row r="440">
      <c r="A440" s="61"/>
      <c r="B440" s="53" t="s">
        <v>678</v>
      </c>
      <c r="C440" s="54" t="s">
        <v>45</v>
      </c>
      <c r="D440" s="54">
        <v>41.0</v>
      </c>
      <c r="E440" s="53" t="s">
        <v>143</v>
      </c>
      <c r="F440" s="54" t="s">
        <v>97</v>
      </c>
      <c r="G440" s="57" t="str">
        <f t="shared" si="1"/>
        <v>Evita ferimentos 20% das vezes</v>
      </c>
      <c r="H440" s="54" t="b">
        <v>1</v>
      </c>
      <c r="I440" s="59" t="s">
        <v>277</v>
      </c>
    </row>
    <row r="441">
      <c r="A441" s="61"/>
      <c r="B441" s="63" t="s">
        <v>679</v>
      </c>
      <c r="C441" s="54" t="s">
        <v>45</v>
      </c>
      <c r="D441" s="55">
        <v>42.0</v>
      </c>
      <c r="E441" s="53" t="s">
        <v>484</v>
      </c>
      <c r="F441" s="54" t="s">
        <v>97</v>
      </c>
      <c r="G441" s="57" t="str">
        <f t="shared" si="1"/>
        <v>Aumenta o número mínimo de itens e artefatos encontrados em +2</v>
      </c>
      <c r="H441" s="65" t="b">
        <v>0</v>
      </c>
      <c r="I441" s="59" t="s">
        <v>383</v>
      </c>
    </row>
    <row r="442">
      <c r="A442" s="61"/>
      <c r="B442" s="63" t="s">
        <v>680</v>
      </c>
      <c r="C442" s="54" t="s">
        <v>45</v>
      </c>
      <c r="D442" s="55">
        <v>46.0</v>
      </c>
      <c r="E442" s="53" t="s">
        <v>681</v>
      </c>
      <c r="F442" s="54" t="s">
        <v>118</v>
      </c>
      <c r="G442" s="57" t="str">
        <f t="shared" si="1"/>
        <v>Aumenta a taxa de sobrevivência de membros femininos do grupo em 25%</v>
      </c>
      <c r="H442" s="65" t="b">
        <v>0</v>
      </c>
      <c r="I442" s="59" t="s">
        <v>626</v>
      </c>
    </row>
    <row r="443">
      <c r="A443" s="61"/>
      <c r="B443" s="53" t="s">
        <v>682</v>
      </c>
      <c r="C443" s="54" t="s">
        <v>45</v>
      </c>
      <c r="D443" s="55">
        <v>47.0</v>
      </c>
      <c r="E443" s="53" t="s">
        <v>252</v>
      </c>
      <c r="F443" s="54" t="s">
        <v>73</v>
      </c>
      <c r="G443" s="57" t="str">
        <f t="shared" si="1"/>
        <v>Aumenta a força dos feiticeiros do grupo em 20%</v>
      </c>
      <c r="H443" s="54" t="b">
        <v>1</v>
      </c>
      <c r="I443" s="59" t="s">
        <v>113</v>
      </c>
    </row>
    <row r="444">
      <c r="A444" s="61"/>
      <c r="B444" s="63" t="s">
        <v>683</v>
      </c>
      <c r="C444" s="54" t="s">
        <v>45</v>
      </c>
      <c r="D444" s="55">
        <v>50.0</v>
      </c>
      <c r="E444" s="53" t="s">
        <v>279</v>
      </c>
      <c r="F444" s="54" t="s">
        <v>118</v>
      </c>
      <c r="G444" s="57" t="str">
        <f t="shared" si="1"/>
        <v>Aumenta a taxa de sobrevivência do grupo em 8%</v>
      </c>
      <c r="H444" s="54" t="b">
        <v>1</v>
      </c>
      <c r="I444" s="59" t="s">
        <v>122</v>
      </c>
    </row>
    <row r="445">
      <c r="A445" s="61"/>
      <c r="B445" s="63" t="s">
        <v>684</v>
      </c>
      <c r="C445" s="54" t="s">
        <v>45</v>
      </c>
      <c r="D445" s="55">
        <v>51.0</v>
      </c>
      <c r="E445" s="53" t="s">
        <v>199</v>
      </c>
      <c r="F445" s="54" t="s">
        <v>118</v>
      </c>
      <c r="G445" s="57" t="str">
        <f t="shared" si="1"/>
        <v>Impede que o equipamento de um companheiro se quebre 3 vezes</v>
      </c>
      <c r="H445" s="65" t="b">
        <v>0</v>
      </c>
      <c r="I445" s="59" t="s">
        <v>233</v>
      </c>
    </row>
    <row r="446">
      <c r="A446" s="61"/>
      <c r="B446" s="53" t="s">
        <v>685</v>
      </c>
      <c r="C446" s="54" t="s">
        <v>45</v>
      </c>
      <c r="D446" s="55">
        <v>52.0</v>
      </c>
      <c r="E446" s="53" t="s">
        <v>686</v>
      </c>
      <c r="F446" s="54" t="s">
        <v>118</v>
      </c>
      <c r="G446" s="57" t="str">
        <f t="shared" si="1"/>
        <v>Aumenta a força dos feiticeiros do grupo em 30%</v>
      </c>
      <c r="H446" s="54" t="b">
        <v>1</v>
      </c>
      <c r="I446" s="59" t="s">
        <v>122</v>
      </c>
    </row>
    <row r="447">
      <c r="A447" s="61"/>
      <c r="B447" s="63" t="s">
        <v>687</v>
      </c>
      <c r="C447" s="54" t="s">
        <v>45</v>
      </c>
      <c r="D447" s="55">
        <v>53.0</v>
      </c>
      <c r="E447" s="53" t="s">
        <v>199</v>
      </c>
      <c r="F447" s="54" t="s">
        <v>118</v>
      </c>
      <c r="G447" s="57" t="str">
        <f t="shared" si="1"/>
        <v>Impede que o equipamento de um companheiro se quebre 3 vezes</v>
      </c>
      <c r="H447" s="54" t="b">
        <v>0</v>
      </c>
      <c r="I447" s="59" t="s">
        <v>127</v>
      </c>
    </row>
    <row r="448">
      <c r="A448" s="61"/>
      <c r="B448" s="63" t="s">
        <v>688</v>
      </c>
      <c r="C448" s="54" t="s">
        <v>45</v>
      </c>
      <c r="D448" s="55">
        <v>55.0</v>
      </c>
      <c r="E448" s="53" t="s">
        <v>197</v>
      </c>
      <c r="F448" s="54" t="s">
        <v>118</v>
      </c>
      <c r="G448" s="57" t="str">
        <f t="shared" si="1"/>
        <v>Revive um companheiro derrotado 15% das vezes</v>
      </c>
      <c r="H448" s="54" t="b">
        <v>1</v>
      </c>
      <c r="I448" s="59" t="s">
        <v>485</v>
      </c>
    </row>
    <row r="449">
      <c r="A449" s="61"/>
      <c r="B449" s="53" t="s">
        <v>689</v>
      </c>
      <c r="C449" s="54" t="s">
        <v>47</v>
      </c>
      <c r="D449" s="54">
        <v>12.0</v>
      </c>
      <c r="E449" s="53" t="s">
        <v>146</v>
      </c>
      <c r="F449" s="54" t="s">
        <v>97</v>
      </c>
      <c r="G449" s="57" t="str">
        <f t="shared" si="1"/>
        <v>Aumenta o número mínimo de itens e artefatos encontrados em +1</v>
      </c>
      <c r="H449" s="54" t="b">
        <v>1</v>
      </c>
      <c r="I449" s="59" t="s">
        <v>78</v>
      </c>
    </row>
    <row r="450">
      <c r="A450" s="61"/>
      <c r="B450" s="53" t="s">
        <v>690</v>
      </c>
      <c r="C450" s="54" t="s">
        <v>47</v>
      </c>
      <c r="D450" s="54">
        <v>17.0</v>
      </c>
      <c r="E450" s="53" t="s">
        <v>80</v>
      </c>
      <c r="F450" s="54" t="s">
        <v>97</v>
      </c>
      <c r="G450" s="57" t="str">
        <f t="shared" si="1"/>
        <v>Aumenta o número de companheiros em +1</v>
      </c>
      <c r="H450" s="54" t="b">
        <v>1</v>
      </c>
      <c r="I450" s="59" t="s">
        <v>139</v>
      </c>
    </row>
    <row r="451">
      <c r="A451" s="61"/>
      <c r="B451" s="53" t="s">
        <v>691</v>
      </c>
      <c r="C451" s="54" t="s">
        <v>47</v>
      </c>
      <c r="D451" s="54">
        <v>28.0</v>
      </c>
      <c r="E451" s="53" t="s">
        <v>135</v>
      </c>
      <c r="F451" s="54" t="s">
        <v>73</v>
      </c>
      <c r="G451" s="57" t="str">
        <f t="shared" si="1"/>
        <v>Reduz o tempo de espera depois da missão em 50%</v>
      </c>
      <c r="H451" s="54" t="b">
        <v>1</v>
      </c>
      <c r="I451" s="59" t="s">
        <v>87</v>
      </c>
    </row>
    <row r="452">
      <c r="A452" s="61"/>
      <c r="B452" s="53" t="s">
        <v>692</v>
      </c>
      <c r="C452" s="54" t="s">
        <v>47</v>
      </c>
      <c r="D452" s="54">
        <v>33.0</v>
      </c>
      <c r="E452" s="53" t="s">
        <v>158</v>
      </c>
      <c r="F452" s="54" t="s">
        <v>73</v>
      </c>
      <c r="G452" s="57" t="str">
        <f t="shared" si="1"/>
        <v>25% de bônus de experiência</v>
      </c>
      <c r="H452" s="54" t="b">
        <v>1</v>
      </c>
      <c r="I452" s="59" t="s">
        <v>87</v>
      </c>
    </row>
    <row r="453">
      <c r="A453" s="61"/>
      <c r="B453" s="53" t="s">
        <v>693</v>
      </c>
      <c r="C453" s="54" t="s">
        <v>47</v>
      </c>
      <c r="D453" s="54">
        <v>35.0</v>
      </c>
      <c r="E453" s="53" t="s">
        <v>109</v>
      </c>
      <c r="F453" s="54" t="s">
        <v>97</v>
      </c>
      <c r="G453" s="57" t="str">
        <f t="shared" si="1"/>
        <v>Aumenta o número máximo de artefatos e itens de raid encontrados por cada membro do grupo em +1</v>
      </c>
      <c r="H453" s="54" t="b">
        <v>1</v>
      </c>
      <c r="I453" s="59" t="s">
        <v>215</v>
      </c>
    </row>
    <row r="454">
      <c r="A454" s="61"/>
      <c r="B454" s="53" t="s">
        <v>694</v>
      </c>
      <c r="C454" s="54" t="s">
        <v>47</v>
      </c>
      <c r="D454" s="55">
        <v>37.0</v>
      </c>
      <c r="E454" s="53" t="s">
        <v>484</v>
      </c>
      <c r="F454" s="54" t="s">
        <v>97</v>
      </c>
      <c r="G454" s="57" t="str">
        <f t="shared" si="1"/>
        <v>Aumenta o número mínimo de itens e artefatos encontrados em +2</v>
      </c>
      <c r="H454" s="54" t="b">
        <v>1</v>
      </c>
      <c r="I454" s="59" t="s">
        <v>513</v>
      </c>
    </row>
    <row r="455">
      <c r="A455" s="61"/>
      <c r="B455" s="63" t="s">
        <v>695</v>
      </c>
      <c r="C455" s="54" t="s">
        <v>47</v>
      </c>
      <c r="D455" s="55">
        <v>38.0</v>
      </c>
      <c r="E455" s="53" t="s">
        <v>328</v>
      </c>
      <c r="F455" s="54" t="s">
        <v>97</v>
      </c>
      <c r="G455" s="57" t="str">
        <f t="shared" si="1"/>
        <v>Aumenta a força do equipamento em 10%</v>
      </c>
      <c r="H455" s="54" t="b">
        <v>1</v>
      </c>
      <c r="I455" s="59" t="s">
        <v>100</v>
      </c>
    </row>
    <row r="456">
      <c r="A456" s="61"/>
      <c r="B456" s="63" t="s">
        <v>696</v>
      </c>
      <c r="C456" s="54" t="s">
        <v>47</v>
      </c>
      <c r="D456" s="55">
        <v>40.0</v>
      </c>
      <c r="E456" s="53" t="s">
        <v>431</v>
      </c>
      <c r="F456" s="54" t="s">
        <v>73</v>
      </c>
      <c r="G456" s="57" t="str">
        <f t="shared" si="1"/>
        <v>Reduz a duração da missão em 25%</v>
      </c>
      <c r="H456" s="65" t="b">
        <v>0</v>
      </c>
      <c r="I456" s="59" t="s">
        <v>144</v>
      </c>
    </row>
    <row r="457">
      <c r="A457" s="61"/>
      <c r="B457" s="53" t="s">
        <v>697</v>
      </c>
      <c r="C457" s="54" t="s">
        <v>47</v>
      </c>
      <c r="D457" s="55">
        <v>41.0</v>
      </c>
      <c r="E457" s="53" t="s">
        <v>94</v>
      </c>
      <c r="F457" s="54" t="s">
        <v>97</v>
      </c>
      <c r="G457" s="57" t="str">
        <f t="shared" si="1"/>
        <v>Aumenta a taxa de sobrevivência de membros femininos do grupo em 5%</v>
      </c>
      <c r="H457" s="54" t="b">
        <v>1</v>
      </c>
      <c r="I457" s="59" t="s">
        <v>100</v>
      </c>
    </row>
    <row r="458">
      <c r="A458" s="61"/>
      <c r="B458" s="63" t="s">
        <v>698</v>
      </c>
      <c r="C458" s="54" t="s">
        <v>47</v>
      </c>
      <c r="D458" s="55">
        <v>44.0</v>
      </c>
      <c r="E458" s="53" t="s">
        <v>249</v>
      </c>
      <c r="F458" s="54" t="s">
        <v>97</v>
      </c>
      <c r="G458" s="57" t="str">
        <f t="shared" si="1"/>
        <v>Reduz o tempo de espera depois da missão em 75%</v>
      </c>
      <c r="H458" s="54" t="b">
        <v>1</v>
      </c>
      <c r="I458" s="59" t="s">
        <v>110</v>
      </c>
    </row>
    <row r="459">
      <c r="A459" s="61"/>
      <c r="B459" s="63" t="s">
        <v>699</v>
      </c>
      <c r="C459" s="54" t="s">
        <v>47</v>
      </c>
      <c r="D459" s="55">
        <v>45.0</v>
      </c>
      <c r="E459" s="53" t="s">
        <v>700</v>
      </c>
      <c r="F459" s="54" t="s">
        <v>118</v>
      </c>
      <c r="G459" s="57" t="str">
        <f t="shared" si="1"/>
        <v>Aumenta a taxa de sobrevivência de membros masculinos do grupo em 25%</v>
      </c>
      <c r="H459" s="65" t="b">
        <v>0</v>
      </c>
      <c r="I459" s="59" t="s">
        <v>264</v>
      </c>
    </row>
    <row r="460">
      <c r="A460" s="61"/>
      <c r="B460" s="53" t="s">
        <v>701</v>
      </c>
      <c r="C460" s="54" t="s">
        <v>47</v>
      </c>
      <c r="D460" s="54">
        <v>47.0</v>
      </c>
      <c r="E460" s="53" t="s">
        <v>325</v>
      </c>
      <c r="F460" s="54" t="s">
        <v>73</v>
      </c>
      <c r="G460" s="57" t="str">
        <f t="shared" si="1"/>
        <v>100% de bônus de experiência</v>
      </c>
      <c r="H460" s="54" t="b">
        <v>1</v>
      </c>
      <c r="I460" s="59" t="s">
        <v>113</v>
      </c>
    </row>
    <row r="461">
      <c r="A461" s="61"/>
      <c r="B461" s="53" t="s">
        <v>702</v>
      </c>
      <c r="C461" s="54" t="s">
        <v>47</v>
      </c>
      <c r="D461" s="55">
        <v>49.0</v>
      </c>
      <c r="E461" s="53" t="s">
        <v>129</v>
      </c>
      <c r="F461" s="54" t="s">
        <v>118</v>
      </c>
      <c r="G461" s="57" t="str">
        <f t="shared" si="1"/>
        <v>Aumenta o número máximo de artefatos e itens de raid encontrados por cada membro do grupo em +2</v>
      </c>
      <c r="H461" s="54" t="b">
        <v>1</v>
      </c>
      <c r="I461" s="59" t="s">
        <v>104</v>
      </c>
    </row>
    <row r="462">
      <c r="A462" s="61"/>
      <c r="B462" s="53" t="s">
        <v>703</v>
      </c>
      <c r="C462" s="54" t="s">
        <v>47</v>
      </c>
      <c r="D462" s="54">
        <v>50.0</v>
      </c>
      <c r="E462" s="53" t="s">
        <v>109</v>
      </c>
      <c r="F462" s="54" t="s">
        <v>77</v>
      </c>
      <c r="G462" s="57" t="str">
        <f t="shared" si="1"/>
        <v>Aumenta o número máximo de artefatos e itens de raid encontrados por cada membro do grupo em +1</v>
      </c>
      <c r="H462" s="54" t="b">
        <v>1</v>
      </c>
      <c r="I462" s="59" t="s">
        <v>172</v>
      </c>
    </row>
    <row r="463">
      <c r="A463" s="61"/>
      <c r="B463" s="53" t="s">
        <v>704</v>
      </c>
      <c r="C463" s="54" t="s">
        <v>47</v>
      </c>
      <c r="D463" s="55">
        <v>50.0</v>
      </c>
      <c r="E463" s="53" t="s">
        <v>285</v>
      </c>
      <c r="F463" s="54" t="s">
        <v>118</v>
      </c>
      <c r="G463" s="57" t="str">
        <f t="shared" si="1"/>
        <v>Evita ferimentos 15% das vezes</v>
      </c>
      <c r="H463" s="54" t="b">
        <v>1</v>
      </c>
      <c r="I463" s="59" t="s">
        <v>122</v>
      </c>
    </row>
    <row r="464">
      <c r="A464" s="61"/>
      <c r="B464" s="53" t="s">
        <v>705</v>
      </c>
      <c r="C464" s="54" t="s">
        <v>47</v>
      </c>
      <c r="D464" s="55">
        <v>55.0</v>
      </c>
      <c r="E464" s="53" t="s">
        <v>367</v>
      </c>
      <c r="F464" s="54" t="s">
        <v>118</v>
      </c>
      <c r="G464" s="57" t="str">
        <f t="shared" si="1"/>
        <v>Impede que 3 peças de equipamento se quebre durante a missão</v>
      </c>
      <c r="H464" s="54" t="b">
        <v>1</v>
      </c>
      <c r="I464" s="59" t="s">
        <v>122</v>
      </c>
    </row>
    <row r="465">
      <c r="A465" s="61"/>
      <c r="B465" s="63" t="s">
        <v>706</v>
      </c>
      <c r="C465" s="54" t="s">
        <v>47</v>
      </c>
      <c r="D465" s="55">
        <v>56.0</v>
      </c>
      <c r="E465" s="53" t="s">
        <v>171</v>
      </c>
      <c r="F465" s="54" t="s">
        <v>118</v>
      </c>
      <c r="G465" s="57" t="str">
        <f t="shared" si="1"/>
        <v>Reduz o tempo de espera depois da missão em 100%</v>
      </c>
      <c r="H465" s="54" t="b">
        <v>1</v>
      </c>
      <c r="I465" s="59" t="s">
        <v>277</v>
      </c>
    </row>
    <row r="466">
      <c r="A466" s="61"/>
      <c r="B466" s="63"/>
      <c r="C466" s="54"/>
      <c r="D466" s="54"/>
      <c r="E466" s="53"/>
      <c r="F466" s="54"/>
      <c r="G466" s="57" t="str">
        <f t="shared" ref="G466:G657" si="2">IF(or(E466="Bola de fogo", E466="Cortar", E466="Esmagar"), "Aumenta a força em 25%",
if(E466="Pele de pedra", "Aumenta a força em 30%",
if(E466="Berserker", "Aumenta a força em 35%",
if(E466="Cone-gélido", "Aumenta a força em 40%",
if(E466="Raio elétrico", "Aumenta a força em 50%",
if(E466="Emboscada", "Aumenta a força 25% das vezes",
if(E466="Defesa", "Aumenta a defesa do equipamento em 10%",
if(E466="Passo das Sombras", "Evita ferimentos 15% das vezes",
if(E466="Detectar segredo", "Aumenta o número máximo de artefatos e itens de ataque encontrados por cada membro do grupo em +1",
if(E466="Encontrar mágica", "Aumenta o número máximo de artefatos e itens de ataque encontrados por cada membro do grupo em +2",
if(E466="Aura de proteção", "Aumenta a taxa de sobrevivência do grupo em 8%",
if(E466="Revide", "Aumenta a força do equipamento em 20%",
if(E466="Mestre das armas", "Aumenta a força do equipamento em 75%",
if(E466="Arquimago 1", "Aumenta a força dos feiticeiros do grupo em 10%",
if(E466="Arquimago 2", "Aumenta a força dos feiticeiros do grupo em 20%",
if(E466="Arquimago 3", "Aumenta a força dos feiticeiros do grupo em 30%",
if(E466="Energético 1", "Reduz o tempo de espera depois da missão em 50%",
if(E466="Energético 2", "Reduz o tempo de espera depois da missão em 75%",
if(E466="Energético 3", "Reduz o tempo de espera depois da missão em 100%",
if(E466="Cuidadoso 1", "Diminui a chance de quebra de equipamento em 15% das vezes",
if(E466="Cuidadoso 2", "Diminui a chance de quebra de equipamento em 30% das vezes",
if(E466="Cuidadoso 3", "Diminui a chance de quebra de equipamento em 50% das vezes",
if(E466="Ganancioso 1", "Encontra mais 50% de ouro durante as missões",
if(E466="Ganancioso 2", "Encontra mais 100% de ouro durante as missões",
if(E466="Ganancioso 3", "Encontra mais 200% de ouro durante as missões",
if(E466="Curandeiro 1", "Reduz o tempo de cura de companheiros em 10%",
if(E466="Curandeiro 2", "Reduz o tempo de cura de companheiros em 25%",
if(E466="Curandeiro 3", "Reduz o tempo de cura de companheiros em 50%",
if(E466="Sortudo 1", "Evita ferimentos 10% das vezes",
if(E466="Sortudo 2", "Evita ferimentos 20% das vezes",
if(E466="Sortudo 3", "Evita ferimentos 30% das vezes",
if(E466="Protetor 1", "Aumenta a taxa de sobrevivência do grupo em 2%",
if(E466="Protetor 2", "Aumenta a taxa de sobrevivência do grupo em 5%",
if(E466="Protetor 3", "Aumenta a taxa de sobrevivência do grupo em 10%",
if(E466="Resistente 1", "Obtém pelo menos 25% de experiência quando ferido e a missão é bem sucedida",
if(E466="Resistente 2", "Obtém pelo menos 50% de experiência quando ferido e a missão é bem sucedida",
if(E466="Resistente 3", "Obtém pelo menos 100% de experiência quando ferido e a missão é bem sucedida",
if(E466="Engenhoso 1", "Impede que 1 peça de equipamento se quebre durante a missão",
if(E466="Engenhoso 2", "Impede que 2 peças de equipamento se quebre durante a missão",
if(E466="Engenhoso 3", "Impede que 3 peças de equipamento se quebre durante a missão",
if(E466="Reviver 1", "Revive um companheiro derrotado 5% das vezes",
if(E466="Reviver 2", "Revive um companheiro derrotado 10% das vezes",
if(E466="Reviver 3", "Revive um companheiro derrotado 15% das vezes",
if(E466="Catador 1", "Aumenta o número mínimo de itens e artefatos encontrados em +1",
if(E466="Catador 2", "Aumenta o número mínimo de itens e artefatos encontrados em +2",
if(E466="Catador 3", "Aumenta o número mínimo de itens e artefatos encontrados em +3",
if(E466="Fornecedor 1", "Reduz a chance de companheiros quebrarem o equipamento em 5%",
if(E466="Fornecedor 2", "Reduz a chance de companheiros quebrarem o equipamento em 10%",
if(E466="Fornecedor 3", "Reduz a chance de companheiros quebrarem o equipamento em 15%",
if(E466="Suporte 1", "Impede que o equipamento de um companheiro se quebre 1 vez",
if(E466="Suporte 2", "Impede que o equipamento de um companheiro se quebre 2 vezes",
if(E466="Suporte 3", "Impede que o equipamento de um companheiro se quebre 3 vezes",
if(E466="Caça-tesouros 1", "Aumenta o número máximo de artefatos e itens de ataque encontrados em +2",
if(E466="Caça-tesouros 2", "Aumenta o número máximo de artefatos e itens de ataque encontrados em +4",
if(E466="Caça-tesouros 3", "Aumenta o número máximo de artefatos e itens de ataque encontrados em +6",
if(E466="Sábio 1", "25% de bônus de experiência",
if(E466="Sábio 2", "50% de bônus de experiência",
if(E466="Sábio 3", "100% de bônus de experiência",
if(E466="Amazona 1", "Aumenta a taxa de sobrevivência de membros femininos do grupo em 5%",
if(E466="Amazona 2", "Aumenta a taxa de sobrevivência de membros femininos do grupo em 10%",
if(E466="Amazona 3", "Aumenta a taxa de sobrevivência de membros femininos do grupo em 25%",
if(E466="Companheiro de Guerra 1", "Aumenta a taxa de sobrevivência de membros masculinos do grupo em 5%",
if(E466="Companheiro de Guerra 2", "Aumenta a taxa de sobrevivência de membros masculinos do grupo em 10%",
if(E466="Companheiro de Guerra 3", "Aumenta a taxa de sobrevivência de membros masculinos do grupo em 25%",
if(E466="Comandante 1", "Aumenta a força dos guerreiros do grupo em 15%",
if(E466="Comandante 2", "Aumenta a força dos guerreiros do grupo em 25%",
if(E466="Comandante 3", "Aumenta a força dos guerreiros do grupo em 50%",
if(E466="Gangster 1", "Aumenta a força do equipamento em 10%",
if(or(E466="Gangster 2", E466="Armadura do Mago"), "Aumenta a força do equipamento em 25%",
if(E466="Gangster 3", "Aumenta a força do equipamento em 50%",
if(E466="Líder 1", "Aumenta o número de companheiros em +1",
if(E466="Líder 2", "Aumenta o número de companheiros em +2",
if(E466="Líder 3", "Aumenta o número de companheiros em +3",
if(E466="Velocista 1", "Reduz a duração da missão em 10%",
if(E466="Velocista 2", "Reduz a duração da missão em 25%",
if(E466="Velocista 3", "Reduz a duração da missão em 50%",
))))))))))))))))))))))))))))))))))))))))))))))))))))))))))))))))))))))))))))</f>
        <v/>
      </c>
      <c r="H466" s="65" t="b">
        <v>0</v>
      </c>
      <c r="I466" s="59"/>
    </row>
    <row r="467">
      <c r="A467" s="61"/>
      <c r="B467" s="63"/>
      <c r="C467" s="54"/>
      <c r="D467" s="54"/>
      <c r="E467" s="53"/>
      <c r="F467" s="54"/>
      <c r="G467" s="57" t="str">
        <f t="shared" si="2"/>
        <v/>
      </c>
      <c r="H467" s="65" t="b">
        <v>0</v>
      </c>
      <c r="I467" s="59"/>
    </row>
    <row r="468">
      <c r="A468" s="61"/>
      <c r="B468" s="63"/>
      <c r="C468" s="54"/>
      <c r="D468" s="54"/>
      <c r="E468" s="53"/>
      <c r="F468" s="54"/>
      <c r="G468" s="57" t="str">
        <f t="shared" si="2"/>
        <v/>
      </c>
      <c r="H468" s="65" t="b">
        <v>0</v>
      </c>
      <c r="I468" s="59"/>
    </row>
    <row r="469">
      <c r="A469" s="61"/>
      <c r="B469" s="63"/>
      <c r="C469" s="54"/>
      <c r="D469" s="54"/>
      <c r="E469" s="53"/>
      <c r="F469" s="54"/>
      <c r="G469" s="57" t="str">
        <f t="shared" si="2"/>
        <v/>
      </c>
      <c r="H469" s="65" t="b">
        <v>0</v>
      </c>
      <c r="I469" s="59"/>
    </row>
    <row r="470">
      <c r="A470" s="61"/>
      <c r="B470" s="63"/>
      <c r="C470" s="54"/>
      <c r="D470" s="54"/>
      <c r="E470" s="53"/>
      <c r="F470" s="54"/>
      <c r="G470" s="57" t="str">
        <f t="shared" si="2"/>
        <v/>
      </c>
      <c r="H470" s="65" t="b">
        <v>0</v>
      </c>
      <c r="I470" s="59"/>
    </row>
    <row r="471">
      <c r="A471" s="61"/>
      <c r="B471" s="63"/>
      <c r="C471" s="54"/>
      <c r="D471" s="54"/>
      <c r="E471" s="53"/>
      <c r="F471" s="54"/>
      <c r="G471" s="57" t="str">
        <f t="shared" si="2"/>
        <v/>
      </c>
      <c r="H471" s="65" t="b">
        <v>0</v>
      </c>
      <c r="I471" s="59"/>
    </row>
    <row r="472">
      <c r="A472" s="61"/>
      <c r="B472" s="63"/>
      <c r="C472" s="54"/>
      <c r="D472" s="54"/>
      <c r="E472" s="53"/>
      <c r="F472" s="54"/>
      <c r="G472" s="57" t="str">
        <f t="shared" si="2"/>
        <v/>
      </c>
      <c r="H472" s="65" t="b">
        <v>0</v>
      </c>
      <c r="I472" s="59"/>
    </row>
    <row r="473">
      <c r="A473" s="61"/>
      <c r="B473" s="63"/>
      <c r="C473" s="54"/>
      <c r="D473" s="54"/>
      <c r="E473" s="53"/>
      <c r="F473" s="54"/>
      <c r="G473" s="57" t="str">
        <f t="shared" si="2"/>
        <v/>
      </c>
      <c r="H473" s="65" t="b">
        <v>0</v>
      </c>
      <c r="I473" s="59"/>
    </row>
    <row r="474">
      <c r="A474" s="61"/>
      <c r="B474" s="63"/>
      <c r="C474" s="54"/>
      <c r="D474" s="54"/>
      <c r="E474" s="53"/>
      <c r="F474" s="54"/>
      <c r="G474" s="57" t="str">
        <f t="shared" si="2"/>
        <v/>
      </c>
      <c r="H474" s="65" t="b">
        <v>0</v>
      </c>
      <c r="I474" s="59"/>
    </row>
    <row r="475">
      <c r="A475" s="61"/>
      <c r="B475" s="63"/>
      <c r="C475" s="54"/>
      <c r="D475" s="54"/>
      <c r="E475" s="53"/>
      <c r="F475" s="54"/>
      <c r="G475" s="57" t="str">
        <f t="shared" si="2"/>
        <v/>
      </c>
      <c r="H475" s="65" t="b">
        <v>0</v>
      </c>
      <c r="I475" s="59"/>
    </row>
    <row r="476">
      <c r="A476" s="61"/>
      <c r="B476" s="63"/>
      <c r="C476" s="54"/>
      <c r="D476" s="54"/>
      <c r="E476" s="53"/>
      <c r="F476" s="54"/>
      <c r="G476" s="57" t="str">
        <f t="shared" si="2"/>
        <v/>
      </c>
      <c r="H476" s="65" t="b">
        <v>0</v>
      </c>
      <c r="I476" s="59"/>
    </row>
    <row r="477">
      <c r="A477" s="61"/>
      <c r="B477" s="63"/>
      <c r="C477" s="54"/>
      <c r="D477" s="54"/>
      <c r="E477" s="53"/>
      <c r="F477" s="54"/>
      <c r="G477" s="57" t="str">
        <f t="shared" si="2"/>
        <v/>
      </c>
      <c r="H477" s="65" t="b">
        <v>0</v>
      </c>
      <c r="I477" s="59"/>
    </row>
    <row r="478">
      <c r="A478" s="61"/>
      <c r="B478" s="63"/>
      <c r="C478" s="54"/>
      <c r="D478" s="54"/>
      <c r="E478" s="53"/>
      <c r="F478" s="54"/>
      <c r="G478" s="57" t="str">
        <f t="shared" si="2"/>
        <v/>
      </c>
      <c r="H478" s="65" t="b">
        <v>0</v>
      </c>
      <c r="I478" s="59"/>
    </row>
    <row r="479">
      <c r="A479" s="61"/>
      <c r="B479" s="63"/>
      <c r="C479" s="54"/>
      <c r="D479" s="54"/>
      <c r="E479" s="53"/>
      <c r="F479" s="54"/>
      <c r="G479" s="57" t="str">
        <f t="shared" si="2"/>
        <v/>
      </c>
      <c r="H479" s="65" t="b">
        <v>0</v>
      </c>
      <c r="I479" s="59"/>
    </row>
    <row r="480">
      <c r="A480" s="61"/>
      <c r="B480" s="63"/>
      <c r="C480" s="54"/>
      <c r="D480" s="54"/>
      <c r="E480" s="53"/>
      <c r="F480" s="54"/>
      <c r="G480" s="57" t="str">
        <f t="shared" si="2"/>
        <v/>
      </c>
      <c r="H480" s="65" t="b">
        <v>0</v>
      </c>
      <c r="I480" s="59"/>
    </row>
    <row r="481">
      <c r="A481" s="61"/>
      <c r="B481" s="63"/>
      <c r="C481" s="54"/>
      <c r="D481" s="54"/>
      <c r="E481" s="53"/>
      <c r="F481" s="54"/>
      <c r="G481" s="57" t="str">
        <f t="shared" si="2"/>
        <v/>
      </c>
      <c r="H481" s="65" t="b">
        <v>0</v>
      </c>
      <c r="I481" s="59"/>
    </row>
    <row r="482">
      <c r="A482" s="61"/>
      <c r="B482" s="63"/>
      <c r="C482" s="54"/>
      <c r="D482" s="54"/>
      <c r="E482" s="53"/>
      <c r="F482" s="54"/>
      <c r="G482" s="57" t="str">
        <f t="shared" si="2"/>
        <v/>
      </c>
      <c r="H482" s="65" t="b">
        <v>0</v>
      </c>
      <c r="I482" s="59"/>
    </row>
    <row r="483">
      <c r="A483" s="61"/>
      <c r="B483" s="63"/>
      <c r="C483" s="54"/>
      <c r="D483" s="54"/>
      <c r="E483" s="53"/>
      <c r="F483" s="54"/>
      <c r="G483" s="57" t="str">
        <f t="shared" si="2"/>
        <v/>
      </c>
      <c r="H483" s="65" t="b">
        <v>0</v>
      </c>
      <c r="I483" s="59"/>
    </row>
    <row r="484">
      <c r="A484" s="61"/>
      <c r="B484" s="63"/>
      <c r="C484" s="54"/>
      <c r="D484" s="54"/>
      <c r="E484" s="53"/>
      <c r="F484" s="54"/>
      <c r="G484" s="57" t="str">
        <f t="shared" si="2"/>
        <v/>
      </c>
      <c r="H484" s="65" t="b">
        <v>0</v>
      </c>
      <c r="I484" s="59"/>
    </row>
    <row r="485">
      <c r="A485" s="61"/>
      <c r="B485" s="63"/>
      <c r="C485" s="54"/>
      <c r="D485" s="54"/>
      <c r="E485" s="53"/>
      <c r="F485" s="54"/>
      <c r="G485" s="57" t="str">
        <f t="shared" si="2"/>
        <v/>
      </c>
      <c r="H485" s="65" t="b">
        <v>0</v>
      </c>
      <c r="I485" s="59"/>
    </row>
    <row r="486">
      <c r="A486" s="61"/>
      <c r="B486" s="63"/>
      <c r="C486" s="54"/>
      <c r="D486" s="54"/>
      <c r="E486" s="53"/>
      <c r="F486" s="54"/>
      <c r="G486" s="57" t="str">
        <f t="shared" si="2"/>
        <v/>
      </c>
      <c r="H486" s="65" t="b">
        <v>0</v>
      </c>
      <c r="I486" s="59"/>
    </row>
    <row r="487">
      <c r="A487" s="61"/>
      <c r="B487" s="63"/>
      <c r="C487" s="54"/>
      <c r="D487" s="54"/>
      <c r="E487" s="53"/>
      <c r="F487" s="54"/>
      <c r="G487" s="57" t="str">
        <f t="shared" si="2"/>
        <v/>
      </c>
      <c r="H487" s="65" t="b">
        <v>0</v>
      </c>
      <c r="I487" s="59"/>
    </row>
    <row r="488">
      <c r="A488" s="61"/>
      <c r="B488" s="63"/>
      <c r="C488" s="54"/>
      <c r="D488" s="54"/>
      <c r="E488" s="53"/>
      <c r="F488" s="54"/>
      <c r="G488" s="57" t="str">
        <f t="shared" si="2"/>
        <v/>
      </c>
      <c r="H488" s="65" t="b">
        <v>0</v>
      </c>
      <c r="I488" s="59"/>
    </row>
    <row r="489">
      <c r="A489" s="61"/>
      <c r="B489" s="63"/>
      <c r="C489" s="54"/>
      <c r="D489" s="54"/>
      <c r="E489" s="53"/>
      <c r="F489" s="54"/>
      <c r="G489" s="57" t="str">
        <f t="shared" si="2"/>
        <v/>
      </c>
      <c r="H489" s="65" t="b">
        <v>0</v>
      </c>
      <c r="I489" s="59"/>
    </row>
    <row r="490">
      <c r="A490" s="61"/>
      <c r="B490" s="63"/>
      <c r="C490" s="54"/>
      <c r="D490" s="54"/>
      <c r="E490" s="53"/>
      <c r="F490" s="54"/>
      <c r="G490" s="57" t="str">
        <f t="shared" si="2"/>
        <v/>
      </c>
      <c r="H490" s="65" t="b">
        <v>0</v>
      </c>
      <c r="I490" s="59"/>
    </row>
    <row r="491">
      <c r="A491" s="61"/>
      <c r="B491" s="63"/>
      <c r="C491" s="54"/>
      <c r="D491" s="54"/>
      <c r="E491" s="53"/>
      <c r="F491" s="54"/>
      <c r="G491" s="57" t="str">
        <f t="shared" si="2"/>
        <v/>
      </c>
      <c r="H491" s="65" t="b">
        <v>0</v>
      </c>
      <c r="I491" s="59"/>
    </row>
    <row r="492">
      <c r="A492" s="61"/>
      <c r="B492" s="63"/>
      <c r="C492" s="54"/>
      <c r="D492" s="54"/>
      <c r="E492" s="53"/>
      <c r="F492" s="54"/>
      <c r="G492" s="57" t="str">
        <f t="shared" si="2"/>
        <v/>
      </c>
      <c r="H492" s="65" t="b">
        <v>0</v>
      </c>
      <c r="I492" s="59"/>
    </row>
    <row r="493">
      <c r="A493" s="61"/>
      <c r="B493" s="63"/>
      <c r="C493" s="54"/>
      <c r="D493" s="54"/>
      <c r="E493" s="53"/>
      <c r="F493" s="54"/>
      <c r="G493" s="57" t="str">
        <f t="shared" si="2"/>
        <v/>
      </c>
      <c r="H493" s="65" t="b">
        <v>0</v>
      </c>
      <c r="I493" s="59"/>
    </row>
    <row r="494">
      <c r="A494" s="61"/>
      <c r="B494" s="63"/>
      <c r="C494" s="54"/>
      <c r="D494" s="54"/>
      <c r="E494" s="53"/>
      <c r="F494" s="54"/>
      <c r="G494" s="57" t="str">
        <f t="shared" si="2"/>
        <v/>
      </c>
      <c r="H494" s="65" t="b">
        <v>0</v>
      </c>
      <c r="I494" s="59"/>
    </row>
    <row r="495">
      <c r="A495" s="61"/>
      <c r="B495" s="63"/>
      <c r="C495" s="54"/>
      <c r="D495" s="54"/>
      <c r="E495" s="53"/>
      <c r="F495" s="54"/>
      <c r="G495" s="57" t="str">
        <f t="shared" si="2"/>
        <v/>
      </c>
      <c r="H495" s="65" t="b">
        <v>0</v>
      </c>
      <c r="I495" s="59"/>
    </row>
    <row r="496">
      <c r="A496" s="61"/>
      <c r="B496" s="63"/>
      <c r="C496" s="54"/>
      <c r="D496" s="54"/>
      <c r="E496" s="53"/>
      <c r="F496" s="54"/>
      <c r="G496" s="57" t="str">
        <f t="shared" si="2"/>
        <v/>
      </c>
      <c r="H496" s="65" t="b">
        <v>0</v>
      </c>
      <c r="I496" s="59"/>
    </row>
    <row r="497">
      <c r="A497" s="61"/>
      <c r="B497" s="63"/>
      <c r="C497" s="54"/>
      <c r="D497" s="54"/>
      <c r="E497" s="53"/>
      <c r="F497" s="54"/>
      <c r="G497" s="57" t="str">
        <f t="shared" si="2"/>
        <v/>
      </c>
      <c r="H497" s="65" t="b">
        <v>0</v>
      </c>
      <c r="I497" s="59"/>
    </row>
    <row r="498">
      <c r="A498" s="61"/>
      <c r="B498" s="63"/>
      <c r="C498" s="54"/>
      <c r="D498" s="54"/>
      <c r="E498" s="53"/>
      <c r="F498" s="54"/>
      <c r="G498" s="57" t="str">
        <f t="shared" si="2"/>
        <v/>
      </c>
      <c r="H498" s="65" t="b">
        <v>0</v>
      </c>
      <c r="I498" s="59"/>
    </row>
    <row r="499">
      <c r="A499" s="61"/>
      <c r="B499" s="63"/>
      <c r="C499" s="54"/>
      <c r="D499" s="54"/>
      <c r="E499" s="53"/>
      <c r="F499" s="54"/>
      <c r="G499" s="57" t="str">
        <f t="shared" si="2"/>
        <v/>
      </c>
      <c r="H499" s="65" t="b">
        <v>0</v>
      </c>
      <c r="I499" s="59"/>
    </row>
    <row r="500">
      <c r="A500" s="61"/>
      <c r="B500" s="63"/>
      <c r="C500" s="54"/>
      <c r="D500" s="54"/>
      <c r="E500" s="53"/>
      <c r="F500" s="54"/>
      <c r="G500" s="57" t="str">
        <f t="shared" si="2"/>
        <v/>
      </c>
      <c r="H500" s="65" t="b">
        <v>0</v>
      </c>
      <c r="I500" s="59"/>
    </row>
    <row r="501">
      <c r="A501" s="61"/>
      <c r="B501" s="63"/>
      <c r="C501" s="54"/>
      <c r="D501" s="54"/>
      <c r="E501" s="53"/>
      <c r="F501" s="54"/>
      <c r="G501" s="57" t="str">
        <f t="shared" si="2"/>
        <v/>
      </c>
      <c r="H501" s="65" t="b">
        <v>0</v>
      </c>
      <c r="I501" s="59"/>
    </row>
    <row r="502">
      <c r="A502" s="61"/>
      <c r="B502" s="63"/>
      <c r="C502" s="54"/>
      <c r="D502" s="54"/>
      <c r="E502" s="53"/>
      <c r="F502" s="54"/>
      <c r="G502" s="57" t="str">
        <f t="shared" si="2"/>
        <v/>
      </c>
      <c r="H502" s="65" t="b">
        <v>0</v>
      </c>
      <c r="I502" s="59"/>
    </row>
    <row r="503">
      <c r="A503" s="61"/>
      <c r="B503" s="63"/>
      <c r="C503" s="54"/>
      <c r="D503" s="54"/>
      <c r="E503" s="53"/>
      <c r="F503" s="54"/>
      <c r="G503" s="57" t="str">
        <f t="shared" si="2"/>
        <v/>
      </c>
      <c r="H503" s="65" t="b">
        <v>0</v>
      </c>
      <c r="I503" s="59"/>
    </row>
    <row r="504">
      <c r="A504" s="61"/>
      <c r="B504" s="63"/>
      <c r="C504" s="54"/>
      <c r="D504" s="54"/>
      <c r="E504" s="53"/>
      <c r="F504" s="54"/>
      <c r="G504" s="57" t="str">
        <f t="shared" si="2"/>
        <v/>
      </c>
      <c r="H504" s="65" t="b">
        <v>0</v>
      </c>
      <c r="I504" s="59"/>
    </row>
    <row r="505">
      <c r="A505" s="61"/>
      <c r="B505" s="63"/>
      <c r="C505" s="54"/>
      <c r="D505" s="54"/>
      <c r="E505" s="53"/>
      <c r="F505" s="54"/>
      <c r="G505" s="57" t="str">
        <f t="shared" si="2"/>
        <v/>
      </c>
      <c r="H505" s="65" t="b">
        <v>0</v>
      </c>
      <c r="I505" s="59"/>
    </row>
    <row r="506">
      <c r="A506" s="61"/>
      <c r="B506" s="63"/>
      <c r="C506" s="54"/>
      <c r="D506" s="54"/>
      <c r="E506" s="53"/>
      <c r="F506" s="54"/>
      <c r="G506" s="57" t="str">
        <f t="shared" si="2"/>
        <v/>
      </c>
      <c r="H506" s="65" t="b">
        <v>0</v>
      </c>
      <c r="I506" s="59"/>
    </row>
    <row r="507">
      <c r="A507" s="61"/>
      <c r="B507" s="63"/>
      <c r="C507" s="54"/>
      <c r="D507" s="54"/>
      <c r="E507" s="53"/>
      <c r="F507" s="54"/>
      <c r="G507" s="57" t="str">
        <f t="shared" si="2"/>
        <v/>
      </c>
      <c r="H507" s="65" t="b">
        <v>0</v>
      </c>
      <c r="I507" s="59"/>
    </row>
    <row r="508">
      <c r="A508" s="61"/>
      <c r="B508" s="63"/>
      <c r="C508" s="54"/>
      <c r="D508" s="54"/>
      <c r="E508" s="53"/>
      <c r="F508" s="54"/>
      <c r="G508" s="57" t="str">
        <f t="shared" si="2"/>
        <v/>
      </c>
      <c r="H508" s="65" t="b">
        <v>0</v>
      </c>
      <c r="I508" s="59"/>
    </row>
    <row r="509">
      <c r="A509" s="61"/>
      <c r="B509" s="63"/>
      <c r="C509" s="54"/>
      <c r="D509" s="54"/>
      <c r="E509" s="53"/>
      <c r="F509" s="54"/>
      <c r="G509" s="57" t="str">
        <f t="shared" si="2"/>
        <v/>
      </c>
      <c r="H509" s="65" t="b">
        <v>0</v>
      </c>
      <c r="I509" s="59"/>
    </row>
    <row r="510">
      <c r="A510" s="61"/>
      <c r="B510" s="63"/>
      <c r="C510" s="54"/>
      <c r="D510" s="54"/>
      <c r="E510" s="53"/>
      <c r="F510" s="54"/>
      <c r="G510" s="57" t="str">
        <f t="shared" si="2"/>
        <v/>
      </c>
      <c r="H510" s="65" t="b">
        <v>0</v>
      </c>
      <c r="I510" s="59"/>
    </row>
    <row r="511">
      <c r="A511" s="61"/>
      <c r="B511" s="63"/>
      <c r="C511" s="54"/>
      <c r="D511" s="54"/>
      <c r="E511" s="53"/>
      <c r="F511" s="54"/>
      <c r="G511" s="57" t="str">
        <f t="shared" si="2"/>
        <v/>
      </c>
      <c r="H511" s="65" t="b">
        <v>0</v>
      </c>
      <c r="I511" s="59"/>
    </row>
    <row r="512">
      <c r="A512" s="61"/>
      <c r="B512" s="63"/>
      <c r="C512" s="54"/>
      <c r="D512" s="54"/>
      <c r="E512" s="53"/>
      <c r="F512" s="54"/>
      <c r="G512" s="57" t="str">
        <f t="shared" si="2"/>
        <v/>
      </c>
      <c r="H512" s="65" t="b">
        <v>0</v>
      </c>
      <c r="I512" s="59"/>
    </row>
    <row r="513">
      <c r="A513" s="61"/>
      <c r="B513" s="63"/>
      <c r="C513" s="54"/>
      <c r="D513" s="54"/>
      <c r="E513" s="53"/>
      <c r="F513" s="54"/>
      <c r="G513" s="57" t="str">
        <f t="shared" si="2"/>
        <v/>
      </c>
      <c r="H513" s="65" t="b">
        <v>0</v>
      </c>
      <c r="I513" s="59"/>
    </row>
    <row r="514">
      <c r="A514" s="61"/>
      <c r="B514" s="63"/>
      <c r="C514" s="54"/>
      <c r="D514" s="54"/>
      <c r="E514" s="53"/>
      <c r="F514" s="54"/>
      <c r="G514" s="57" t="str">
        <f t="shared" si="2"/>
        <v/>
      </c>
      <c r="H514" s="65" t="b">
        <v>0</v>
      </c>
      <c r="I514" s="59"/>
    </row>
    <row r="515">
      <c r="A515" s="61"/>
      <c r="B515" s="63"/>
      <c r="C515" s="54"/>
      <c r="D515" s="54"/>
      <c r="E515" s="53"/>
      <c r="F515" s="54"/>
      <c r="G515" s="57" t="str">
        <f t="shared" si="2"/>
        <v/>
      </c>
      <c r="H515" s="65" t="b">
        <v>0</v>
      </c>
      <c r="I515" s="59"/>
    </row>
    <row r="516">
      <c r="A516" s="61"/>
      <c r="B516" s="63"/>
      <c r="C516" s="54"/>
      <c r="D516" s="54"/>
      <c r="E516" s="53"/>
      <c r="F516" s="54"/>
      <c r="G516" s="57" t="str">
        <f t="shared" si="2"/>
        <v/>
      </c>
      <c r="H516" s="65" t="b">
        <v>0</v>
      </c>
      <c r="I516" s="59"/>
    </row>
    <row r="517">
      <c r="A517" s="61"/>
      <c r="B517" s="63"/>
      <c r="C517" s="54"/>
      <c r="D517" s="54"/>
      <c r="E517" s="53"/>
      <c r="F517" s="54"/>
      <c r="G517" s="57" t="str">
        <f t="shared" si="2"/>
        <v/>
      </c>
      <c r="H517" s="65" t="b">
        <v>0</v>
      </c>
      <c r="I517" s="59"/>
    </row>
    <row r="518">
      <c r="A518" s="61"/>
      <c r="B518" s="63"/>
      <c r="C518" s="54"/>
      <c r="D518" s="54"/>
      <c r="E518" s="53"/>
      <c r="F518" s="54"/>
      <c r="G518" s="57" t="str">
        <f t="shared" si="2"/>
        <v/>
      </c>
      <c r="H518" s="65" t="b">
        <v>0</v>
      </c>
      <c r="I518" s="59"/>
    </row>
    <row r="519">
      <c r="A519" s="61"/>
      <c r="B519" s="63"/>
      <c r="C519" s="54"/>
      <c r="D519" s="54"/>
      <c r="E519" s="53"/>
      <c r="F519" s="54"/>
      <c r="G519" s="57" t="str">
        <f t="shared" si="2"/>
        <v/>
      </c>
      <c r="H519" s="65" t="b">
        <v>0</v>
      </c>
      <c r="I519" s="59"/>
    </row>
    <row r="520">
      <c r="A520" s="61"/>
      <c r="B520" s="63"/>
      <c r="C520" s="54"/>
      <c r="D520" s="54"/>
      <c r="E520" s="53"/>
      <c r="F520" s="54"/>
      <c r="G520" s="57" t="str">
        <f t="shared" si="2"/>
        <v/>
      </c>
      <c r="H520" s="65" t="b">
        <v>0</v>
      </c>
      <c r="I520" s="59"/>
    </row>
    <row r="521">
      <c r="A521" s="61"/>
      <c r="B521" s="63"/>
      <c r="C521" s="54"/>
      <c r="D521" s="54"/>
      <c r="E521" s="53"/>
      <c r="F521" s="54"/>
      <c r="G521" s="57" t="str">
        <f t="shared" si="2"/>
        <v/>
      </c>
      <c r="H521" s="65" t="b">
        <v>0</v>
      </c>
      <c r="I521" s="59"/>
    </row>
    <row r="522">
      <c r="A522" s="61"/>
      <c r="B522" s="63"/>
      <c r="C522" s="54"/>
      <c r="D522" s="54"/>
      <c r="E522" s="53"/>
      <c r="F522" s="54"/>
      <c r="G522" s="57" t="str">
        <f t="shared" si="2"/>
        <v/>
      </c>
      <c r="H522" s="65" t="b">
        <v>0</v>
      </c>
      <c r="I522" s="59"/>
    </row>
    <row r="523">
      <c r="A523" s="61"/>
      <c r="B523" s="63"/>
      <c r="C523" s="54"/>
      <c r="D523" s="54"/>
      <c r="E523" s="53"/>
      <c r="F523" s="54"/>
      <c r="G523" s="57" t="str">
        <f t="shared" si="2"/>
        <v/>
      </c>
      <c r="H523" s="65" t="b">
        <v>0</v>
      </c>
      <c r="I523" s="59"/>
    </row>
    <row r="524">
      <c r="A524" s="61"/>
      <c r="B524" s="63"/>
      <c r="C524" s="54"/>
      <c r="D524" s="54"/>
      <c r="E524" s="53"/>
      <c r="F524" s="54"/>
      <c r="G524" s="57" t="str">
        <f t="shared" si="2"/>
        <v/>
      </c>
      <c r="H524" s="65" t="b">
        <v>0</v>
      </c>
      <c r="I524" s="59"/>
    </row>
    <row r="525">
      <c r="A525" s="61"/>
      <c r="B525" s="63"/>
      <c r="C525" s="54"/>
      <c r="D525" s="54"/>
      <c r="E525" s="53"/>
      <c r="F525" s="54"/>
      <c r="G525" s="57" t="str">
        <f t="shared" si="2"/>
        <v/>
      </c>
      <c r="H525" s="65" t="b">
        <v>0</v>
      </c>
      <c r="I525" s="59"/>
    </row>
    <row r="526">
      <c r="A526" s="61"/>
      <c r="B526" s="63"/>
      <c r="C526" s="54"/>
      <c r="D526" s="54"/>
      <c r="E526" s="53"/>
      <c r="F526" s="54"/>
      <c r="G526" s="57" t="str">
        <f t="shared" si="2"/>
        <v/>
      </c>
      <c r="H526" s="65" t="b">
        <v>0</v>
      </c>
      <c r="I526" s="59"/>
    </row>
    <row r="527">
      <c r="A527" s="61"/>
      <c r="B527" s="63"/>
      <c r="C527" s="54"/>
      <c r="D527" s="54"/>
      <c r="E527" s="53"/>
      <c r="F527" s="54"/>
      <c r="G527" s="57" t="str">
        <f t="shared" si="2"/>
        <v/>
      </c>
      <c r="H527" s="65" t="b">
        <v>0</v>
      </c>
      <c r="I527" s="59"/>
    </row>
    <row r="528">
      <c r="A528" s="61"/>
      <c r="B528" s="63"/>
      <c r="C528" s="54"/>
      <c r="D528" s="54"/>
      <c r="E528" s="53"/>
      <c r="F528" s="54"/>
      <c r="G528" s="57" t="str">
        <f t="shared" si="2"/>
        <v/>
      </c>
      <c r="H528" s="65" t="b">
        <v>0</v>
      </c>
      <c r="I528" s="59"/>
    </row>
    <row r="529">
      <c r="A529" s="61"/>
      <c r="B529" s="63"/>
      <c r="C529" s="54"/>
      <c r="D529" s="54"/>
      <c r="E529" s="53"/>
      <c r="F529" s="54"/>
      <c r="G529" s="57" t="str">
        <f t="shared" si="2"/>
        <v/>
      </c>
      <c r="H529" s="65" t="b">
        <v>0</v>
      </c>
      <c r="I529" s="59"/>
    </row>
    <row r="530">
      <c r="A530" s="61"/>
      <c r="B530" s="63"/>
      <c r="C530" s="54"/>
      <c r="D530" s="54"/>
      <c r="E530" s="53"/>
      <c r="F530" s="54"/>
      <c r="G530" s="57" t="str">
        <f t="shared" si="2"/>
        <v/>
      </c>
      <c r="H530" s="65" t="b">
        <v>0</v>
      </c>
      <c r="I530" s="59"/>
    </row>
    <row r="531">
      <c r="A531" s="61"/>
      <c r="B531" s="63"/>
      <c r="C531" s="54"/>
      <c r="D531" s="54"/>
      <c r="E531" s="53"/>
      <c r="F531" s="54"/>
      <c r="G531" s="57" t="str">
        <f t="shared" si="2"/>
        <v/>
      </c>
      <c r="H531" s="65" t="b">
        <v>0</v>
      </c>
      <c r="I531" s="59"/>
    </row>
    <row r="532">
      <c r="A532" s="61"/>
      <c r="B532" s="63"/>
      <c r="C532" s="54"/>
      <c r="D532" s="54"/>
      <c r="E532" s="53"/>
      <c r="F532" s="54"/>
      <c r="G532" s="57" t="str">
        <f t="shared" si="2"/>
        <v/>
      </c>
      <c r="H532" s="65" t="b">
        <v>0</v>
      </c>
      <c r="I532" s="59"/>
    </row>
    <row r="533">
      <c r="A533" s="61"/>
      <c r="B533" s="63"/>
      <c r="C533" s="54"/>
      <c r="D533" s="54"/>
      <c r="E533" s="53"/>
      <c r="F533" s="54"/>
      <c r="G533" s="57" t="str">
        <f t="shared" si="2"/>
        <v/>
      </c>
      <c r="H533" s="65" t="b">
        <v>0</v>
      </c>
      <c r="I533" s="59"/>
    </row>
    <row r="534">
      <c r="A534" s="61"/>
      <c r="B534" s="63"/>
      <c r="C534" s="54"/>
      <c r="D534" s="54"/>
      <c r="E534" s="53"/>
      <c r="F534" s="54"/>
      <c r="G534" s="57" t="str">
        <f t="shared" si="2"/>
        <v/>
      </c>
      <c r="H534" s="65" t="b">
        <v>0</v>
      </c>
      <c r="I534" s="59"/>
    </row>
    <row r="535">
      <c r="A535" s="61"/>
      <c r="B535" s="63"/>
      <c r="C535" s="54"/>
      <c r="D535" s="54"/>
      <c r="E535" s="53"/>
      <c r="F535" s="54"/>
      <c r="G535" s="57" t="str">
        <f t="shared" si="2"/>
        <v/>
      </c>
      <c r="H535" s="65" t="b">
        <v>0</v>
      </c>
      <c r="I535" s="59"/>
    </row>
    <row r="536">
      <c r="A536" s="61"/>
      <c r="B536" s="63"/>
      <c r="C536" s="54"/>
      <c r="D536" s="54"/>
      <c r="E536" s="53"/>
      <c r="F536" s="54"/>
      <c r="G536" s="57" t="str">
        <f t="shared" si="2"/>
        <v/>
      </c>
      <c r="H536" s="65" t="b">
        <v>0</v>
      </c>
      <c r="I536" s="59"/>
    </row>
    <row r="537">
      <c r="A537" s="61"/>
      <c r="B537" s="63"/>
      <c r="C537" s="54"/>
      <c r="D537" s="54"/>
      <c r="E537" s="53"/>
      <c r="F537" s="54"/>
      <c r="G537" s="57" t="str">
        <f t="shared" si="2"/>
        <v/>
      </c>
      <c r="H537" s="65" t="b">
        <v>0</v>
      </c>
      <c r="I537" s="59"/>
    </row>
    <row r="538">
      <c r="A538" s="61"/>
      <c r="B538" s="63"/>
      <c r="C538" s="54"/>
      <c r="D538" s="54"/>
      <c r="E538" s="53"/>
      <c r="F538" s="54"/>
      <c r="G538" s="57" t="str">
        <f t="shared" si="2"/>
        <v/>
      </c>
      <c r="H538" s="65" t="b">
        <v>0</v>
      </c>
      <c r="I538" s="59"/>
    </row>
    <row r="539">
      <c r="A539" s="61"/>
      <c r="B539" s="63"/>
      <c r="C539" s="54"/>
      <c r="D539" s="54"/>
      <c r="E539" s="53"/>
      <c r="F539" s="54"/>
      <c r="G539" s="57" t="str">
        <f t="shared" si="2"/>
        <v/>
      </c>
      <c r="H539" s="65" t="b">
        <v>0</v>
      </c>
      <c r="I539" s="59"/>
    </row>
    <row r="540">
      <c r="A540" s="61"/>
      <c r="B540" s="63"/>
      <c r="C540" s="54"/>
      <c r="D540" s="54"/>
      <c r="E540" s="53"/>
      <c r="F540" s="54"/>
      <c r="G540" s="57" t="str">
        <f t="shared" si="2"/>
        <v/>
      </c>
      <c r="H540" s="65" t="b">
        <v>0</v>
      </c>
      <c r="I540" s="59"/>
    </row>
    <row r="541">
      <c r="A541" s="61"/>
      <c r="B541" s="63"/>
      <c r="C541" s="54"/>
      <c r="D541" s="54"/>
      <c r="E541" s="53"/>
      <c r="F541" s="54"/>
      <c r="G541" s="57" t="str">
        <f t="shared" si="2"/>
        <v/>
      </c>
      <c r="H541" s="65" t="b">
        <v>0</v>
      </c>
      <c r="I541" s="59"/>
    </row>
    <row r="542">
      <c r="A542" s="61"/>
      <c r="B542" s="63"/>
      <c r="C542" s="54"/>
      <c r="D542" s="54"/>
      <c r="E542" s="53"/>
      <c r="F542" s="54"/>
      <c r="G542" s="57" t="str">
        <f t="shared" si="2"/>
        <v/>
      </c>
      <c r="H542" s="65" t="b">
        <v>0</v>
      </c>
      <c r="I542" s="59"/>
    </row>
    <row r="543">
      <c r="A543" s="61"/>
      <c r="B543" s="63"/>
      <c r="C543" s="54"/>
      <c r="D543" s="54"/>
      <c r="E543" s="53"/>
      <c r="F543" s="54"/>
      <c r="G543" s="57" t="str">
        <f t="shared" si="2"/>
        <v/>
      </c>
      <c r="H543" s="65" t="b">
        <v>0</v>
      </c>
      <c r="I543" s="59"/>
    </row>
    <row r="544">
      <c r="A544" s="61"/>
      <c r="B544" s="63"/>
      <c r="C544" s="54"/>
      <c r="D544" s="54"/>
      <c r="E544" s="53"/>
      <c r="F544" s="54"/>
      <c r="G544" s="57" t="str">
        <f t="shared" si="2"/>
        <v/>
      </c>
      <c r="H544" s="65" t="b">
        <v>0</v>
      </c>
      <c r="I544" s="59"/>
    </row>
    <row r="545">
      <c r="A545" s="61"/>
      <c r="B545" s="63"/>
      <c r="C545" s="54"/>
      <c r="D545" s="54"/>
      <c r="E545" s="53"/>
      <c r="F545" s="54"/>
      <c r="G545" s="57" t="str">
        <f t="shared" si="2"/>
        <v/>
      </c>
      <c r="H545" s="65" t="b">
        <v>0</v>
      </c>
      <c r="I545" s="59"/>
    </row>
    <row r="546">
      <c r="A546" s="61"/>
      <c r="B546" s="63"/>
      <c r="C546" s="54"/>
      <c r="D546" s="54"/>
      <c r="E546" s="53"/>
      <c r="F546" s="54"/>
      <c r="G546" s="57" t="str">
        <f t="shared" si="2"/>
        <v/>
      </c>
      <c r="H546" s="65" t="b">
        <v>0</v>
      </c>
      <c r="I546" s="59"/>
    </row>
    <row r="547">
      <c r="A547" s="61"/>
      <c r="B547" s="63"/>
      <c r="C547" s="54"/>
      <c r="D547" s="54"/>
      <c r="E547" s="53"/>
      <c r="F547" s="54"/>
      <c r="G547" s="57" t="str">
        <f t="shared" si="2"/>
        <v/>
      </c>
      <c r="H547" s="65" t="b">
        <v>0</v>
      </c>
      <c r="I547" s="59"/>
    </row>
    <row r="548">
      <c r="A548" s="61"/>
      <c r="B548" s="63"/>
      <c r="C548" s="54"/>
      <c r="D548" s="54"/>
      <c r="E548" s="53"/>
      <c r="F548" s="54"/>
      <c r="G548" s="57" t="str">
        <f t="shared" si="2"/>
        <v/>
      </c>
      <c r="H548" s="65" t="b">
        <v>0</v>
      </c>
      <c r="I548" s="59"/>
    </row>
    <row r="549">
      <c r="A549" s="61"/>
      <c r="B549" s="63"/>
      <c r="C549" s="54"/>
      <c r="D549" s="54"/>
      <c r="E549" s="53"/>
      <c r="F549" s="54"/>
      <c r="G549" s="57" t="str">
        <f t="shared" si="2"/>
        <v/>
      </c>
      <c r="H549" s="65" t="b">
        <v>0</v>
      </c>
      <c r="I549" s="59"/>
    </row>
    <row r="550">
      <c r="A550" s="61"/>
      <c r="B550" s="63"/>
      <c r="C550" s="54"/>
      <c r="D550" s="54"/>
      <c r="E550" s="53"/>
      <c r="F550" s="54"/>
      <c r="G550" s="57" t="str">
        <f t="shared" si="2"/>
        <v/>
      </c>
      <c r="H550" s="65" t="b">
        <v>0</v>
      </c>
      <c r="I550" s="59"/>
    </row>
    <row r="551">
      <c r="A551" s="61"/>
      <c r="B551" s="63"/>
      <c r="C551" s="54"/>
      <c r="D551" s="54"/>
      <c r="E551" s="53"/>
      <c r="F551" s="54"/>
      <c r="G551" s="57" t="str">
        <f t="shared" si="2"/>
        <v/>
      </c>
      <c r="H551" s="65" t="b">
        <v>0</v>
      </c>
      <c r="I551" s="59"/>
    </row>
    <row r="552">
      <c r="A552" s="61"/>
      <c r="B552" s="63"/>
      <c r="C552" s="54"/>
      <c r="D552" s="54"/>
      <c r="E552" s="53"/>
      <c r="F552" s="54"/>
      <c r="G552" s="57" t="str">
        <f t="shared" si="2"/>
        <v/>
      </c>
      <c r="H552" s="65" t="b">
        <v>0</v>
      </c>
      <c r="I552" s="59"/>
    </row>
    <row r="553">
      <c r="A553" s="61"/>
      <c r="B553" s="63"/>
      <c r="C553" s="54"/>
      <c r="D553" s="54"/>
      <c r="E553" s="53"/>
      <c r="F553" s="54"/>
      <c r="G553" s="57" t="str">
        <f t="shared" si="2"/>
        <v/>
      </c>
      <c r="H553" s="65" t="b">
        <v>0</v>
      </c>
      <c r="I553" s="59"/>
    </row>
    <row r="554">
      <c r="A554" s="61"/>
      <c r="B554" s="63"/>
      <c r="C554" s="54"/>
      <c r="D554" s="54"/>
      <c r="E554" s="53"/>
      <c r="F554" s="54"/>
      <c r="G554" s="57" t="str">
        <f t="shared" si="2"/>
        <v/>
      </c>
      <c r="H554" s="65" t="b">
        <v>0</v>
      </c>
      <c r="I554" s="59"/>
    </row>
    <row r="555">
      <c r="A555" s="61"/>
      <c r="B555" s="63"/>
      <c r="C555" s="54"/>
      <c r="D555" s="54"/>
      <c r="E555" s="53"/>
      <c r="F555" s="54"/>
      <c r="G555" s="57" t="str">
        <f t="shared" si="2"/>
        <v/>
      </c>
      <c r="H555" s="65" t="b">
        <v>0</v>
      </c>
      <c r="I555" s="59"/>
    </row>
    <row r="556">
      <c r="A556" s="61"/>
      <c r="B556" s="63"/>
      <c r="C556" s="54"/>
      <c r="D556" s="54"/>
      <c r="E556" s="53"/>
      <c r="F556" s="54"/>
      <c r="G556" s="57" t="str">
        <f t="shared" si="2"/>
        <v/>
      </c>
      <c r="H556" s="65" t="b">
        <v>0</v>
      </c>
      <c r="I556" s="59"/>
    </row>
    <row r="557">
      <c r="A557" s="61"/>
      <c r="B557" s="63"/>
      <c r="C557" s="54"/>
      <c r="D557" s="54"/>
      <c r="E557" s="53"/>
      <c r="F557" s="54"/>
      <c r="G557" s="57" t="str">
        <f t="shared" si="2"/>
        <v/>
      </c>
      <c r="H557" s="65" t="b">
        <v>0</v>
      </c>
      <c r="I557" s="59"/>
    </row>
    <row r="558">
      <c r="A558" s="61"/>
      <c r="B558" s="63"/>
      <c r="C558" s="54"/>
      <c r="D558" s="54"/>
      <c r="E558" s="53"/>
      <c r="F558" s="54"/>
      <c r="G558" s="57" t="str">
        <f t="shared" si="2"/>
        <v/>
      </c>
      <c r="H558" s="65" t="b">
        <v>0</v>
      </c>
      <c r="I558" s="59"/>
    </row>
    <row r="559">
      <c r="A559" s="61"/>
      <c r="B559" s="63"/>
      <c r="C559" s="54"/>
      <c r="D559" s="54"/>
      <c r="E559" s="53"/>
      <c r="F559" s="54"/>
      <c r="G559" s="57" t="str">
        <f t="shared" si="2"/>
        <v/>
      </c>
      <c r="H559" s="65" t="b">
        <v>0</v>
      </c>
      <c r="I559" s="59"/>
    </row>
    <row r="560">
      <c r="A560" s="61"/>
      <c r="B560" s="63"/>
      <c r="C560" s="54"/>
      <c r="D560" s="54"/>
      <c r="E560" s="53"/>
      <c r="F560" s="54"/>
      <c r="G560" s="57" t="str">
        <f t="shared" si="2"/>
        <v/>
      </c>
      <c r="H560" s="65" t="b">
        <v>0</v>
      </c>
      <c r="I560" s="59"/>
    </row>
    <row r="561">
      <c r="A561" s="61"/>
      <c r="B561" s="63"/>
      <c r="C561" s="54"/>
      <c r="D561" s="54"/>
      <c r="E561" s="53"/>
      <c r="F561" s="54"/>
      <c r="G561" s="57" t="str">
        <f t="shared" si="2"/>
        <v/>
      </c>
      <c r="H561" s="65" t="b">
        <v>0</v>
      </c>
      <c r="I561" s="59"/>
    </row>
    <row r="562">
      <c r="A562" s="61"/>
      <c r="B562" s="63"/>
      <c r="C562" s="54"/>
      <c r="D562" s="54"/>
      <c r="E562" s="53"/>
      <c r="F562" s="54"/>
      <c r="G562" s="57" t="str">
        <f t="shared" si="2"/>
        <v/>
      </c>
      <c r="H562" s="65" t="b">
        <v>0</v>
      </c>
      <c r="I562" s="59"/>
    </row>
    <row r="563">
      <c r="A563" s="61"/>
      <c r="B563" s="63"/>
      <c r="C563" s="54"/>
      <c r="D563" s="54"/>
      <c r="E563" s="53"/>
      <c r="F563" s="54"/>
      <c r="G563" s="57" t="str">
        <f t="shared" si="2"/>
        <v/>
      </c>
      <c r="H563" s="65" t="b">
        <v>0</v>
      </c>
      <c r="I563" s="59"/>
    </row>
    <row r="564">
      <c r="A564" s="61"/>
      <c r="B564" s="63"/>
      <c r="C564" s="54"/>
      <c r="D564" s="54"/>
      <c r="E564" s="53"/>
      <c r="F564" s="54"/>
      <c r="G564" s="57" t="str">
        <f t="shared" si="2"/>
        <v/>
      </c>
      <c r="H564" s="65" t="b">
        <v>0</v>
      </c>
      <c r="I564" s="59"/>
    </row>
    <row r="565">
      <c r="A565" s="61"/>
      <c r="B565" s="63"/>
      <c r="C565" s="54"/>
      <c r="D565" s="54"/>
      <c r="E565" s="53"/>
      <c r="F565" s="54"/>
      <c r="G565" s="57" t="str">
        <f t="shared" si="2"/>
        <v/>
      </c>
      <c r="H565" s="65" t="b">
        <v>0</v>
      </c>
      <c r="I565" s="59"/>
    </row>
    <row r="566">
      <c r="A566" s="61"/>
      <c r="B566" s="63"/>
      <c r="C566" s="54"/>
      <c r="D566" s="54"/>
      <c r="E566" s="53"/>
      <c r="F566" s="54"/>
      <c r="G566" s="57" t="str">
        <f t="shared" si="2"/>
        <v/>
      </c>
      <c r="H566" s="65" t="b">
        <v>0</v>
      </c>
      <c r="I566" s="59"/>
    </row>
    <row r="567">
      <c r="A567" s="61"/>
      <c r="B567" s="63"/>
      <c r="C567" s="54"/>
      <c r="D567" s="54"/>
      <c r="E567" s="53"/>
      <c r="F567" s="54"/>
      <c r="G567" s="57" t="str">
        <f t="shared" si="2"/>
        <v/>
      </c>
      <c r="H567" s="65" t="b">
        <v>0</v>
      </c>
      <c r="I567" s="59"/>
    </row>
    <row r="568">
      <c r="A568" s="61"/>
      <c r="B568" s="63"/>
      <c r="C568" s="54"/>
      <c r="D568" s="54"/>
      <c r="E568" s="53"/>
      <c r="F568" s="54"/>
      <c r="G568" s="57" t="str">
        <f t="shared" si="2"/>
        <v/>
      </c>
      <c r="H568" s="65" t="b">
        <v>0</v>
      </c>
      <c r="I568" s="59"/>
    </row>
    <row r="569">
      <c r="A569" s="61"/>
      <c r="B569" s="63"/>
      <c r="C569" s="54"/>
      <c r="D569" s="54"/>
      <c r="E569" s="53"/>
      <c r="F569" s="54"/>
      <c r="G569" s="57" t="str">
        <f t="shared" si="2"/>
        <v/>
      </c>
      <c r="H569" s="65" t="b">
        <v>0</v>
      </c>
      <c r="I569" s="59"/>
    </row>
    <row r="570">
      <c r="A570" s="61"/>
      <c r="B570" s="63"/>
      <c r="C570" s="54"/>
      <c r="D570" s="54"/>
      <c r="E570" s="53"/>
      <c r="F570" s="54"/>
      <c r="G570" s="57" t="str">
        <f t="shared" si="2"/>
        <v/>
      </c>
      <c r="H570" s="65" t="b">
        <v>0</v>
      </c>
      <c r="I570" s="59"/>
    </row>
    <row r="571">
      <c r="A571" s="61"/>
      <c r="B571" s="63"/>
      <c r="C571" s="54"/>
      <c r="D571" s="54"/>
      <c r="E571" s="53"/>
      <c r="F571" s="54"/>
      <c r="G571" s="57" t="str">
        <f t="shared" si="2"/>
        <v/>
      </c>
      <c r="H571" s="65" t="b">
        <v>0</v>
      </c>
      <c r="I571" s="59"/>
    </row>
    <row r="572">
      <c r="A572" s="61"/>
      <c r="B572" s="63"/>
      <c r="C572" s="54"/>
      <c r="D572" s="54"/>
      <c r="E572" s="53"/>
      <c r="F572" s="54"/>
      <c r="G572" s="57" t="str">
        <f t="shared" si="2"/>
        <v/>
      </c>
      <c r="H572" s="65" t="b">
        <v>0</v>
      </c>
      <c r="I572" s="59"/>
    </row>
    <row r="573">
      <c r="A573" s="61"/>
      <c r="B573" s="63"/>
      <c r="C573" s="54"/>
      <c r="D573" s="54"/>
      <c r="E573" s="53"/>
      <c r="F573" s="54"/>
      <c r="G573" s="57" t="str">
        <f t="shared" si="2"/>
        <v/>
      </c>
      <c r="H573" s="65" t="b">
        <v>0</v>
      </c>
      <c r="I573" s="59"/>
    </row>
    <row r="574">
      <c r="A574" s="61"/>
      <c r="B574" s="63"/>
      <c r="C574" s="54"/>
      <c r="D574" s="54"/>
      <c r="E574" s="53"/>
      <c r="F574" s="54"/>
      <c r="G574" s="57" t="str">
        <f t="shared" si="2"/>
        <v/>
      </c>
      <c r="H574" s="65" t="b">
        <v>0</v>
      </c>
      <c r="I574" s="59"/>
    </row>
    <row r="575">
      <c r="A575" s="61"/>
      <c r="B575" s="63"/>
      <c r="C575" s="54"/>
      <c r="D575" s="54"/>
      <c r="E575" s="53"/>
      <c r="F575" s="54"/>
      <c r="G575" s="57" t="str">
        <f t="shared" si="2"/>
        <v/>
      </c>
      <c r="H575" s="65" t="b">
        <v>0</v>
      </c>
      <c r="I575" s="59"/>
    </row>
    <row r="576">
      <c r="A576" s="61"/>
      <c r="B576" s="63"/>
      <c r="C576" s="54"/>
      <c r="D576" s="54"/>
      <c r="E576" s="53"/>
      <c r="F576" s="54"/>
      <c r="G576" s="57" t="str">
        <f t="shared" si="2"/>
        <v/>
      </c>
      <c r="H576" s="65" t="b">
        <v>0</v>
      </c>
      <c r="I576" s="59"/>
    </row>
    <row r="577">
      <c r="A577" s="61"/>
      <c r="B577" s="63"/>
      <c r="C577" s="54"/>
      <c r="D577" s="54"/>
      <c r="E577" s="53"/>
      <c r="F577" s="54"/>
      <c r="G577" s="57" t="str">
        <f t="shared" si="2"/>
        <v/>
      </c>
      <c r="H577" s="65" t="b">
        <v>0</v>
      </c>
      <c r="I577" s="59"/>
    </row>
    <row r="578">
      <c r="A578" s="61"/>
      <c r="B578" s="63"/>
      <c r="C578" s="54"/>
      <c r="D578" s="54"/>
      <c r="E578" s="53"/>
      <c r="F578" s="54"/>
      <c r="G578" s="57" t="str">
        <f t="shared" si="2"/>
        <v/>
      </c>
      <c r="H578" s="65" t="b">
        <v>0</v>
      </c>
      <c r="I578" s="59"/>
    </row>
    <row r="579">
      <c r="A579" s="61"/>
      <c r="B579" s="63"/>
      <c r="C579" s="54"/>
      <c r="D579" s="54"/>
      <c r="E579" s="53"/>
      <c r="F579" s="54"/>
      <c r="G579" s="57" t="str">
        <f t="shared" si="2"/>
        <v/>
      </c>
      <c r="H579" s="65" t="b">
        <v>0</v>
      </c>
      <c r="I579" s="59"/>
    </row>
    <row r="580">
      <c r="A580" s="61"/>
      <c r="B580" s="63"/>
      <c r="C580" s="54"/>
      <c r="D580" s="54"/>
      <c r="E580" s="53"/>
      <c r="F580" s="54"/>
      <c r="G580" s="57" t="str">
        <f t="shared" si="2"/>
        <v/>
      </c>
      <c r="H580" s="65" t="b">
        <v>0</v>
      </c>
      <c r="I580" s="59"/>
    </row>
    <row r="581">
      <c r="A581" s="61"/>
      <c r="B581" s="63"/>
      <c r="C581" s="54"/>
      <c r="D581" s="54"/>
      <c r="E581" s="53"/>
      <c r="F581" s="54"/>
      <c r="G581" s="57" t="str">
        <f t="shared" si="2"/>
        <v/>
      </c>
      <c r="H581" s="65" t="b">
        <v>0</v>
      </c>
      <c r="I581" s="59"/>
    </row>
    <row r="582">
      <c r="A582" s="61"/>
      <c r="B582" s="63"/>
      <c r="C582" s="54"/>
      <c r="D582" s="54"/>
      <c r="E582" s="53"/>
      <c r="F582" s="54"/>
      <c r="G582" s="57" t="str">
        <f t="shared" si="2"/>
        <v/>
      </c>
      <c r="H582" s="65" t="b">
        <v>0</v>
      </c>
      <c r="I582" s="59"/>
    </row>
    <row r="583">
      <c r="A583" s="61"/>
      <c r="B583" s="63"/>
      <c r="C583" s="54"/>
      <c r="D583" s="54"/>
      <c r="E583" s="53"/>
      <c r="F583" s="54"/>
      <c r="G583" s="57" t="str">
        <f t="shared" si="2"/>
        <v/>
      </c>
      <c r="H583" s="65" t="b">
        <v>0</v>
      </c>
      <c r="I583" s="59"/>
    </row>
    <row r="584">
      <c r="A584" s="61"/>
      <c r="B584" s="63"/>
      <c r="C584" s="54"/>
      <c r="D584" s="54"/>
      <c r="E584" s="53"/>
      <c r="F584" s="54"/>
      <c r="G584" s="57" t="str">
        <f t="shared" si="2"/>
        <v/>
      </c>
      <c r="H584" s="65" t="b">
        <v>0</v>
      </c>
      <c r="I584" s="59"/>
    </row>
    <row r="585">
      <c r="A585" s="61"/>
      <c r="B585" s="63"/>
      <c r="C585" s="54"/>
      <c r="D585" s="54"/>
      <c r="E585" s="53"/>
      <c r="F585" s="54"/>
      <c r="G585" s="57" t="str">
        <f t="shared" si="2"/>
        <v/>
      </c>
      <c r="H585" s="65" t="b">
        <v>0</v>
      </c>
      <c r="I585" s="59"/>
    </row>
    <row r="586">
      <c r="A586" s="61"/>
      <c r="B586" s="63"/>
      <c r="C586" s="54"/>
      <c r="D586" s="54"/>
      <c r="E586" s="53"/>
      <c r="F586" s="54"/>
      <c r="G586" s="57" t="str">
        <f t="shared" si="2"/>
        <v/>
      </c>
      <c r="H586" s="65" t="b">
        <v>0</v>
      </c>
      <c r="I586" s="59"/>
    </row>
    <row r="587">
      <c r="A587" s="61"/>
      <c r="B587" s="63"/>
      <c r="C587" s="54"/>
      <c r="D587" s="54"/>
      <c r="E587" s="53"/>
      <c r="F587" s="54"/>
      <c r="G587" s="57" t="str">
        <f t="shared" si="2"/>
        <v/>
      </c>
      <c r="H587" s="65" t="b">
        <v>0</v>
      </c>
      <c r="I587" s="59"/>
    </row>
    <row r="588">
      <c r="A588" s="61"/>
      <c r="B588" s="63"/>
      <c r="C588" s="54"/>
      <c r="D588" s="54"/>
      <c r="E588" s="53"/>
      <c r="F588" s="54"/>
      <c r="G588" s="57" t="str">
        <f t="shared" si="2"/>
        <v/>
      </c>
      <c r="H588" s="65" t="b">
        <v>0</v>
      </c>
      <c r="I588" s="59"/>
    </row>
    <row r="589">
      <c r="A589" s="61"/>
      <c r="B589" s="63"/>
      <c r="C589" s="54"/>
      <c r="D589" s="54"/>
      <c r="E589" s="53"/>
      <c r="F589" s="54"/>
      <c r="G589" s="57" t="str">
        <f t="shared" si="2"/>
        <v/>
      </c>
      <c r="H589" s="65" t="b">
        <v>0</v>
      </c>
      <c r="I589" s="59"/>
    </row>
    <row r="590">
      <c r="A590" s="61"/>
      <c r="B590" s="63"/>
      <c r="C590" s="54"/>
      <c r="D590" s="54"/>
      <c r="E590" s="53"/>
      <c r="F590" s="54"/>
      <c r="G590" s="57" t="str">
        <f t="shared" si="2"/>
        <v/>
      </c>
      <c r="H590" s="65" t="b">
        <v>0</v>
      </c>
      <c r="I590" s="59"/>
    </row>
    <row r="591">
      <c r="A591" s="61"/>
      <c r="B591" s="63"/>
      <c r="C591" s="54"/>
      <c r="D591" s="54"/>
      <c r="E591" s="53"/>
      <c r="F591" s="54"/>
      <c r="G591" s="57" t="str">
        <f t="shared" si="2"/>
        <v/>
      </c>
      <c r="H591" s="65" t="b">
        <v>0</v>
      </c>
      <c r="I591" s="59"/>
    </row>
    <row r="592">
      <c r="A592" s="61"/>
      <c r="B592" s="63"/>
      <c r="C592" s="54"/>
      <c r="D592" s="54"/>
      <c r="E592" s="53"/>
      <c r="F592" s="54"/>
      <c r="G592" s="57" t="str">
        <f t="shared" si="2"/>
        <v/>
      </c>
      <c r="H592" s="65" t="b">
        <v>0</v>
      </c>
      <c r="I592" s="59"/>
    </row>
    <row r="593">
      <c r="A593" s="61"/>
      <c r="B593" s="63"/>
      <c r="C593" s="54"/>
      <c r="D593" s="54"/>
      <c r="E593" s="53"/>
      <c r="F593" s="54"/>
      <c r="G593" s="57" t="str">
        <f t="shared" si="2"/>
        <v/>
      </c>
      <c r="H593" s="65" t="b">
        <v>0</v>
      </c>
      <c r="I593" s="59"/>
    </row>
    <row r="594">
      <c r="A594" s="61"/>
      <c r="B594" s="63"/>
      <c r="C594" s="54"/>
      <c r="D594" s="54"/>
      <c r="E594" s="53"/>
      <c r="F594" s="54"/>
      <c r="G594" s="57" t="str">
        <f t="shared" si="2"/>
        <v/>
      </c>
      <c r="H594" s="65" t="b">
        <v>0</v>
      </c>
      <c r="I594" s="59"/>
    </row>
    <row r="595">
      <c r="A595" s="61"/>
      <c r="B595" s="63"/>
      <c r="C595" s="54"/>
      <c r="D595" s="54"/>
      <c r="E595" s="53"/>
      <c r="F595" s="54"/>
      <c r="G595" s="57" t="str">
        <f t="shared" si="2"/>
        <v/>
      </c>
      <c r="H595" s="65" t="b">
        <v>0</v>
      </c>
      <c r="I595" s="59"/>
    </row>
    <row r="596">
      <c r="A596" s="61"/>
      <c r="B596" s="63"/>
      <c r="C596" s="54"/>
      <c r="D596" s="54"/>
      <c r="E596" s="53"/>
      <c r="F596" s="54"/>
      <c r="G596" s="57" t="str">
        <f t="shared" si="2"/>
        <v/>
      </c>
      <c r="H596" s="65" t="b">
        <v>0</v>
      </c>
      <c r="I596" s="59"/>
    </row>
    <row r="597">
      <c r="A597" s="61"/>
      <c r="B597" s="63"/>
      <c r="C597" s="54"/>
      <c r="D597" s="54"/>
      <c r="E597" s="53"/>
      <c r="F597" s="54"/>
      <c r="G597" s="57" t="str">
        <f t="shared" si="2"/>
        <v/>
      </c>
      <c r="H597" s="65" t="b">
        <v>0</v>
      </c>
      <c r="I597" s="59"/>
    </row>
    <row r="598">
      <c r="A598" s="61"/>
      <c r="B598" s="63"/>
      <c r="C598" s="54"/>
      <c r="D598" s="54"/>
      <c r="E598" s="53"/>
      <c r="F598" s="54"/>
      <c r="G598" s="57" t="str">
        <f t="shared" si="2"/>
        <v/>
      </c>
      <c r="H598" s="65" t="b">
        <v>0</v>
      </c>
      <c r="I598" s="59"/>
    </row>
    <row r="599">
      <c r="A599" s="61"/>
      <c r="B599" s="63"/>
      <c r="C599" s="54"/>
      <c r="D599" s="54"/>
      <c r="E599" s="53"/>
      <c r="F599" s="54"/>
      <c r="G599" s="57" t="str">
        <f t="shared" si="2"/>
        <v/>
      </c>
      <c r="H599" s="65" t="b">
        <v>0</v>
      </c>
      <c r="I599" s="59"/>
    </row>
    <row r="600">
      <c r="A600" s="61"/>
      <c r="B600" s="63"/>
      <c r="C600" s="54"/>
      <c r="D600" s="54"/>
      <c r="E600" s="53"/>
      <c r="F600" s="54"/>
      <c r="G600" s="57" t="str">
        <f t="shared" si="2"/>
        <v/>
      </c>
      <c r="H600" s="65" t="b">
        <v>0</v>
      </c>
      <c r="I600" s="59"/>
    </row>
    <row r="601">
      <c r="A601" s="61"/>
      <c r="B601" s="63"/>
      <c r="C601" s="54"/>
      <c r="D601" s="54"/>
      <c r="E601" s="53"/>
      <c r="F601" s="54"/>
      <c r="G601" s="57" t="str">
        <f t="shared" si="2"/>
        <v/>
      </c>
      <c r="H601" s="65" t="b">
        <v>0</v>
      </c>
      <c r="I601" s="59"/>
    </row>
    <row r="602">
      <c r="A602" s="61"/>
      <c r="B602" s="63"/>
      <c r="C602" s="54"/>
      <c r="D602" s="54"/>
      <c r="E602" s="53"/>
      <c r="F602" s="54"/>
      <c r="G602" s="57" t="str">
        <f t="shared" si="2"/>
        <v/>
      </c>
      <c r="H602" s="65" t="b">
        <v>0</v>
      </c>
      <c r="I602" s="59"/>
    </row>
    <row r="603">
      <c r="A603" s="61"/>
      <c r="B603" s="63"/>
      <c r="C603" s="54"/>
      <c r="D603" s="54"/>
      <c r="E603" s="53"/>
      <c r="F603" s="54"/>
      <c r="G603" s="57" t="str">
        <f t="shared" si="2"/>
        <v/>
      </c>
      <c r="H603" s="65" t="b">
        <v>0</v>
      </c>
      <c r="I603" s="59"/>
    </row>
    <row r="604">
      <c r="A604" s="61"/>
      <c r="B604" s="63"/>
      <c r="C604" s="54"/>
      <c r="D604" s="54"/>
      <c r="E604" s="53"/>
      <c r="F604" s="54"/>
      <c r="G604" s="57" t="str">
        <f t="shared" si="2"/>
        <v/>
      </c>
      <c r="H604" s="65" t="b">
        <v>0</v>
      </c>
      <c r="I604" s="59"/>
    </row>
    <row r="605">
      <c r="A605" s="61"/>
      <c r="B605" s="63"/>
      <c r="C605" s="54"/>
      <c r="D605" s="54"/>
      <c r="E605" s="53"/>
      <c r="F605" s="54"/>
      <c r="G605" s="57" t="str">
        <f t="shared" si="2"/>
        <v/>
      </c>
      <c r="H605" s="65" t="b">
        <v>0</v>
      </c>
      <c r="I605" s="59"/>
    </row>
    <row r="606">
      <c r="A606" s="61"/>
      <c r="B606" s="63"/>
      <c r="C606" s="54"/>
      <c r="D606" s="54"/>
      <c r="E606" s="53"/>
      <c r="F606" s="54"/>
      <c r="G606" s="57" t="str">
        <f t="shared" si="2"/>
        <v/>
      </c>
      <c r="H606" s="65" t="b">
        <v>0</v>
      </c>
      <c r="I606" s="59"/>
    </row>
    <row r="607">
      <c r="A607" s="61"/>
      <c r="B607" s="63"/>
      <c r="C607" s="54"/>
      <c r="D607" s="54"/>
      <c r="E607" s="53"/>
      <c r="F607" s="54"/>
      <c r="G607" s="57" t="str">
        <f t="shared" si="2"/>
        <v/>
      </c>
      <c r="H607" s="65" t="b">
        <v>0</v>
      </c>
      <c r="I607" s="59"/>
    </row>
    <row r="608">
      <c r="A608" s="61"/>
      <c r="B608" s="63"/>
      <c r="C608" s="54"/>
      <c r="D608" s="54"/>
      <c r="E608" s="53"/>
      <c r="F608" s="54"/>
      <c r="G608" s="57" t="str">
        <f t="shared" si="2"/>
        <v/>
      </c>
      <c r="H608" s="65" t="b">
        <v>0</v>
      </c>
      <c r="I608" s="59"/>
    </row>
    <row r="609">
      <c r="A609" s="61"/>
      <c r="B609" s="63"/>
      <c r="C609" s="54"/>
      <c r="D609" s="54"/>
      <c r="E609" s="53"/>
      <c r="F609" s="54"/>
      <c r="G609" s="57" t="str">
        <f t="shared" si="2"/>
        <v/>
      </c>
      <c r="H609" s="65" t="b">
        <v>0</v>
      </c>
      <c r="I609" s="59"/>
    </row>
    <row r="610">
      <c r="A610" s="61"/>
      <c r="B610" s="63"/>
      <c r="C610" s="54"/>
      <c r="D610" s="54"/>
      <c r="E610" s="53"/>
      <c r="F610" s="54"/>
      <c r="G610" s="57" t="str">
        <f t="shared" si="2"/>
        <v/>
      </c>
      <c r="H610" s="65" t="b">
        <v>0</v>
      </c>
      <c r="I610" s="59"/>
    </row>
    <row r="611">
      <c r="A611" s="61"/>
      <c r="B611" s="63"/>
      <c r="C611" s="54"/>
      <c r="D611" s="54"/>
      <c r="E611" s="53"/>
      <c r="F611" s="54"/>
      <c r="G611" s="57" t="str">
        <f t="shared" si="2"/>
        <v/>
      </c>
      <c r="H611" s="65" t="b">
        <v>0</v>
      </c>
      <c r="I611" s="59"/>
    </row>
    <row r="612">
      <c r="A612" s="61"/>
      <c r="B612" s="63"/>
      <c r="C612" s="54"/>
      <c r="D612" s="54"/>
      <c r="E612" s="53"/>
      <c r="F612" s="54"/>
      <c r="G612" s="57" t="str">
        <f t="shared" si="2"/>
        <v/>
      </c>
      <c r="H612" s="65" t="b">
        <v>0</v>
      </c>
      <c r="I612" s="59"/>
    </row>
    <row r="613">
      <c r="A613" s="61"/>
      <c r="B613" s="63"/>
      <c r="C613" s="54"/>
      <c r="D613" s="54"/>
      <c r="E613" s="53"/>
      <c r="F613" s="54"/>
      <c r="G613" s="57" t="str">
        <f t="shared" si="2"/>
        <v/>
      </c>
      <c r="H613" s="65" t="b">
        <v>0</v>
      </c>
      <c r="I613" s="59"/>
    </row>
    <row r="614">
      <c r="A614" s="61"/>
      <c r="B614" s="63"/>
      <c r="C614" s="54"/>
      <c r="D614" s="54"/>
      <c r="E614" s="53"/>
      <c r="F614" s="54"/>
      <c r="G614" s="57" t="str">
        <f t="shared" si="2"/>
        <v/>
      </c>
      <c r="H614" s="65" t="b">
        <v>0</v>
      </c>
      <c r="I614" s="59"/>
    </row>
    <row r="615">
      <c r="A615" s="61"/>
      <c r="B615" s="63"/>
      <c r="C615" s="54"/>
      <c r="D615" s="54"/>
      <c r="E615" s="53"/>
      <c r="F615" s="54"/>
      <c r="G615" s="57" t="str">
        <f t="shared" si="2"/>
        <v/>
      </c>
      <c r="H615" s="65" t="b">
        <v>0</v>
      </c>
      <c r="I615" s="59"/>
    </row>
    <row r="616">
      <c r="A616" s="61"/>
      <c r="B616" s="63"/>
      <c r="C616" s="54"/>
      <c r="D616" s="54"/>
      <c r="E616" s="53"/>
      <c r="F616" s="54"/>
      <c r="G616" s="57" t="str">
        <f t="shared" si="2"/>
        <v/>
      </c>
      <c r="H616" s="65" t="b">
        <v>0</v>
      </c>
      <c r="I616" s="59"/>
    </row>
    <row r="617">
      <c r="A617" s="61"/>
      <c r="B617" s="63"/>
      <c r="C617" s="54"/>
      <c r="D617" s="54"/>
      <c r="E617" s="53"/>
      <c r="F617" s="54"/>
      <c r="G617" s="57" t="str">
        <f t="shared" si="2"/>
        <v/>
      </c>
      <c r="H617" s="65" t="b">
        <v>0</v>
      </c>
      <c r="I617" s="59"/>
    </row>
    <row r="618">
      <c r="A618" s="61"/>
      <c r="B618" s="63"/>
      <c r="C618" s="54"/>
      <c r="D618" s="54"/>
      <c r="E618" s="53"/>
      <c r="F618" s="54"/>
      <c r="G618" s="57" t="str">
        <f t="shared" si="2"/>
        <v/>
      </c>
      <c r="H618" s="65" t="b">
        <v>0</v>
      </c>
      <c r="I618" s="59"/>
    </row>
    <row r="619">
      <c r="A619" s="61"/>
      <c r="B619" s="63"/>
      <c r="C619" s="54"/>
      <c r="D619" s="54"/>
      <c r="E619" s="53"/>
      <c r="F619" s="54"/>
      <c r="G619" s="57" t="str">
        <f t="shared" si="2"/>
        <v/>
      </c>
      <c r="H619" s="65" t="b">
        <v>0</v>
      </c>
      <c r="I619" s="59"/>
    </row>
    <row r="620">
      <c r="A620" s="61"/>
      <c r="B620" s="63"/>
      <c r="C620" s="54"/>
      <c r="D620" s="54"/>
      <c r="E620" s="53"/>
      <c r="F620" s="54"/>
      <c r="G620" s="57" t="str">
        <f t="shared" si="2"/>
        <v/>
      </c>
      <c r="H620" s="65" t="b">
        <v>0</v>
      </c>
      <c r="I620" s="59"/>
    </row>
    <row r="621">
      <c r="A621" s="61"/>
      <c r="B621" s="63"/>
      <c r="C621" s="54"/>
      <c r="D621" s="54"/>
      <c r="E621" s="53"/>
      <c r="F621" s="54"/>
      <c r="G621" s="57" t="str">
        <f t="shared" si="2"/>
        <v/>
      </c>
      <c r="H621" s="65" t="b">
        <v>0</v>
      </c>
      <c r="I621" s="59"/>
    </row>
    <row r="622">
      <c r="A622" s="61"/>
      <c r="B622" s="63"/>
      <c r="C622" s="54"/>
      <c r="D622" s="54"/>
      <c r="E622" s="53"/>
      <c r="F622" s="54"/>
      <c r="G622" s="57" t="str">
        <f t="shared" si="2"/>
        <v/>
      </c>
      <c r="H622" s="65" t="b">
        <v>0</v>
      </c>
      <c r="I622" s="59"/>
    </row>
    <row r="623">
      <c r="A623" s="61"/>
      <c r="B623" s="63"/>
      <c r="C623" s="54"/>
      <c r="D623" s="54"/>
      <c r="E623" s="53"/>
      <c r="F623" s="54"/>
      <c r="G623" s="57" t="str">
        <f t="shared" si="2"/>
        <v/>
      </c>
      <c r="H623" s="65" t="b">
        <v>0</v>
      </c>
      <c r="I623" s="59"/>
    </row>
    <row r="624">
      <c r="A624" s="61"/>
      <c r="B624" s="63"/>
      <c r="C624" s="54"/>
      <c r="D624" s="54"/>
      <c r="E624" s="53"/>
      <c r="F624" s="54"/>
      <c r="G624" s="57" t="str">
        <f t="shared" si="2"/>
        <v/>
      </c>
      <c r="H624" s="65" t="b">
        <v>0</v>
      </c>
      <c r="I624" s="59"/>
    </row>
    <row r="625">
      <c r="A625" s="61"/>
      <c r="B625" s="63"/>
      <c r="C625" s="54"/>
      <c r="D625" s="54"/>
      <c r="E625" s="53"/>
      <c r="F625" s="54"/>
      <c r="G625" s="57" t="str">
        <f t="shared" si="2"/>
        <v/>
      </c>
      <c r="H625" s="65" t="b">
        <v>0</v>
      </c>
      <c r="I625" s="59"/>
    </row>
    <row r="626">
      <c r="A626" s="61"/>
      <c r="B626" s="63"/>
      <c r="C626" s="54"/>
      <c r="D626" s="54"/>
      <c r="E626" s="53"/>
      <c r="F626" s="54"/>
      <c r="G626" s="57" t="str">
        <f t="shared" si="2"/>
        <v/>
      </c>
      <c r="H626" s="65" t="b">
        <v>0</v>
      </c>
      <c r="I626" s="59"/>
    </row>
    <row r="627">
      <c r="A627" s="61"/>
      <c r="B627" s="63"/>
      <c r="C627" s="54"/>
      <c r="D627" s="54"/>
      <c r="E627" s="53"/>
      <c r="F627" s="54"/>
      <c r="G627" s="57" t="str">
        <f t="shared" si="2"/>
        <v/>
      </c>
      <c r="H627" s="65" t="b">
        <v>0</v>
      </c>
      <c r="I627" s="59"/>
    </row>
    <row r="628">
      <c r="A628" s="61"/>
      <c r="B628" s="63"/>
      <c r="C628" s="54"/>
      <c r="D628" s="54"/>
      <c r="E628" s="53"/>
      <c r="F628" s="54"/>
      <c r="G628" s="57" t="str">
        <f t="shared" si="2"/>
        <v/>
      </c>
      <c r="H628" s="65" t="b">
        <v>0</v>
      </c>
      <c r="I628" s="59"/>
    </row>
    <row r="629">
      <c r="A629" s="61"/>
      <c r="B629" s="63"/>
      <c r="C629" s="54"/>
      <c r="D629" s="54"/>
      <c r="E629" s="53"/>
      <c r="F629" s="54"/>
      <c r="G629" s="57" t="str">
        <f t="shared" si="2"/>
        <v/>
      </c>
      <c r="H629" s="65" t="b">
        <v>0</v>
      </c>
      <c r="I629" s="59"/>
    </row>
    <row r="630">
      <c r="A630" s="61"/>
      <c r="B630" s="63"/>
      <c r="C630" s="54"/>
      <c r="D630" s="54"/>
      <c r="E630" s="53"/>
      <c r="F630" s="54"/>
      <c r="G630" s="57" t="str">
        <f t="shared" si="2"/>
        <v/>
      </c>
      <c r="H630" s="65" t="b">
        <v>0</v>
      </c>
      <c r="I630" s="59"/>
    </row>
    <row r="631">
      <c r="A631" s="61"/>
      <c r="B631" s="63"/>
      <c r="C631" s="54"/>
      <c r="D631" s="54"/>
      <c r="E631" s="53"/>
      <c r="F631" s="54"/>
      <c r="G631" s="57" t="str">
        <f t="shared" si="2"/>
        <v/>
      </c>
      <c r="H631" s="65" t="b">
        <v>0</v>
      </c>
      <c r="I631" s="59"/>
    </row>
    <row r="632">
      <c r="A632" s="61"/>
      <c r="B632" s="63"/>
      <c r="C632" s="54"/>
      <c r="D632" s="54"/>
      <c r="E632" s="53"/>
      <c r="F632" s="54"/>
      <c r="G632" s="57" t="str">
        <f t="shared" si="2"/>
        <v/>
      </c>
      <c r="H632" s="65" t="b">
        <v>0</v>
      </c>
      <c r="I632" s="59"/>
    </row>
    <row r="633">
      <c r="A633" s="61"/>
      <c r="B633" s="63"/>
      <c r="C633" s="54"/>
      <c r="D633" s="54"/>
      <c r="E633" s="53"/>
      <c r="F633" s="54"/>
      <c r="G633" s="57" t="str">
        <f t="shared" si="2"/>
        <v/>
      </c>
      <c r="H633" s="65" t="b">
        <v>0</v>
      </c>
      <c r="I633" s="59"/>
    </row>
    <row r="634">
      <c r="A634" s="61"/>
      <c r="B634" s="63"/>
      <c r="C634" s="54"/>
      <c r="D634" s="54"/>
      <c r="E634" s="53"/>
      <c r="F634" s="54"/>
      <c r="G634" s="57" t="str">
        <f t="shared" si="2"/>
        <v/>
      </c>
      <c r="H634" s="65" t="b">
        <v>0</v>
      </c>
      <c r="I634" s="59"/>
    </row>
    <row r="635">
      <c r="A635" s="61"/>
      <c r="B635" s="63"/>
      <c r="C635" s="54"/>
      <c r="D635" s="54"/>
      <c r="E635" s="53"/>
      <c r="F635" s="54"/>
      <c r="G635" s="57" t="str">
        <f t="shared" si="2"/>
        <v/>
      </c>
      <c r="H635" s="65" t="b">
        <v>0</v>
      </c>
      <c r="I635" s="59"/>
    </row>
    <row r="636">
      <c r="A636" s="61"/>
      <c r="B636" s="63"/>
      <c r="C636" s="54"/>
      <c r="D636" s="54"/>
      <c r="E636" s="53"/>
      <c r="F636" s="54"/>
      <c r="G636" s="57" t="str">
        <f t="shared" si="2"/>
        <v/>
      </c>
      <c r="H636" s="65" t="b">
        <v>0</v>
      </c>
      <c r="I636" s="59"/>
    </row>
    <row r="637">
      <c r="A637" s="61"/>
      <c r="B637" s="63"/>
      <c r="C637" s="54"/>
      <c r="D637" s="54"/>
      <c r="E637" s="53"/>
      <c r="F637" s="54"/>
      <c r="G637" s="57" t="str">
        <f t="shared" si="2"/>
        <v/>
      </c>
      <c r="H637" s="65" t="b">
        <v>0</v>
      </c>
      <c r="I637" s="59"/>
    </row>
    <row r="638">
      <c r="A638" s="61"/>
      <c r="B638" s="63"/>
      <c r="C638" s="54"/>
      <c r="D638" s="54"/>
      <c r="E638" s="53"/>
      <c r="F638" s="54"/>
      <c r="G638" s="57" t="str">
        <f t="shared" si="2"/>
        <v/>
      </c>
      <c r="H638" s="65" t="b">
        <v>0</v>
      </c>
      <c r="I638" s="59"/>
    </row>
    <row r="639">
      <c r="A639" s="61"/>
      <c r="B639" s="63"/>
      <c r="C639" s="54"/>
      <c r="D639" s="54"/>
      <c r="E639" s="53"/>
      <c r="F639" s="54"/>
      <c r="G639" s="57" t="str">
        <f t="shared" si="2"/>
        <v/>
      </c>
      <c r="H639" s="65" t="b">
        <v>0</v>
      </c>
      <c r="I639" s="59"/>
    </row>
    <row r="640">
      <c r="A640" s="61"/>
      <c r="B640" s="63"/>
      <c r="C640" s="54"/>
      <c r="D640" s="54"/>
      <c r="E640" s="53"/>
      <c r="F640" s="54"/>
      <c r="G640" s="57" t="str">
        <f t="shared" si="2"/>
        <v/>
      </c>
      <c r="H640" s="65" t="b">
        <v>0</v>
      </c>
      <c r="I640" s="59"/>
    </row>
    <row r="641">
      <c r="A641" s="61"/>
      <c r="B641" s="63"/>
      <c r="C641" s="54"/>
      <c r="D641" s="54"/>
      <c r="E641" s="53"/>
      <c r="F641" s="54"/>
      <c r="G641" s="57" t="str">
        <f t="shared" si="2"/>
        <v/>
      </c>
      <c r="H641" s="65" t="b">
        <v>0</v>
      </c>
      <c r="I641" s="59"/>
    </row>
    <row r="642">
      <c r="A642" s="61"/>
      <c r="B642" s="63"/>
      <c r="C642" s="54"/>
      <c r="D642" s="54"/>
      <c r="E642" s="53"/>
      <c r="F642" s="54"/>
      <c r="G642" s="57" t="str">
        <f t="shared" si="2"/>
        <v/>
      </c>
      <c r="H642" s="65" t="b">
        <v>0</v>
      </c>
      <c r="I642" s="59"/>
    </row>
    <row r="643">
      <c r="A643" s="61"/>
      <c r="B643" s="63"/>
      <c r="C643" s="54"/>
      <c r="D643" s="54"/>
      <c r="E643" s="53"/>
      <c r="F643" s="54"/>
      <c r="G643" s="57" t="str">
        <f t="shared" si="2"/>
        <v/>
      </c>
      <c r="H643" s="65" t="b">
        <v>0</v>
      </c>
      <c r="I643" s="59"/>
    </row>
    <row r="644">
      <c r="A644" s="61"/>
      <c r="B644" s="63"/>
      <c r="C644" s="54"/>
      <c r="D644" s="54"/>
      <c r="E644" s="53"/>
      <c r="F644" s="54"/>
      <c r="G644" s="57" t="str">
        <f t="shared" si="2"/>
        <v/>
      </c>
      <c r="H644" s="65" t="b">
        <v>0</v>
      </c>
      <c r="I644" s="59"/>
    </row>
    <row r="645">
      <c r="A645" s="61"/>
      <c r="B645" s="63"/>
      <c r="C645" s="54"/>
      <c r="D645" s="54"/>
      <c r="E645" s="53"/>
      <c r="F645" s="54"/>
      <c r="G645" s="57" t="str">
        <f t="shared" si="2"/>
        <v/>
      </c>
      <c r="H645" s="65" t="b">
        <v>0</v>
      </c>
      <c r="I645" s="59"/>
    </row>
    <row r="646">
      <c r="A646" s="61"/>
      <c r="B646" s="63"/>
      <c r="C646" s="54"/>
      <c r="D646" s="54"/>
      <c r="E646" s="53"/>
      <c r="F646" s="54"/>
      <c r="G646" s="57" t="str">
        <f t="shared" si="2"/>
        <v/>
      </c>
      <c r="H646" s="65" t="b">
        <v>0</v>
      </c>
      <c r="I646" s="59"/>
    </row>
    <row r="647">
      <c r="A647" s="61"/>
      <c r="B647" s="63"/>
      <c r="C647" s="54"/>
      <c r="D647" s="54"/>
      <c r="E647" s="53"/>
      <c r="F647" s="54"/>
      <c r="G647" s="57" t="str">
        <f t="shared" si="2"/>
        <v/>
      </c>
      <c r="H647" s="65" t="b">
        <v>0</v>
      </c>
      <c r="I647" s="59"/>
    </row>
    <row r="648">
      <c r="A648" s="61"/>
      <c r="B648" s="63"/>
      <c r="C648" s="54"/>
      <c r="D648" s="54"/>
      <c r="E648" s="53"/>
      <c r="F648" s="54"/>
      <c r="G648" s="57" t="str">
        <f t="shared" si="2"/>
        <v/>
      </c>
      <c r="H648" s="65" t="b">
        <v>0</v>
      </c>
      <c r="I648" s="59"/>
    </row>
    <row r="649">
      <c r="A649" s="61"/>
      <c r="B649" s="63"/>
      <c r="C649" s="54"/>
      <c r="D649" s="54"/>
      <c r="E649" s="53"/>
      <c r="F649" s="54"/>
      <c r="G649" s="57" t="str">
        <f t="shared" si="2"/>
        <v/>
      </c>
      <c r="H649" s="65" t="b">
        <v>0</v>
      </c>
      <c r="I649" s="59"/>
    </row>
    <row r="650">
      <c r="A650" s="61"/>
      <c r="B650" s="63"/>
      <c r="C650" s="54"/>
      <c r="D650" s="54"/>
      <c r="E650" s="53"/>
      <c r="F650" s="54"/>
      <c r="G650" s="57" t="str">
        <f t="shared" si="2"/>
        <v/>
      </c>
      <c r="H650" s="65" t="b">
        <v>0</v>
      </c>
      <c r="I650" s="59"/>
    </row>
    <row r="651">
      <c r="A651" s="61"/>
      <c r="B651" s="63"/>
      <c r="C651" s="54"/>
      <c r="D651" s="54"/>
      <c r="E651" s="53"/>
      <c r="F651" s="54"/>
      <c r="G651" s="57" t="str">
        <f t="shared" si="2"/>
        <v/>
      </c>
      <c r="H651" s="65" t="b">
        <v>0</v>
      </c>
      <c r="I651" s="59"/>
    </row>
    <row r="652">
      <c r="A652" s="61"/>
      <c r="B652" s="63"/>
      <c r="C652" s="54"/>
      <c r="D652" s="54"/>
      <c r="E652" s="53"/>
      <c r="F652" s="54"/>
      <c r="G652" s="57" t="str">
        <f t="shared" si="2"/>
        <v/>
      </c>
      <c r="H652" s="65" t="b">
        <v>0</v>
      </c>
      <c r="I652" s="59"/>
    </row>
    <row r="653">
      <c r="A653" s="61"/>
      <c r="B653" s="63"/>
      <c r="C653" s="54"/>
      <c r="D653" s="54"/>
      <c r="E653" s="53"/>
      <c r="F653" s="54"/>
      <c r="G653" s="57" t="str">
        <f t="shared" si="2"/>
        <v/>
      </c>
      <c r="H653" s="65" t="b">
        <v>0</v>
      </c>
      <c r="I653" s="59"/>
    </row>
    <row r="654">
      <c r="A654" s="61"/>
      <c r="B654" s="63"/>
      <c r="C654" s="54"/>
      <c r="D654" s="54"/>
      <c r="E654" s="53"/>
      <c r="F654" s="54"/>
      <c r="G654" s="57" t="str">
        <f t="shared" si="2"/>
        <v/>
      </c>
      <c r="H654" s="65" t="b">
        <v>0</v>
      </c>
      <c r="I654" s="59"/>
    </row>
    <row r="655">
      <c r="A655" s="61"/>
      <c r="B655" s="63"/>
      <c r="C655" s="54"/>
      <c r="D655" s="54"/>
      <c r="E655" s="53"/>
      <c r="F655" s="54"/>
      <c r="G655" s="57" t="str">
        <f t="shared" si="2"/>
        <v/>
      </c>
      <c r="H655" s="65" t="b">
        <v>0</v>
      </c>
      <c r="I655" s="59"/>
    </row>
    <row r="656">
      <c r="A656" s="61"/>
      <c r="B656" s="63"/>
      <c r="C656" s="54"/>
      <c r="D656" s="54"/>
      <c r="E656" s="53"/>
      <c r="F656" s="54"/>
      <c r="G656" s="57" t="str">
        <f t="shared" si="2"/>
        <v/>
      </c>
      <c r="H656" s="65" t="b">
        <v>0</v>
      </c>
      <c r="I656" s="59"/>
    </row>
    <row r="657">
      <c r="A657" s="61"/>
      <c r="B657" s="63"/>
      <c r="C657" s="54"/>
      <c r="D657" s="54"/>
      <c r="E657" s="53"/>
      <c r="F657" s="54"/>
      <c r="G657" s="57" t="str">
        <f t="shared" si="2"/>
        <v/>
      </c>
      <c r="H657" s="65" t="b">
        <v>0</v>
      </c>
      <c r="I657" s="59"/>
    </row>
  </sheetData>
  <autoFilter ref="$B$2:$I$657"/>
  <customSheetViews>
    <customSheetView guid="{354730A1-2558-4D43-A6D3-DFBE1FA02D0F}" filter="1" showAutoFilter="1">
      <autoFilter ref="$H$1:$H$657"/>
    </customSheetView>
  </customSheetViews>
  <mergeCells count="2">
    <mergeCell ref="B1:D1"/>
    <mergeCell ref="E1:G1"/>
  </mergeCells>
  <dataValidations>
    <dataValidation type="list" allowBlank="1" sqref="I3:I657">
      <formula1>"A Pirate's Life Pack,Advanced Shopfare Pack,Anniversary Celebration Pack,Arabian Blueprints Pack,Back to School Mini Pack,Back to School Pack,Baú de Madeira,Baú de Couro,Baú de Ferro,Baú de Ouro,Baú Mágico,Baú de Anão,Baú Primordial,Beach Bag Pack,Blossom"&amp;" Viewing Pack,Bridal Pack,Brr-rilliant Star Pack,Care Pack,Celebration Pack,Cheerful Pack,Cinco De Mayo Pack,City Raid,Clover's Advantage Pack,Cryptic Pack,Dragon's Armory Pack,Easter Pack,Eggcellent Pack,Eggciting Pack,Eggstravaganza Pack,Emperor's Pack,"&amp;"Epic Pack,Explorer's Handbag Pack,Fall Pack,Farmer Pack,Fiesta Pack,Ancient Pack,Flaming Rain Pack,Force of Nature Pack,Frostforged Fantasy Pack,Gear of Legends Pack,Ghastly Gear Pack,Giveaway,Groom's Pack,Halloween Pack,Happy Thanksgiving Pack,Harvest Pa"&amp;"ck,Heroic Pack #1,Heroic Pack #2,Heroic Pack #3,Holiday Pack,Hollow Pack,Horribly Cuddly Pack,Love Pack,Luck of the Irish Pack,Lucky Rooster Pack,Lunar Equinox Pack,Made with Love Pack,Maple Pack,Monster Hunter's Toolkit Pack,Ninja Pack,Op Supply Drop Pac"&amp;"k,Pack of all Trades,Patissier's Passion Pack,Patriot Pack,Presents Pack,Raining Felines Pack,Relic Event,Pharaoh's Pack,Snowy Pack,Spooky Shop Pack,Sports Pack,Spring Tranquility Pack,Summer Sports Pack,Super Bug Catcher Pack,Superhero Pack,Terribly Styl"&amp;"ish Pack,Thank You Pack,Warrior Pack,Thanksgiving Pack,Tools Astray Pack,Trade War,Vacation Pack,Valentine's Pack,Warfare Pack,Warrior's Path Pack,Wild West Pack,Winter Mini Pack,Winter Pack,Wizard Pack,X Marks the Spot Pack,"</formula1>
    </dataValidation>
    <dataValidation type="list" allowBlank="1" sqref="E3:E657">
      <formula1>"Bola de fogo,Cortar,Armadura do Mago,Esmagar,Pele de pedra,Berserker,Cone-gélido,Raio elétrico,Emboscada,Defesa,Passo das Sombras,Detectar segredo,Encontrar mágica,Aura de proteção,Revide,Mestre das armas,Arquimago 1,Arquimago 2,Arquimago 3,Energético 1,E"&amp;"nergético 2,Energético 3,Cuidadoso 1,Cuidadoso 2,Cuidadoso 3,Ganancioso 1,Ganancioso 2,Ganancioso 3,Curandeiro 1,Curandeiro 2,Curandeiro 3,Sortudo 1,Sortudo 2,Sortudo 3,Protetor 1,Protetor 2,Protetor 3,Resistente 1,Resistente 2,Resistente 3,Engenhoso 1,En"&amp;"genhoso 2,Engenhoso 3,Reviver 1,Reviver 2,Reviver 3,Catador 1,Catador 2,Catador 3,Fornecedor 1,Fornecedor 2,Fornecedor 3,Suporte 1,Suporte 2,Suporte 3,Caça-tesouros 1,Caça-tesouros 2,Caça-tesouros 3,Sábio 1,Sábio 2,Sábio 3,Amazona 1,Amazona 2,Amazona 3,Co"&amp;"mpanheiro de Guerra 1,Companheiro de Guerra 2,Companheiro de Guerra 3,Comandante 1,Comandante 2,Comandante 3,Gangster 1,Gangster 2,Gangster 3,Líder 1,Líder 2,Líder 3,Velocista 1,Velocista 2,Velocista 3"</formula1>
    </dataValidation>
    <dataValidation type="list" allowBlank="1" sqref="F197 F255">
      <formula1>"Comum,Ótimo,Impecável,Épico,Lendário,Mítico"</formula1>
    </dataValidation>
    <dataValidation type="list" allowBlank="1" sqref="F3:F196 F198:F254 F256:F657">
      <formula1>"Ótimo,Impecável,Épico,Lendário,Mítico"</formula1>
    </dataValidation>
    <dataValidation type="list" allowBlank="1" sqref="C3:C657">
      <formula1>"Espada,Faca,Machado,Lança,Martelo,Cajado,Arco,Pistola,Armadura,Veste,Elmo,Manopla,Botas,Túnica,Escudo,Chapéu,Luvas,Sapatos,Erva,Poção,Pergaminho,Projétil,Anel,Pingente,Instrumento"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11" max="11" width="14.75"/>
    <col customWidth="1" min="12" max="12" width="13.38"/>
    <col customWidth="1" min="13" max="13" width="13.75"/>
    <col customWidth="1" min="17" max="17" width="3.38"/>
  </cols>
  <sheetData>
    <row r="1">
      <c r="A1" s="73"/>
      <c r="B1" s="74" t="s">
        <v>7</v>
      </c>
      <c r="C1" s="3"/>
      <c r="D1" s="4"/>
      <c r="E1" s="75" t="s">
        <v>8</v>
      </c>
      <c r="F1" s="3"/>
      <c r="G1" s="4"/>
      <c r="H1" s="75" t="s">
        <v>9</v>
      </c>
      <c r="I1" s="3"/>
      <c r="J1" s="4"/>
      <c r="K1" s="75" t="s">
        <v>10</v>
      </c>
      <c r="L1" s="3"/>
      <c r="M1" s="4"/>
      <c r="N1" s="75" t="s">
        <v>11</v>
      </c>
      <c r="O1" s="3"/>
      <c r="P1" s="4"/>
      <c r="Q1" s="76"/>
    </row>
    <row r="2">
      <c r="A2" s="77"/>
      <c r="B2" s="78"/>
      <c r="E2" s="78"/>
      <c r="H2" s="78"/>
      <c r="K2" s="78"/>
      <c r="N2" s="78"/>
      <c r="Q2" s="76"/>
    </row>
    <row r="3">
      <c r="A3" s="77"/>
      <c r="Q3" s="76"/>
    </row>
    <row r="4">
      <c r="A4" s="77"/>
      <c r="Q4" s="76"/>
    </row>
    <row r="5">
      <c r="A5" s="77"/>
      <c r="Q5" s="76"/>
    </row>
    <row r="6">
      <c r="A6" s="77"/>
      <c r="Q6" s="76"/>
    </row>
    <row r="7">
      <c r="A7" s="77"/>
      <c r="Q7" s="76"/>
    </row>
    <row r="8">
      <c r="A8" s="77"/>
      <c r="Q8" s="76"/>
    </row>
    <row r="9">
      <c r="A9" s="77"/>
      <c r="Q9" s="76"/>
    </row>
    <row r="10">
      <c r="A10" s="77"/>
      <c r="Q10" s="76"/>
    </row>
    <row r="11">
      <c r="A11" s="77"/>
      <c r="Q11" s="76"/>
    </row>
    <row r="12">
      <c r="A12" s="77"/>
      <c r="Q12" s="76"/>
    </row>
    <row r="13">
      <c r="A13" s="79"/>
      <c r="B13" s="80" t="s">
        <v>141</v>
      </c>
      <c r="C13" s="81" t="s">
        <v>150</v>
      </c>
      <c r="D13" s="81" t="s">
        <v>152</v>
      </c>
      <c r="E13" s="80" t="s">
        <v>681</v>
      </c>
      <c r="F13" s="82" t="s">
        <v>171</v>
      </c>
      <c r="G13" s="82" t="s">
        <v>291</v>
      </c>
      <c r="H13" s="80" t="s">
        <v>252</v>
      </c>
      <c r="I13" s="82" t="s">
        <v>224</v>
      </c>
      <c r="J13" s="82" t="s">
        <v>325</v>
      </c>
      <c r="K13" s="80" t="s">
        <v>121</v>
      </c>
      <c r="L13" s="82" t="s">
        <v>109</v>
      </c>
      <c r="M13" s="82" t="s">
        <v>129</v>
      </c>
      <c r="N13" s="80" t="s">
        <v>361</v>
      </c>
      <c r="O13" s="82" t="s">
        <v>187</v>
      </c>
      <c r="P13" s="82" t="s">
        <v>185</v>
      </c>
      <c r="Q13" s="83"/>
    </row>
    <row r="14">
      <c r="A14" s="77"/>
      <c r="B14" s="74" t="s">
        <v>12</v>
      </c>
      <c r="C14" s="3"/>
      <c r="D14" s="4"/>
      <c r="E14" s="75" t="s">
        <v>13</v>
      </c>
      <c r="F14" s="3"/>
      <c r="G14" s="4"/>
      <c r="H14" s="75" t="s">
        <v>14</v>
      </c>
      <c r="I14" s="3"/>
      <c r="J14" s="4"/>
      <c r="K14" s="75" t="s">
        <v>15</v>
      </c>
      <c r="L14" s="3"/>
      <c r="M14" s="4"/>
      <c r="N14" s="75" t="s">
        <v>16</v>
      </c>
      <c r="O14" s="3"/>
      <c r="P14" s="4"/>
      <c r="Q14" s="76"/>
    </row>
    <row r="15">
      <c r="A15" s="77"/>
      <c r="B15" s="78"/>
      <c r="E15" s="78"/>
      <c r="H15" s="78"/>
      <c r="K15" s="78"/>
      <c r="N15" s="78"/>
      <c r="Q15" s="76"/>
    </row>
    <row r="16">
      <c r="A16" s="77"/>
      <c r="Q16" s="76"/>
    </row>
    <row r="17">
      <c r="A17" s="77"/>
      <c r="Q17" s="76"/>
    </row>
    <row r="18">
      <c r="A18" s="77"/>
      <c r="Q18" s="76"/>
    </row>
    <row r="19">
      <c r="A19" s="77"/>
      <c r="Q19" s="76"/>
    </row>
    <row r="20">
      <c r="A20" s="77"/>
      <c r="Q20" s="76"/>
    </row>
    <row r="21">
      <c r="A21" s="77"/>
      <c r="Q21" s="76"/>
    </row>
    <row r="22">
      <c r="A22" s="77"/>
      <c r="Q22" s="76"/>
    </row>
    <row r="23">
      <c r="A23" s="77"/>
      <c r="Q23" s="76"/>
    </row>
    <row r="24">
      <c r="A24" s="77"/>
      <c r="Q24" s="76"/>
    </row>
    <row r="25">
      <c r="A25" s="77"/>
      <c r="Q25" s="76"/>
    </row>
    <row r="26">
      <c r="A26" s="79"/>
      <c r="B26" s="80" t="s">
        <v>222</v>
      </c>
      <c r="C26" s="82" t="s">
        <v>276</v>
      </c>
      <c r="D26" s="82" t="s">
        <v>707</v>
      </c>
      <c r="E26" s="80" t="s">
        <v>316</v>
      </c>
      <c r="F26" s="84" t="s">
        <v>197</v>
      </c>
      <c r="G26" s="84" t="s">
        <v>451</v>
      </c>
      <c r="H26" s="80" t="s">
        <v>217</v>
      </c>
      <c r="I26" s="84" t="s">
        <v>374</v>
      </c>
      <c r="J26" s="84" t="s">
        <v>106</v>
      </c>
      <c r="K26" s="80" t="s">
        <v>164</v>
      </c>
      <c r="L26" s="84" t="s">
        <v>624</v>
      </c>
      <c r="M26" s="84" t="s">
        <v>177</v>
      </c>
      <c r="N26" s="80" t="s">
        <v>138</v>
      </c>
      <c r="O26" s="84" t="s">
        <v>83</v>
      </c>
      <c r="P26" s="85" t="s">
        <v>146</v>
      </c>
      <c r="Q26" s="83"/>
    </row>
    <row r="27">
      <c r="A27" s="77"/>
      <c r="B27" s="86" t="s">
        <v>17</v>
      </c>
      <c r="C27" s="3"/>
      <c r="D27" s="4"/>
      <c r="E27" s="75" t="s">
        <v>18</v>
      </c>
      <c r="F27" s="3"/>
      <c r="G27" s="4"/>
      <c r="H27" s="75" t="s">
        <v>19</v>
      </c>
      <c r="I27" s="3"/>
      <c r="J27" s="4"/>
      <c r="K27" s="75" t="s">
        <v>20</v>
      </c>
      <c r="L27" s="3"/>
      <c r="M27" s="4"/>
      <c r="N27" s="75" t="s">
        <v>21</v>
      </c>
      <c r="O27" s="3"/>
      <c r="P27" s="4"/>
      <c r="Q27" s="76"/>
    </row>
    <row r="28">
      <c r="A28" s="77"/>
      <c r="B28" s="78"/>
      <c r="E28" s="78"/>
      <c r="H28" s="78"/>
      <c r="K28" s="78"/>
      <c r="N28" s="78"/>
      <c r="Q28" s="76"/>
    </row>
    <row r="29">
      <c r="A29" s="77"/>
      <c r="Q29" s="76"/>
    </row>
    <row r="30">
      <c r="A30" s="77"/>
      <c r="Q30" s="76"/>
    </row>
    <row r="31">
      <c r="A31" s="77"/>
      <c r="Q31" s="76"/>
    </row>
    <row r="32">
      <c r="A32" s="77"/>
      <c r="Q32" s="76"/>
    </row>
    <row r="33">
      <c r="A33" s="77"/>
      <c r="Q33" s="76"/>
    </row>
    <row r="34">
      <c r="A34" s="77"/>
      <c r="Q34" s="76"/>
    </row>
    <row r="35">
      <c r="A35" s="77"/>
      <c r="Q35" s="76"/>
    </row>
    <row r="36">
      <c r="A36" s="77"/>
      <c r="Q36" s="76"/>
    </row>
    <row r="37">
      <c r="A37" s="77"/>
      <c r="Q37" s="76"/>
    </row>
    <row r="38">
      <c r="A38" s="77"/>
      <c r="Q38" s="76"/>
    </row>
    <row r="39">
      <c r="A39" s="79"/>
      <c r="B39" s="80" t="s">
        <v>80</v>
      </c>
      <c r="C39" s="84" t="s">
        <v>708</v>
      </c>
      <c r="D39" s="84" t="s">
        <v>89</v>
      </c>
      <c r="E39" s="80" t="s">
        <v>328</v>
      </c>
      <c r="F39" s="84" t="s">
        <v>597</v>
      </c>
      <c r="G39" s="84" t="s">
        <v>354</v>
      </c>
      <c r="H39" s="80" t="s">
        <v>94</v>
      </c>
      <c r="I39" s="84" t="s">
        <v>177</v>
      </c>
      <c r="J39" s="84" t="s">
        <v>212</v>
      </c>
      <c r="K39" s="80" t="s">
        <v>494</v>
      </c>
      <c r="L39" s="84" t="s">
        <v>367</v>
      </c>
      <c r="M39" s="84" t="s">
        <v>222</v>
      </c>
      <c r="N39" s="80" t="s">
        <v>484</v>
      </c>
      <c r="O39" s="84" t="s">
        <v>249</v>
      </c>
      <c r="P39" s="84" t="s">
        <v>709</v>
      </c>
      <c r="Q39" s="83"/>
    </row>
    <row r="40">
      <c r="A40" s="77"/>
      <c r="B40" s="74" t="s">
        <v>22</v>
      </c>
      <c r="C40" s="3"/>
      <c r="D40" s="4"/>
      <c r="E40" s="75" t="s">
        <v>23</v>
      </c>
      <c r="F40" s="3"/>
      <c r="G40" s="4"/>
      <c r="H40" s="75" t="s">
        <v>24</v>
      </c>
      <c r="I40" s="3"/>
      <c r="J40" s="4"/>
      <c r="K40" s="75" t="s">
        <v>25</v>
      </c>
      <c r="L40" s="3"/>
      <c r="M40" s="4"/>
      <c r="N40" s="75" t="s">
        <v>26</v>
      </c>
      <c r="O40" s="3"/>
      <c r="P40" s="4"/>
      <c r="Q40" s="76"/>
    </row>
    <row r="41">
      <c r="A41" s="77"/>
      <c r="B41" s="78"/>
      <c r="E41" s="78"/>
      <c r="H41" s="78"/>
      <c r="K41" s="78"/>
      <c r="N41" s="78"/>
      <c r="Q41" s="76"/>
    </row>
    <row r="42">
      <c r="A42" s="77"/>
      <c r="Q42" s="76"/>
    </row>
    <row r="43">
      <c r="A43" s="77"/>
      <c r="Q43" s="76"/>
    </row>
    <row r="44">
      <c r="A44" s="77"/>
      <c r="Q44" s="76"/>
    </row>
    <row r="45">
      <c r="A45" s="77"/>
      <c r="Q45" s="76"/>
    </row>
    <row r="46">
      <c r="A46" s="77"/>
      <c r="Q46" s="76"/>
    </row>
    <row r="47">
      <c r="A47" s="77"/>
      <c r="Q47" s="76"/>
    </row>
    <row r="48">
      <c r="A48" s="77"/>
      <c r="Q48" s="76"/>
    </row>
    <row r="49">
      <c r="A49" s="77"/>
      <c r="Q49" s="76"/>
    </row>
    <row r="50">
      <c r="A50" s="77"/>
      <c r="Q50" s="76"/>
    </row>
    <row r="51">
      <c r="A51" s="77"/>
      <c r="Q51" s="76"/>
    </row>
    <row r="52">
      <c r="A52" s="79"/>
      <c r="B52" s="80" t="s">
        <v>167</v>
      </c>
      <c r="C52" s="84" t="s">
        <v>115</v>
      </c>
      <c r="D52" s="84" t="s">
        <v>710</v>
      </c>
      <c r="E52" s="80" t="s">
        <v>291</v>
      </c>
      <c r="F52" s="84" t="s">
        <v>412</v>
      </c>
      <c r="G52" s="84" t="s">
        <v>425</v>
      </c>
      <c r="H52" s="80" t="s">
        <v>126</v>
      </c>
      <c r="I52" s="84" t="s">
        <v>425</v>
      </c>
      <c r="J52" s="84" t="s">
        <v>199</v>
      </c>
      <c r="K52" s="80" t="s">
        <v>208</v>
      </c>
      <c r="L52" s="84" t="s">
        <v>158</v>
      </c>
      <c r="M52" s="84" t="s">
        <v>132</v>
      </c>
      <c r="N52" s="80" t="s">
        <v>96</v>
      </c>
      <c r="O52" s="84" t="s">
        <v>143</v>
      </c>
      <c r="P52" s="84" t="s">
        <v>76</v>
      </c>
      <c r="Q52" s="83"/>
    </row>
    <row r="53">
      <c r="A53" s="77"/>
      <c r="B53" s="74" t="s">
        <v>27</v>
      </c>
      <c r="C53" s="3"/>
      <c r="D53" s="4"/>
      <c r="E53" s="75" t="s">
        <v>28</v>
      </c>
      <c r="F53" s="3"/>
      <c r="G53" s="4"/>
      <c r="H53" s="75" t="s">
        <v>29</v>
      </c>
      <c r="I53" s="3"/>
      <c r="J53" s="4"/>
      <c r="K53" s="75" t="s">
        <v>30</v>
      </c>
      <c r="L53" s="3"/>
      <c r="M53" s="4"/>
      <c r="N53" s="75" t="s">
        <v>31</v>
      </c>
      <c r="O53" s="3"/>
      <c r="P53" s="4"/>
      <c r="Q53" s="76"/>
    </row>
    <row r="54">
      <c r="A54" s="77"/>
      <c r="B54" s="78"/>
      <c r="E54" s="78"/>
      <c r="H54" s="78"/>
      <c r="K54" s="78"/>
      <c r="N54" s="78"/>
      <c r="Q54" s="76"/>
    </row>
    <row r="55">
      <c r="A55" s="77"/>
      <c r="Q55" s="76"/>
    </row>
    <row r="56">
      <c r="A56" s="77"/>
      <c r="Q56" s="76"/>
    </row>
    <row r="57">
      <c r="A57" s="77"/>
      <c r="Q57" s="76"/>
    </row>
    <row r="58">
      <c r="A58" s="77"/>
      <c r="Q58" s="76"/>
    </row>
    <row r="59">
      <c r="A59" s="77"/>
      <c r="Q59" s="76"/>
    </row>
    <row r="60">
      <c r="A60" s="77"/>
      <c r="Q60" s="76"/>
    </row>
    <row r="61">
      <c r="A61" s="77"/>
      <c r="Q61" s="76"/>
    </row>
    <row r="62">
      <c r="A62" s="77"/>
      <c r="Q62" s="76"/>
    </row>
    <row r="63">
      <c r="A63" s="77"/>
      <c r="Q63" s="76"/>
    </row>
    <row r="64">
      <c r="A64" s="77"/>
      <c r="Q64" s="76"/>
    </row>
    <row r="65">
      <c r="A65" s="79"/>
      <c r="B65" s="80" t="s">
        <v>158</v>
      </c>
      <c r="C65" s="84" t="s">
        <v>231</v>
      </c>
      <c r="D65" s="84" t="s">
        <v>92</v>
      </c>
      <c r="E65" s="80" t="s">
        <v>347</v>
      </c>
      <c r="F65" s="84" t="s">
        <v>686</v>
      </c>
      <c r="G65" s="84" t="s">
        <v>269</v>
      </c>
      <c r="H65" s="80" t="s">
        <v>92</v>
      </c>
      <c r="I65" s="84" t="s">
        <v>210</v>
      </c>
      <c r="J65" s="84" t="s">
        <v>72</v>
      </c>
      <c r="K65" s="80" t="s">
        <v>244</v>
      </c>
      <c r="L65" s="84" t="s">
        <v>181</v>
      </c>
      <c r="M65" s="84" t="s">
        <v>308</v>
      </c>
      <c r="N65" s="80" t="s">
        <v>124</v>
      </c>
      <c r="O65" s="84" t="s">
        <v>103</v>
      </c>
      <c r="P65" s="84" t="s">
        <v>308</v>
      </c>
      <c r="Q65" s="83"/>
    </row>
    <row r="66">
      <c r="A66" s="77"/>
      <c r="B66" s="74" t="s">
        <v>32</v>
      </c>
      <c r="C66" s="3"/>
      <c r="D66" s="4"/>
      <c r="E66" s="75" t="s">
        <v>33</v>
      </c>
      <c r="F66" s="3"/>
      <c r="G66" s="4"/>
      <c r="H66" s="75" t="s">
        <v>34</v>
      </c>
      <c r="I66" s="3"/>
      <c r="J66" s="4"/>
      <c r="K66" s="87"/>
      <c r="L66" s="3"/>
      <c r="M66" s="4"/>
      <c r="N66" s="87"/>
      <c r="O66" s="3"/>
      <c r="P66" s="4"/>
      <c r="Q66" s="76"/>
    </row>
    <row r="67">
      <c r="A67" s="77"/>
      <c r="B67" s="78"/>
      <c r="E67" s="78"/>
      <c r="H67" s="78"/>
      <c r="K67" s="88"/>
      <c r="N67" s="88"/>
      <c r="Q67" s="76"/>
    </row>
    <row r="68">
      <c r="A68" s="77"/>
      <c r="Q68" s="76"/>
    </row>
    <row r="69">
      <c r="A69" s="77"/>
      <c r="Q69" s="76"/>
    </row>
    <row r="70">
      <c r="A70" s="77"/>
      <c r="Q70" s="76"/>
    </row>
    <row r="71">
      <c r="A71" s="77"/>
      <c r="Q71" s="76"/>
    </row>
    <row r="72">
      <c r="A72" s="77"/>
      <c r="Q72" s="76"/>
    </row>
    <row r="73">
      <c r="A73" s="77"/>
      <c r="Q73" s="76"/>
    </row>
    <row r="74">
      <c r="A74" s="77"/>
      <c r="Q74" s="76"/>
    </row>
    <row r="75">
      <c r="A75" s="77"/>
      <c r="Q75" s="76"/>
    </row>
    <row r="76">
      <c r="A76" s="77"/>
      <c r="Q76" s="76"/>
    </row>
    <row r="77">
      <c r="A77" s="77"/>
      <c r="Q77" s="76"/>
    </row>
    <row r="78">
      <c r="A78" s="79"/>
      <c r="B78" s="80" t="s">
        <v>146</v>
      </c>
      <c r="C78" s="84" t="s">
        <v>177</v>
      </c>
      <c r="D78" s="84" t="s">
        <v>150</v>
      </c>
      <c r="E78" s="80" t="s">
        <v>708</v>
      </c>
      <c r="F78" s="84" t="s">
        <v>135</v>
      </c>
      <c r="G78" s="84" t="s">
        <v>388</v>
      </c>
      <c r="H78" s="80" t="s">
        <v>205</v>
      </c>
      <c r="I78" s="84" t="s">
        <v>664</v>
      </c>
      <c r="J78" s="84" t="s">
        <v>347</v>
      </c>
      <c r="K78" s="89"/>
      <c r="L78" s="89"/>
      <c r="M78" s="89"/>
      <c r="N78" s="89"/>
      <c r="O78" s="89"/>
      <c r="P78" s="89"/>
      <c r="Q78" s="83"/>
    </row>
    <row r="79">
      <c r="A79" s="77"/>
      <c r="B79" s="86"/>
      <c r="C79" s="3"/>
      <c r="D79" s="4"/>
      <c r="E79" s="87"/>
      <c r="F79" s="3"/>
      <c r="G79" s="4"/>
      <c r="H79" s="87"/>
      <c r="I79" s="3"/>
      <c r="J79" s="4"/>
      <c r="K79" s="87"/>
      <c r="L79" s="3"/>
      <c r="M79" s="4"/>
      <c r="N79" s="87"/>
      <c r="O79" s="3"/>
      <c r="P79" s="4"/>
      <c r="Q79" s="76"/>
    </row>
  </sheetData>
  <mergeCells count="65">
    <mergeCell ref="B27:D27"/>
    <mergeCell ref="E27:G27"/>
    <mergeCell ref="H27:J27"/>
    <mergeCell ref="K27:M27"/>
    <mergeCell ref="N27:P27"/>
    <mergeCell ref="E28:G38"/>
    <mergeCell ref="N28:P38"/>
    <mergeCell ref="B28:D38"/>
    <mergeCell ref="B40:D40"/>
    <mergeCell ref="B41:D51"/>
    <mergeCell ref="E41:G51"/>
    <mergeCell ref="H41:J51"/>
    <mergeCell ref="K41:M51"/>
    <mergeCell ref="N41:P51"/>
    <mergeCell ref="H54:J64"/>
    <mergeCell ref="K54:M64"/>
    <mergeCell ref="B53:D53"/>
    <mergeCell ref="E53:G53"/>
    <mergeCell ref="H53:J53"/>
    <mergeCell ref="K53:M53"/>
    <mergeCell ref="N53:P53"/>
    <mergeCell ref="E54:G64"/>
    <mergeCell ref="N54:P64"/>
    <mergeCell ref="K67:M77"/>
    <mergeCell ref="N67:P77"/>
    <mergeCell ref="B54:D64"/>
    <mergeCell ref="B66:D66"/>
    <mergeCell ref="E66:G66"/>
    <mergeCell ref="H66:J66"/>
    <mergeCell ref="K66:M66"/>
    <mergeCell ref="N66:P66"/>
    <mergeCell ref="B67:D77"/>
    <mergeCell ref="H2:J12"/>
    <mergeCell ref="K2:M12"/>
    <mergeCell ref="E14:G14"/>
    <mergeCell ref="H14:J14"/>
    <mergeCell ref="K14:M14"/>
    <mergeCell ref="N14:P14"/>
    <mergeCell ref="B1:D1"/>
    <mergeCell ref="E1:G1"/>
    <mergeCell ref="H1:J1"/>
    <mergeCell ref="K1:M1"/>
    <mergeCell ref="N1:P1"/>
    <mergeCell ref="E2:G12"/>
    <mergeCell ref="N2:P12"/>
    <mergeCell ref="B2:D12"/>
    <mergeCell ref="B14:D14"/>
    <mergeCell ref="B15:D25"/>
    <mergeCell ref="E15:G25"/>
    <mergeCell ref="H15:J25"/>
    <mergeCell ref="K15:M25"/>
    <mergeCell ref="N15:P25"/>
    <mergeCell ref="H28:J38"/>
    <mergeCell ref="K28:M38"/>
    <mergeCell ref="E40:G40"/>
    <mergeCell ref="H40:J40"/>
    <mergeCell ref="K40:M40"/>
    <mergeCell ref="N40:P40"/>
    <mergeCell ref="E67:G77"/>
    <mergeCell ref="H67:J77"/>
    <mergeCell ref="B79:D79"/>
    <mergeCell ref="E79:G79"/>
    <mergeCell ref="H79:J79"/>
    <mergeCell ref="K79:M79"/>
    <mergeCell ref="N79:P7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19.0"/>
    <col customWidth="1" min="3" max="3" width="21.25"/>
    <col customWidth="1" min="4" max="4" width="1.25"/>
    <col customWidth="1" min="5" max="5" width="1.0"/>
    <col customWidth="1" min="6" max="7" width="22.13"/>
    <col customWidth="1" min="8" max="8" width="20.5"/>
    <col customWidth="1" min="9" max="9" width="64.38"/>
    <col customWidth="1" min="10" max="10" width="16.0"/>
    <col customWidth="1" min="11" max="11" width="15.25"/>
    <col customWidth="1" min="12" max="12" width="17.38"/>
    <col customWidth="1" min="13" max="13" width="17.25"/>
    <col customWidth="1" min="14" max="14" width="5.13"/>
  </cols>
  <sheetData>
    <row r="1" ht="33.0" customHeight="1">
      <c r="E1" s="92"/>
      <c r="K1" s="91"/>
      <c r="L1" s="91"/>
      <c r="M1" s="91"/>
      <c r="N1" s="92"/>
    </row>
    <row r="2">
      <c r="E2" s="95"/>
      <c r="K2" s="99"/>
      <c r="L2" s="99"/>
      <c r="M2" s="99"/>
      <c r="N2" s="95"/>
    </row>
    <row r="3">
      <c r="E3" s="95"/>
      <c r="K3" s="103"/>
      <c r="L3" s="103"/>
      <c r="M3" s="103"/>
      <c r="N3" s="95"/>
    </row>
    <row r="4">
      <c r="E4" s="95"/>
      <c r="K4" s="103"/>
      <c r="L4" s="103"/>
      <c r="M4" s="103"/>
      <c r="N4" s="95"/>
    </row>
    <row r="5">
      <c r="E5" s="95"/>
      <c r="K5" s="103"/>
      <c r="L5" s="103"/>
      <c r="M5" s="103"/>
      <c r="N5" s="95"/>
    </row>
    <row r="6">
      <c r="E6" s="95"/>
      <c r="K6" s="103"/>
      <c r="L6" s="103"/>
      <c r="M6" s="103"/>
      <c r="N6" s="95"/>
    </row>
    <row r="7">
      <c r="E7" s="95"/>
      <c r="K7" s="103"/>
      <c r="L7" s="103"/>
      <c r="M7" s="103"/>
      <c r="N7" s="95"/>
    </row>
    <row r="8">
      <c r="E8" s="95"/>
      <c r="K8" s="103"/>
      <c r="L8" s="103"/>
      <c r="M8" s="103"/>
      <c r="N8" s="95"/>
    </row>
    <row r="9">
      <c r="E9" s="95"/>
      <c r="K9" s="94"/>
      <c r="L9" s="94"/>
      <c r="M9" s="94"/>
      <c r="N9" s="95"/>
    </row>
    <row r="10">
      <c r="E10" s="95"/>
      <c r="K10" s="106"/>
      <c r="L10" s="106"/>
      <c r="M10" s="106"/>
      <c r="N10" s="95"/>
    </row>
    <row r="11">
      <c r="E11" s="95"/>
      <c r="K11" s="91"/>
      <c r="L11" s="91"/>
      <c r="M11" s="91"/>
      <c r="N11" s="95"/>
    </row>
    <row r="12">
      <c r="E12" s="95"/>
      <c r="K12" s="91"/>
      <c r="L12" s="91"/>
      <c r="M12" s="91"/>
      <c r="N12" s="95"/>
    </row>
    <row r="13">
      <c r="E13" s="95"/>
      <c r="K13" s="91"/>
      <c r="L13" s="91"/>
      <c r="M13" s="91"/>
      <c r="N13" s="95"/>
    </row>
    <row r="14">
      <c r="E14" s="95"/>
      <c r="K14" s="91"/>
      <c r="L14" s="91"/>
      <c r="M14" s="91"/>
      <c r="N14" s="95"/>
    </row>
    <row r="15">
      <c r="E15" s="95"/>
      <c r="K15" s="91"/>
      <c r="L15" s="91"/>
      <c r="M15" s="91"/>
      <c r="N15" s="95"/>
    </row>
    <row r="16">
      <c r="E16" s="95"/>
      <c r="K16" s="91"/>
      <c r="L16" s="91"/>
      <c r="M16" s="91"/>
      <c r="N16" s="95"/>
    </row>
    <row r="17">
      <c r="E17" s="95"/>
      <c r="K17" s="94"/>
      <c r="L17" s="94"/>
      <c r="M17" s="94"/>
      <c r="N17" s="95"/>
    </row>
    <row r="18">
      <c r="E18" s="95"/>
      <c r="K18" s="103"/>
      <c r="L18" s="103"/>
      <c r="M18" s="103"/>
      <c r="N18" s="95"/>
    </row>
    <row r="19">
      <c r="E19" s="95"/>
      <c r="K19" s="91"/>
      <c r="L19" s="91"/>
      <c r="M19" s="91"/>
      <c r="N19" s="95"/>
    </row>
    <row r="20">
      <c r="E20" s="95"/>
      <c r="K20" s="91"/>
      <c r="L20" s="91"/>
      <c r="M20" s="91"/>
      <c r="N20" s="95"/>
    </row>
    <row r="21">
      <c r="E21" s="95"/>
      <c r="K21" s="103"/>
      <c r="L21" s="91"/>
      <c r="M21" s="103"/>
      <c r="N21" s="95"/>
    </row>
    <row r="22">
      <c r="E22" s="95"/>
      <c r="K22" s="91"/>
      <c r="L22" s="91"/>
      <c r="M22" s="91"/>
      <c r="N22" s="95"/>
    </row>
    <row r="23">
      <c r="E23" s="95"/>
      <c r="K23" s="94"/>
      <c r="L23" s="94"/>
      <c r="M23" s="94"/>
      <c r="N23" s="95"/>
    </row>
    <row r="24">
      <c r="E24" s="95"/>
      <c r="K24" s="94"/>
      <c r="L24" s="94"/>
      <c r="M24" s="94"/>
      <c r="N24" s="95"/>
    </row>
    <row r="25">
      <c r="E25" s="95"/>
      <c r="K25" s="94"/>
      <c r="L25" s="94"/>
      <c r="M25" s="94"/>
      <c r="N25" s="95"/>
    </row>
    <row r="26">
      <c r="E26" s="95"/>
      <c r="K26" s="94"/>
      <c r="L26" s="94"/>
      <c r="M26" s="94"/>
      <c r="N26" s="95"/>
    </row>
    <row r="27">
      <c r="E27" s="95"/>
      <c r="K27" s="94"/>
      <c r="L27" s="94"/>
      <c r="M27" s="94"/>
      <c r="N27" s="95"/>
    </row>
    <row r="28">
      <c r="A28" s="93"/>
      <c r="B28" s="93"/>
      <c r="C28" s="93"/>
      <c r="D28" s="94"/>
      <c r="E28" s="95"/>
      <c r="K28" s="94"/>
      <c r="L28" s="94"/>
      <c r="M28" s="94"/>
      <c r="N28" s="95"/>
    </row>
    <row r="29">
      <c r="A29" s="93"/>
      <c r="B29" s="93"/>
      <c r="C29" s="93"/>
      <c r="D29" s="94"/>
      <c r="E29" s="95"/>
      <c r="K29" s="91"/>
      <c r="L29" s="91"/>
      <c r="M29" s="91"/>
      <c r="N29" s="95"/>
    </row>
    <row r="30">
      <c r="A30" s="93"/>
      <c r="B30" s="93"/>
      <c r="C30" s="93"/>
      <c r="D30" s="94"/>
      <c r="E30" s="95"/>
      <c r="K30" s="94"/>
      <c r="L30" s="94"/>
      <c r="M30" s="94"/>
      <c r="N30" s="95"/>
    </row>
    <row r="31">
      <c r="A31" s="93"/>
      <c r="B31" s="93"/>
      <c r="C31" s="93"/>
      <c r="D31" s="94"/>
      <c r="E31" s="95"/>
      <c r="K31" s="94"/>
      <c r="L31" s="94"/>
      <c r="M31" s="94"/>
      <c r="N31" s="95"/>
    </row>
    <row r="32">
      <c r="A32" s="93"/>
      <c r="B32" s="93"/>
      <c r="C32" s="93"/>
      <c r="D32" s="94"/>
      <c r="E32" s="95"/>
      <c r="K32" s="94"/>
      <c r="L32" s="94"/>
      <c r="M32" s="94"/>
      <c r="N32" s="95"/>
    </row>
    <row r="33">
      <c r="A33" s="93"/>
      <c r="B33" s="93"/>
      <c r="C33" s="93"/>
      <c r="D33" s="94"/>
      <c r="E33" s="95"/>
      <c r="K33" s="94"/>
      <c r="L33" s="94"/>
      <c r="M33" s="94"/>
      <c r="N33" s="95"/>
    </row>
    <row r="34">
      <c r="A34" s="93"/>
      <c r="B34" s="93"/>
      <c r="C34" s="93"/>
      <c r="D34" s="94"/>
      <c r="E34" s="95"/>
      <c r="K34" s="94"/>
      <c r="L34" s="94"/>
      <c r="M34" s="94"/>
      <c r="N34" s="95"/>
    </row>
    <row r="35">
      <c r="A35" s="93"/>
      <c r="B35" s="93"/>
      <c r="C35" s="93"/>
      <c r="D35" s="94"/>
      <c r="E35" s="95"/>
      <c r="K35" s="94"/>
      <c r="L35" s="94"/>
      <c r="M35" s="94"/>
      <c r="N35" s="95"/>
    </row>
    <row r="36">
      <c r="A36" s="93"/>
      <c r="B36" s="93"/>
      <c r="C36" s="93"/>
      <c r="D36" s="94"/>
      <c r="E36" s="95"/>
      <c r="K36" s="94"/>
      <c r="L36" s="94"/>
      <c r="M36" s="94"/>
      <c r="N36" s="95"/>
    </row>
    <row r="37">
      <c r="A37" s="93"/>
      <c r="B37" s="93"/>
      <c r="C37" s="93"/>
      <c r="D37" s="94"/>
      <c r="E37" s="95"/>
      <c r="K37" s="94"/>
      <c r="L37" s="94"/>
      <c r="M37" s="94"/>
      <c r="N37" s="95"/>
    </row>
    <row r="38">
      <c r="A38" s="93"/>
      <c r="B38" s="93"/>
      <c r="C38" s="93"/>
      <c r="D38" s="94"/>
      <c r="E38" s="95"/>
      <c r="K38" s="94"/>
      <c r="L38" s="94"/>
      <c r="M38" s="94"/>
      <c r="N38" s="95"/>
    </row>
    <row r="39">
      <c r="A39" s="93"/>
      <c r="B39" s="93"/>
      <c r="C39" s="93"/>
      <c r="D39" s="94"/>
      <c r="E39" s="95"/>
      <c r="K39" s="94"/>
      <c r="L39" s="94"/>
      <c r="M39" s="94"/>
      <c r="N39" s="95"/>
    </row>
    <row r="40">
      <c r="A40" s="93"/>
      <c r="B40" s="93"/>
      <c r="C40" s="93"/>
      <c r="D40" s="94"/>
      <c r="E40" s="95"/>
      <c r="K40" s="94"/>
      <c r="L40" s="94"/>
      <c r="M40" s="94"/>
      <c r="N40" s="95"/>
    </row>
    <row r="41">
      <c r="A41" s="93"/>
      <c r="B41" s="93"/>
      <c r="C41" s="93"/>
      <c r="D41" s="94"/>
      <c r="E41" s="95"/>
      <c r="K41" s="94"/>
      <c r="L41" s="94"/>
      <c r="M41" s="94"/>
      <c r="N41" s="95"/>
    </row>
    <row r="42">
      <c r="A42" s="93"/>
      <c r="B42" s="93"/>
      <c r="C42" s="93"/>
      <c r="D42" s="94"/>
      <c r="E42" s="95"/>
      <c r="K42" s="94"/>
      <c r="L42" s="94"/>
      <c r="M42" s="94"/>
      <c r="N42" s="95"/>
    </row>
    <row r="43">
      <c r="A43" s="93"/>
      <c r="B43" s="93"/>
      <c r="C43" s="93"/>
      <c r="D43" s="94"/>
      <c r="E43" s="95"/>
      <c r="K43" s="94"/>
      <c r="L43" s="94"/>
      <c r="M43" s="94"/>
      <c r="N43" s="95"/>
    </row>
    <row r="44">
      <c r="A44" s="93"/>
      <c r="B44" s="93"/>
      <c r="C44" s="93"/>
      <c r="D44" s="94"/>
      <c r="E44" s="95"/>
      <c r="K44" s="94"/>
      <c r="L44" s="94"/>
      <c r="M44" s="94"/>
      <c r="N44" s="95"/>
    </row>
    <row r="45">
      <c r="A45" s="93"/>
      <c r="B45" s="93"/>
      <c r="C45" s="93"/>
      <c r="D45" s="94"/>
      <c r="E45" s="95"/>
      <c r="K45" s="94"/>
      <c r="L45" s="94"/>
      <c r="M45" s="94"/>
      <c r="N45" s="95"/>
    </row>
    <row r="46">
      <c r="A46" s="93"/>
      <c r="B46" s="93"/>
      <c r="C46" s="93"/>
      <c r="D46" s="94"/>
      <c r="E46" s="95"/>
      <c r="K46" s="94"/>
      <c r="L46" s="94"/>
      <c r="M46" s="94"/>
      <c r="N46" s="95"/>
    </row>
    <row r="47">
      <c r="A47" s="93"/>
      <c r="B47" s="93"/>
      <c r="C47" s="93"/>
      <c r="D47" s="94"/>
      <c r="E47" s="95"/>
      <c r="K47" s="94"/>
      <c r="L47" s="94"/>
      <c r="M47" s="94"/>
      <c r="N47" s="95"/>
    </row>
    <row r="48">
      <c r="A48" s="93"/>
      <c r="B48" s="93"/>
      <c r="C48" s="93"/>
      <c r="D48" s="94"/>
      <c r="E48" s="95"/>
      <c r="K48" s="94"/>
      <c r="L48" s="94"/>
      <c r="M48" s="94"/>
      <c r="N48" s="95"/>
    </row>
    <row r="49">
      <c r="A49" s="93"/>
      <c r="B49" s="93"/>
      <c r="C49" s="93"/>
      <c r="D49" s="94"/>
      <c r="E49" s="95"/>
      <c r="K49" s="94"/>
      <c r="L49" s="94"/>
      <c r="M49" s="94"/>
      <c r="N49" s="95"/>
    </row>
    <row r="50">
      <c r="A50" s="93"/>
      <c r="B50" s="93"/>
      <c r="C50" s="93"/>
      <c r="D50" s="94"/>
      <c r="E50" s="95"/>
      <c r="K50" s="94"/>
      <c r="L50" s="94"/>
      <c r="M50" s="94"/>
      <c r="N50" s="95"/>
    </row>
    <row r="51">
      <c r="A51" s="93"/>
      <c r="B51" s="93"/>
      <c r="C51" s="93"/>
      <c r="D51" s="94"/>
      <c r="E51" s="95"/>
      <c r="K51" s="94"/>
      <c r="L51" s="94"/>
      <c r="M51" s="94"/>
      <c r="N51" s="95"/>
    </row>
    <row r="52">
      <c r="A52" s="93"/>
      <c r="B52" s="93"/>
      <c r="C52" s="93"/>
      <c r="D52" s="94"/>
      <c r="E52" s="95"/>
      <c r="K52" s="94"/>
      <c r="L52" s="94"/>
      <c r="M52" s="94"/>
      <c r="N52" s="95"/>
    </row>
    <row r="53">
      <c r="A53" s="93"/>
      <c r="B53" s="93"/>
      <c r="C53" s="93"/>
      <c r="D53" s="94"/>
      <c r="E53" s="95"/>
      <c r="K53" s="94"/>
      <c r="L53" s="94"/>
      <c r="M53" s="94"/>
      <c r="N53" s="95"/>
    </row>
    <row r="54">
      <c r="A54" s="93"/>
      <c r="B54" s="93"/>
      <c r="C54" s="93"/>
      <c r="D54" s="94"/>
      <c r="E54" s="95"/>
      <c r="K54" s="94"/>
      <c r="L54" s="94"/>
      <c r="M54" s="94"/>
      <c r="N54" s="95"/>
    </row>
    <row r="55">
      <c r="A55" s="93"/>
      <c r="B55" s="93"/>
      <c r="C55" s="93"/>
      <c r="D55" s="94"/>
      <c r="E55" s="95"/>
      <c r="K55" s="94"/>
      <c r="L55" s="94"/>
      <c r="M55" s="94"/>
      <c r="N55" s="95"/>
    </row>
    <row r="56">
      <c r="A56" s="93"/>
      <c r="B56" s="93"/>
      <c r="C56" s="93"/>
      <c r="D56" s="94"/>
      <c r="E56" s="95"/>
      <c r="K56" s="94"/>
      <c r="L56" s="94"/>
      <c r="M56" s="94"/>
      <c r="N56" s="95"/>
    </row>
    <row r="57">
      <c r="A57" s="93"/>
      <c r="B57" s="93"/>
      <c r="C57" s="93"/>
      <c r="D57" s="94"/>
      <c r="E57" s="95"/>
      <c r="K57" s="94"/>
      <c r="L57" s="94"/>
      <c r="M57" s="94"/>
      <c r="N57" s="95"/>
    </row>
    <row r="58">
      <c r="A58" s="93"/>
      <c r="B58" s="93"/>
      <c r="C58" s="93"/>
      <c r="D58" s="94"/>
      <c r="E58" s="95"/>
      <c r="K58" s="94"/>
      <c r="L58" s="94"/>
      <c r="M58" s="94"/>
      <c r="N58" s="95"/>
    </row>
    <row r="59">
      <c r="A59" s="93"/>
      <c r="B59" s="93"/>
      <c r="C59" s="93"/>
      <c r="D59" s="94"/>
      <c r="E59" s="95"/>
      <c r="K59" s="94"/>
      <c r="L59" s="94"/>
      <c r="M59" s="94"/>
      <c r="N59" s="95"/>
    </row>
    <row r="60">
      <c r="A60" s="93"/>
      <c r="B60" s="93"/>
      <c r="C60" s="93"/>
      <c r="D60" s="94"/>
      <c r="E60" s="95"/>
      <c r="K60" s="94"/>
      <c r="L60" s="94"/>
      <c r="M60" s="94"/>
      <c r="N60" s="95"/>
    </row>
    <row r="61">
      <c r="A61" s="93"/>
      <c r="B61" s="93"/>
      <c r="C61" s="93"/>
      <c r="D61" s="94"/>
      <c r="E61" s="95"/>
      <c r="K61" s="94"/>
      <c r="L61" s="94"/>
      <c r="M61" s="94"/>
      <c r="N61" s="95"/>
    </row>
    <row r="62">
      <c r="A62" s="93"/>
      <c r="B62" s="93"/>
      <c r="C62" s="93"/>
      <c r="D62" s="94"/>
      <c r="E62" s="95"/>
      <c r="K62" s="94"/>
      <c r="L62" s="94"/>
      <c r="M62" s="94"/>
      <c r="N62" s="95"/>
    </row>
    <row r="63">
      <c r="A63" s="93"/>
      <c r="B63" s="93"/>
      <c r="C63" s="93"/>
      <c r="D63" s="94"/>
      <c r="E63" s="95"/>
      <c r="K63" s="94"/>
      <c r="L63" s="94"/>
      <c r="M63" s="94"/>
      <c r="N63" s="95"/>
    </row>
    <row r="64">
      <c r="A64" s="93"/>
      <c r="B64" s="93"/>
      <c r="C64" s="93"/>
      <c r="D64" s="94"/>
      <c r="E64" s="95"/>
      <c r="K64" s="94"/>
      <c r="L64" s="94"/>
      <c r="M64" s="94"/>
      <c r="N64" s="95"/>
    </row>
    <row r="65">
      <c r="A65" s="93"/>
      <c r="B65" s="93"/>
      <c r="C65" s="93"/>
      <c r="D65" s="94"/>
      <c r="E65" s="95"/>
      <c r="K65" s="94"/>
      <c r="L65" s="94"/>
      <c r="M65" s="94"/>
      <c r="N65" s="95"/>
    </row>
    <row r="66">
      <c r="A66" s="93"/>
      <c r="B66" s="93"/>
      <c r="C66" s="93"/>
      <c r="D66" s="94"/>
      <c r="E66" s="95"/>
      <c r="K66" s="94"/>
      <c r="L66" s="94"/>
      <c r="M66" s="94"/>
      <c r="N66" s="95"/>
    </row>
    <row r="67">
      <c r="A67" s="93"/>
      <c r="B67" s="93"/>
      <c r="C67" s="93"/>
      <c r="D67" s="94"/>
      <c r="E67" s="95"/>
      <c r="K67" s="94"/>
      <c r="L67" s="94"/>
      <c r="M67" s="94"/>
      <c r="N67" s="95"/>
    </row>
    <row r="68">
      <c r="A68" s="93"/>
      <c r="B68" s="93"/>
      <c r="C68" s="93"/>
      <c r="D68" s="94"/>
      <c r="E68" s="95"/>
      <c r="K68" s="94"/>
      <c r="L68" s="94"/>
      <c r="M68" s="94"/>
      <c r="N68" s="95"/>
    </row>
    <row r="69">
      <c r="A69" s="93"/>
      <c r="B69" s="93"/>
      <c r="C69" s="93"/>
      <c r="D69" s="94"/>
      <c r="E69" s="95"/>
      <c r="K69" s="94"/>
      <c r="L69" s="94"/>
      <c r="M69" s="94"/>
      <c r="N69" s="95"/>
    </row>
    <row r="70">
      <c r="A70" s="93"/>
      <c r="B70" s="93"/>
      <c r="C70" s="93"/>
      <c r="D70" s="94"/>
      <c r="E70" s="95"/>
      <c r="K70" s="94"/>
      <c r="L70" s="94"/>
      <c r="M70" s="94"/>
      <c r="N70" s="95"/>
    </row>
    <row r="71">
      <c r="A71" s="93"/>
      <c r="B71" s="93"/>
      <c r="C71" s="93"/>
      <c r="D71" s="94"/>
      <c r="E71" s="95"/>
      <c r="K71" s="94"/>
      <c r="L71" s="94"/>
      <c r="M71" s="94"/>
      <c r="N71" s="95"/>
    </row>
    <row r="72">
      <c r="A72" s="93"/>
      <c r="B72" s="93"/>
      <c r="C72" s="93"/>
      <c r="D72" s="94"/>
      <c r="E72" s="95"/>
      <c r="K72" s="94"/>
      <c r="L72" s="94"/>
      <c r="M72" s="94"/>
      <c r="N72" s="95"/>
    </row>
    <row r="73">
      <c r="A73" s="93"/>
      <c r="B73" s="93"/>
      <c r="C73" s="93"/>
      <c r="D73" s="94"/>
      <c r="E73" s="95"/>
      <c r="K73" s="94"/>
      <c r="L73" s="94"/>
      <c r="M73" s="94"/>
      <c r="N73" s="95"/>
    </row>
    <row r="74">
      <c r="A74" s="93"/>
      <c r="B74" s="93"/>
      <c r="C74" s="93"/>
      <c r="D74" s="94"/>
      <c r="E74" s="95"/>
      <c r="K74" s="94"/>
      <c r="L74" s="94"/>
      <c r="M74" s="94"/>
      <c r="N74" s="95"/>
    </row>
    <row r="75">
      <c r="A75" s="93"/>
      <c r="B75" s="93"/>
      <c r="C75" s="93"/>
      <c r="D75" s="94"/>
      <c r="E75" s="95"/>
      <c r="K75" s="94"/>
      <c r="L75" s="94"/>
      <c r="M75" s="94"/>
      <c r="N75" s="95"/>
    </row>
    <row r="76">
      <c r="A76" s="93"/>
      <c r="B76" s="93"/>
      <c r="C76" s="93"/>
      <c r="D76" s="94"/>
      <c r="E76" s="95"/>
      <c r="K76" s="94"/>
      <c r="L76" s="94"/>
      <c r="M76" s="94"/>
      <c r="N76" s="95"/>
    </row>
    <row r="77">
      <c r="A77" s="93"/>
      <c r="B77" s="93"/>
      <c r="C77" s="93"/>
      <c r="D77" s="94"/>
      <c r="E77" s="95"/>
      <c r="K77" s="94"/>
      <c r="L77" s="94"/>
      <c r="M77" s="94"/>
      <c r="N77" s="95"/>
    </row>
    <row r="78">
      <c r="A78" s="93"/>
      <c r="B78" s="93"/>
      <c r="C78" s="93"/>
      <c r="D78" s="94"/>
      <c r="E78" s="95"/>
      <c r="K78" s="94"/>
      <c r="L78" s="94"/>
      <c r="M78" s="94"/>
      <c r="N78" s="95"/>
    </row>
    <row r="79">
      <c r="A79" s="93"/>
      <c r="B79" s="93"/>
      <c r="C79" s="93"/>
      <c r="D79" s="94"/>
      <c r="E79" s="95"/>
      <c r="K79" s="94"/>
      <c r="L79" s="94"/>
      <c r="M79" s="94"/>
      <c r="N79" s="95"/>
    </row>
    <row r="80">
      <c r="A80" s="93"/>
      <c r="B80" s="93"/>
      <c r="C80" s="93"/>
      <c r="D80" s="94"/>
      <c r="E80" s="95"/>
      <c r="K80" s="94"/>
      <c r="L80" s="94"/>
      <c r="M80" s="94"/>
      <c r="N80" s="95"/>
    </row>
    <row r="81">
      <c r="A81" s="93"/>
      <c r="B81" s="93"/>
      <c r="C81" s="93"/>
      <c r="D81" s="94"/>
      <c r="E81" s="95"/>
      <c r="K81" s="94"/>
      <c r="L81" s="94"/>
      <c r="M81" s="94"/>
      <c r="N81" s="95"/>
    </row>
    <row r="82">
      <c r="A82" s="93"/>
      <c r="B82" s="93"/>
      <c r="C82" s="93"/>
      <c r="D82" s="94"/>
      <c r="E82" s="95"/>
      <c r="K82" s="94"/>
      <c r="L82" s="94"/>
      <c r="M82" s="94"/>
      <c r="N82" s="95"/>
    </row>
    <row r="83">
      <c r="A83" s="93"/>
      <c r="B83" s="93"/>
      <c r="C83" s="93"/>
      <c r="D83" s="94"/>
      <c r="E83" s="95"/>
      <c r="K83" s="94"/>
      <c r="L83" s="94"/>
      <c r="M83" s="94"/>
      <c r="N83" s="95"/>
    </row>
    <row r="84">
      <c r="A84" s="93"/>
      <c r="B84" s="93"/>
      <c r="C84" s="93"/>
      <c r="D84" s="94"/>
      <c r="E84" s="95"/>
      <c r="K84" s="94"/>
      <c r="L84" s="94"/>
      <c r="M84" s="94"/>
      <c r="N84" s="95"/>
    </row>
    <row r="85">
      <c r="A85" s="93"/>
      <c r="B85" s="93"/>
      <c r="C85" s="93"/>
      <c r="D85" s="94"/>
      <c r="E85" s="95"/>
      <c r="K85" s="94"/>
      <c r="L85" s="94"/>
      <c r="M85" s="94"/>
      <c r="N85" s="95"/>
    </row>
    <row r="86">
      <c r="A86" s="93"/>
      <c r="B86" s="93"/>
      <c r="C86" s="93"/>
      <c r="D86" s="94"/>
      <c r="E86" s="95"/>
      <c r="K86" s="94"/>
      <c r="L86" s="94"/>
      <c r="M86" s="94"/>
      <c r="N86" s="95"/>
    </row>
    <row r="87">
      <c r="A87" s="93"/>
      <c r="B87" s="93"/>
      <c r="C87" s="93"/>
      <c r="D87" s="94"/>
      <c r="E87" s="95"/>
      <c r="K87" s="94"/>
      <c r="L87" s="94"/>
      <c r="M87" s="94"/>
      <c r="N87" s="95"/>
    </row>
    <row r="88">
      <c r="A88" s="93"/>
      <c r="B88" s="93"/>
      <c r="C88" s="93"/>
      <c r="D88" s="94"/>
      <c r="E88" s="95"/>
      <c r="K88" s="94"/>
      <c r="L88" s="94"/>
      <c r="M88" s="94"/>
      <c r="N88" s="95"/>
    </row>
    <row r="89">
      <c r="A89" s="93"/>
      <c r="B89" s="93"/>
      <c r="C89" s="93"/>
      <c r="D89" s="94"/>
      <c r="E89" s="95"/>
      <c r="K89" s="94"/>
      <c r="L89" s="94"/>
      <c r="M89" s="94"/>
      <c r="N89" s="95"/>
    </row>
    <row r="90">
      <c r="A90" s="93"/>
      <c r="B90" s="93"/>
      <c r="C90" s="93"/>
      <c r="D90" s="94"/>
      <c r="E90" s="95"/>
      <c r="K90" s="94"/>
      <c r="L90" s="94"/>
      <c r="M90" s="94"/>
      <c r="N90" s="95"/>
    </row>
    <row r="91">
      <c r="A91" s="93"/>
      <c r="B91" s="93"/>
      <c r="C91" s="93"/>
      <c r="D91" s="94"/>
      <c r="E91" s="95"/>
      <c r="K91" s="94"/>
      <c r="L91" s="94"/>
      <c r="M91" s="94"/>
      <c r="N91" s="95"/>
    </row>
    <row r="92">
      <c r="A92" s="93"/>
      <c r="B92" s="93"/>
      <c r="C92" s="93"/>
      <c r="D92" s="94"/>
      <c r="E92" s="95"/>
      <c r="K92" s="94"/>
      <c r="L92" s="94"/>
      <c r="M92" s="94"/>
      <c r="N92" s="95"/>
    </row>
    <row r="93">
      <c r="A93" s="93"/>
      <c r="B93" s="93"/>
      <c r="C93" s="93"/>
      <c r="D93" s="94"/>
      <c r="E93" s="95"/>
      <c r="K93" s="94"/>
      <c r="L93" s="94"/>
      <c r="M93" s="94"/>
      <c r="N93" s="95"/>
    </row>
    <row r="94">
      <c r="A94" s="93"/>
      <c r="B94" s="93"/>
      <c r="C94" s="93"/>
      <c r="D94" s="94"/>
      <c r="E94" s="95"/>
      <c r="K94" s="94"/>
      <c r="L94" s="94"/>
      <c r="M94" s="94"/>
      <c r="N94" s="95"/>
    </row>
    <row r="95">
      <c r="A95" s="93"/>
      <c r="B95" s="93"/>
      <c r="C95" s="93"/>
      <c r="D95" s="94"/>
      <c r="E95" s="95"/>
      <c r="K95" s="94"/>
      <c r="L95" s="94"/>
      <c r="M95" s="94"/>
      <c r="N95" s="95"/>
    </row>
    <row r="96">
      <c r="A96" s="93"/>
      <c r="B96" s="93"/>
      <c r="C96" s="93"/>
      <c r="D96" s="94"/>
      <c r="E96" s="95"/>
      <c r="K96" s="94"/>
      <c r="L96" s="94"/>
      <c r="M96" s="94"/>
      <c r="N96" s="95"/>
    </row>
    <row r="97">
      <c r="A97" s="93"/>
      <c r="B97" s="93"/>
      <c r="C97" s="93"/>
      <c r="D97" s="94"/>
      <c r="E97" s="95"/>
      <c r="K97" s="94"/>
      <c r="L97" s="94"/>
      <c r="M97" s="94"/>
      <c r="N97" s="95"/>
    </row>
    <row r="98">
      <c r="A98" s="93"/>
      <c r="B98" s="93"/>
      <c r="C98" s="93"/>
      <c r="D98" s="94"/>
      <c r="E98" s="95"/>
      <c r="K98" s="94"/>
      <c r="L98" s="94"/>
      <c r="M98" s="94"/>
      <c r="N98" s="95"/>
    </row>
    <row r="99">
      <c r="A99" s="93"/>
      <c r="B99" s="93"/>
      <c r="C99" s="93"/>
      <c r="D99" s="94"/>
      <c r="E99" s="95"/>
      <c r="K99" s="94"/>
      <c r="L99" s="94"/>
      <c r="M99" s="94"/>
      <c r="N99" s="95"/>
    </row>
    <row r="100">
      <c r="A100" s="93"/>
      <c r="B100" s="93"/>
      <c r="C100" s="93"/>
      <c r="D100" s="94"/>
      <c r="E100" s="95"/>
      <c r="K100" s="94"/>
      <c r="L100" s="94"/>
      <c r="M100" s="94"/>
      <c r="N100" s="95"/>
    </row>
    <row r="101">
      <c r="A101" s="93"/>
      <c r="B101" s="93"/>
      <c r="C101" s="93"/>
      <c r="D101" s="94"/>
      <c r="E101" s="95"/>
      <c r="F101" s="93"/>
      <c r="G101" s="93"/>
      <c r="H101" s="93"/>
      <c r="I101" s="93"/>
      <c r="J101" s="94"/>
      <c r="K101" s="94"/>
      <c r="L101" s="94"/>
      <c r="M101" s="94"/>
      <c r="N101" s="95"/>
    </row>
    <row r="102">
      <c r="A102" s="93"/>
      <c r="B102" s="93"/>
      <c r="C102" s="93"/>
      <c r="D102" s="94"/>
      <c r="E102" s="95"/>
      <c r="F102" s="93"/>
      <c r="G102" s="93"/>
      <c r="H102" s="93"/>
      <c r="I102" s="93"/>
      <c r="J102" s="94"/>
      <c r="K102" s="94"/>
      <c r="L102" s="94"/>
      <c r="M102" s="94"/>
      <c r="N102" s="95"/>
    </row>
    <row r="103">
      <c r="A103" s="93"/>
      <c r="B103" s="93"/>
      <c r="C103" s="93"/>
      <c r="D103" s="94"/>
      <c r="E103" s="95"/>
      <c r="F103" s="93"/>
      <c r="G103" s="93"/>
      <c r="H103" s="93"/>
      <c r="I103" s="93"/>
      <c r="J103" s="94"/>
      <c r="K103" s="94"/>
      <c r="L103" s="94"/>
      <c r="M103" s="94"/>
      <c r="N103" s="95"/>
    </row>
    <row r="104">
      <c r="A104" s="93"/>
      <c r="B104" s="93"/>
      <c r="C104" s="93"/>
      <c r="D104" s="94"/>
      <c r="E104" s="95"/>
      <c r="F104" s="93"/>
      <c r="G104" s="93"/>
      <c r="H104" s="93"/>
      <c r="I104" s="93"/>
      <c r="J104" s="94"/>
      <c r="K104" s="94"/>
      <c r="L104" s="94"/>
      <c r="M104" s="94"/>
      <c r="N104" s="95"/>
    </row>
    <row r="105">
      <c r="A105" s="93"/>
      <c r="B105" s="93"/>
      <c r="C105" s="93"/>
      <c r="D105" s="94"/>
      <c r="E105" s="95"/>
      <c r="F105" s="93"/>
      <c r="G105" s="93"/>
      <c r="H105" s="93"/>
      <c r="I105" s="93"/>
      <c r="J105" s="94"/>
      <c r="K105" s="94"/>
      <c r="L105" s="94"/>
      <c r="M105" s="94"/>
      <c r="N105" s="95"/>
    </row>
    <row r="106">
      <c r="A106" s="93"/>
      <c r="B106" s="93"/>
      <c r="C106" s="93"/>
      <c r="D106" s="94"/>
      <c r="E106" s="95"/>
      <c r="F106" s="93"/>
      <c r="G106" s="93"/>
      <c r="H106" s="93"/>
      <c r="I106" s="93"/>
      <c r="J106" s="94"/>
      <c r="K106" s="94"/>
      <c r="L106" s="94"/>
      <c r="M106" s="94"/>
      <c r="N106" s="95"/>
    </row>
    <row r="107">
      <c r="A107" s="93"/>
      <c r="B107" s="93"/>
      <c r="C107" s="93"/>
      <c r="D107" s="94"/>
      <c r="E107" s="95"/>
      <c r="F107" s="93"/>
      <c r="G107" s="93"/>
      <c r="H107" s="93"/>
      <c r="I107" s="93"/>
      <c r="J107" s="94"/>
      <c r="K107" s="94"/>
      <c r="L107" s="94"/>
      <c r="M107" s="94"/>
      <c r="N107" s="95"/>
    </row>
    <row r="108">
      <c r="A108" s="93"/>
      <c r="B108" s="93"/>
      <c r="C108" s="93"/>
      <c r="D108" s="94"/>
      <c r="E108" s="95"/>
      <c r="F108" s="93"/>
      <c r="G108" s="93"/>
      <c r="H108" s="93"/>
      <c r="I108" s="93"/>
      <c r="J108" s="94"/>
      <c r="K108" s="94"/>
      <c r="L108" s="94"/>
      <c r="M108" s="94"/>
      <c r="N108" s="95"/>
    </row>
    <row r="109">
      <c r="A109" s="93"/>
      <c r="B109" s="93"/>
      <c r="C109" s="93"/>
      <c r="D109" s="94"/>
      <c r="E109" s="95"/>
      <c r="F109" s="93"/>
      <c r="G109" s="93"/>
      <c r="H109" s="93"/>
      <c r="I109" s="93"/>
      <c r="J109" s="94"/>
      <c r="K109" s="94"/>
      <c r="L109" s="94"/>
      <c r="M109" s="94"/>
      <c r="N109" s="95"/>
    </row>
    <row r="110">
      <c r="A110" s="93"/>
      <c r="B110" s="93"/>
      <c r="C110" s="93"/>
      <c r="D110" s="94"/>
      <c r="E110" s="95"/>
      <c r="F110" s="93"/>
      <c r="G110" s="93"/>
      <c r="H110" s="93"/>
      <c r="I110" s="93"/>
      <c r="J110" s="94"/>
      <c r="K110" s="94"/>
      <c r="L110" s="94"/>
      <c r="M110" s="94"/>
      <c r="N110" s="95"/>
    </row>
    <row r="111">
      <c r="A111" s="93"/>
      <c r="B111" s="93"/>
      <c r="C111" s="93"/>
      <c r="D111" s="94"/>
      <c r="E111" s="95"/>
      <c r="F111" s="93"/>
      <c r="G111" s="93"/>
      <c r="H111" s="93"/>
      <c r="I111" s="93"/>
      <c r="J111" s="94"/>
      <c r="K111" s="94"/>
      <c r="L111" s="94"/>
      <c r="M111" s="94"/>
      <c r="N111" s="95"/>
    </row>
    <row r="112">
      <c r="A112" s="93"/>
      <c r="B112" s="93"/>
      <c r="C112" s="93"/>
      <c r="D112" s="94"/>
      <c r="E112" s="95"/>
      <c r="F112" s="93"/>
      <c r="G112" s="93"/>
      <c r="H112" s="93"/>
      <c r="I112" s="93"/>
      <c r="J112" s="94"/>
      <c r="K112" s="94"/>
      <c r="L112" s="94"/>
      <c r="M112" s="94"/>
      <c r="N112" s="95"/>
    </row>
    <row r="113">
      <c r="A113" s="93"/>
      <c r="B113" s="93"/>
      <c r="C113" s="93"/>
      <c r="D113" s="94"/>
      <c r="E113" s="95"/>
      <c r="F113" s="93"/>
      <c r="G113" s="93"/>
      <c r="H113" s="93"/>
      <c r="I113" s="93"/>
      <c r="J113" s="94"/>
      <c r="K113" s="94"/>
      <c r="L113" s="94"/>
      <c r="M113" s="94"/>
      <c r="N113" s="95"/>
    </row>
    <row r="114">
      <c r="A114" s="93"/>
      <c r="B114" s="93"/>
      <c r="C114" s="93"/>
      <c r="D114" s="94"/>
      <c r="E114" s="95"/>
      <c r="F114" s="93"/>
      <c r="G114" s="93"/>
      <c r="H114" s="93"/>
      <c r="I114" s="93"/>
      <c r="J114" s="94"/>
      <c r="K114" s="94"/>
      <c r="L114" s="94"/>
      <c r="M114" s="94"/>
      <c r="N114" s="95"/>
    </row>
    <row r="115">
      <c r="A115" s="93"/>
      <c r="B115" s="93"/>
      <c r="C115" s="93"/>
      <c r="D115" s="94"/>
      <c r="E115" s="95"/>
      <c r="F115" s="93"/>
      <c r="G115" s="93"/>
      <c r="H115" s="93"/>
      <c r="I115" s="93"/>
      <c r="J115" s="94"/>
      <c r="K115" s="94"/>
      <c r="L115" s="94"/>
      <c r="M115" s="94"/>
      <c r="N115" s="95"/>
    </row>
    <row r="116">
      <c r="A116" s="93"/>
      <c r="B116" s="93"/>
      <c r="C116" s="93"/>
      <c r="D116" s="94"/>
      <c r="E116" s="95"/>
      <c r="F116" s="93"/>
      <c r="G116" s="93"/>
      <c r="H116" s="93"/>
      <c r="I116" s="93"/>
      <c r="J116" s="94"/>
      <c r="K116" s="94"/>
      <c r="L116" s="94"/>
      <c r="M116" s="94"/>
      <c r="N116" s="95"/>
    </row>
    <row r="117">
      <c r="A117" s="93"/>
      <c r="B117" s="93"/>
      <c r="C117" s="93"/>
      <c r="D117" s="94"/>
      <c r="E117" s="95"/>
      <c r="F117" s="93"/>
      <c r="G117" s="93"/>
      <c r="H117" s="93"/>
      <c r="I117" s="93"/>
      <c r="J117" s="94"/>
      <c r="K117" s="94"/>
      <c r="L117" s="94"/>
      <c r="M117" s="94"/>
      <c r="N117" s="95"/>
    </row>
    <row r="118">
      <c r="A118" s="93"/>
      <c r="B118" s="93"/>
      <c r="C118" s="93"/>
      <c r="D118" s="94"/>
      <c r="E118" s="95"/>
      <c r="F118" s="93"/>
      <c r="G118" s="93"/>
      <c r="H118" s="93"/>
      <c r="I118" s="93"/>
      <c r="J118" s="94"/>
      <c r="K118" s="94"/>
      <c r="L118" s="94"/>
      <c r="M118" s="94"/>
      <c r="N118" s="95"/>
    </row>
    <row r="119">
      <c r="A119" s="93"/>
      <c r="B119" s="93"/>
      <c r="C119" s="93"/>
      <c r="D119" s="94"/>
      <c r="E119" s="95"/>
      <c r="F119" s="93"/>
      <c r="G119" s="93"/>
      <c r="H119" s="93"/>
      <c r="I119" s="93"/>
      <c r="J119" s="94"/>
      <c r="K119" s="94"/>
      <c r="L119" s="94"/>
      <c r="M119" s="94"/>
      <c r="N119" s="95"/>
    </row>
    <row r="120">
      <c r="A120" s="93"/>
      <c r="B120" s="93"/>
      <c r="C120" s="93"/>
      <c r="D120" s="94"/>
      <c r="E120" s="95"/>
      <c r="F120" s="93"/>
      <c r="G120" s="93"/>
      <c r="H120" s="93"/>
      <c r="I120" s="93"/>
      <c r="J120" s="94"/>
      <c r="K120" s="94"/>
      <c r="L120" s="94"/>
      <c r="M120" s="94"/>
      <c r="N120" s="95"/>
    </row>
    <row r="121">
      <c r="A121" s="93"/>
      <c r="B121" s="93"/>
      <c r="C121" s="93"/>
      <c r="D121" s="94"/>
      <c r="E121" s="95"/>
      <c r="F121" s="93"/>
      <c r="G121" s="93"/>
      <c r="H121" s="93"/>
      <c r="I121" s="93"/>
      <c r="J121" s="94"/>
      <c r="K121" s="94"/>
      <c r="L121" s="94"/>
      <c r="M121" s="94"/>
      <c r="N121" s="95"/>
    </row>
    <row r="122">
      <c r="A122" s="93"/>
      <c r="B122" s="93"/>
      <c r="C122" s="93"/>
      <c r="D122" s="94"/>
      <c r="E122" s="95"/>
      <c r="F122" s="93"/>
      <c r="G122" s="93"/>
      <c r="H122" s="93"/>
      <c r="I122" s="93"/>
      <c r="J122" s="94"/>
      <c r="K122" s="94"/>
      <c r="L122" s="94"/>
      <c r="M122" s="94"/>
      <c r="N122" s="95"/>
    </row>
    <row r="123">
      <c r="A123" s="93"/>
      <c r="B123" s="93"/>
      <c r="C123" s="93"/>
      <c r="D123" s="94"/>
      <c r="E123" s="95"/>
      <c r="F123" s="93"/>
      <c r="G123" s="93"/>
      <c r="H123" s="93"/>
      <c r="I123" s="93"/>
      <c r="J123" s="94"/>
      <c r="K123" s="94"/>
      <c r="L123" s="94"/>
      <c r="M123" s="94"/>
      <c r="N123" s="95"/>
    </row>
    <row r="124">
      <c r="A124" s="93"/>
      <c r="B124" s="93"/>
      <c r="C124" s="93"/>
      <c r="D124" s="94"/>
      <c r="E124" s="95"/>
      <c r="F124" s="93"/>
      <c r="G124" s="93"/>
      <c r="H124" s="93"/>
      <c r="I124" s="93"/>
      <c r="J124" s="94"/>
      <c r="K124" s="94"/>
      <c r="L124" s="94"/>
      <c r="M124" s="94"/>
      <c r="N124" s="95"/>
    </row>
    <row r="125">
      <c r="A125" s="93"/>
      <c r="B125" s="93"/>
      <c r="C125" s="93"/>
      <c r="D125" s="94"/>
      <c r="E125" s="95"/>
      <c r="F125" s="93"/>
      <c r="G125" s="93"/>
      <c r="H125" s="93"/>
      <c r="I125" s="93"/>
      <c r="J125" s="94"/>
      <c r="K125" s="94"/>
      <c r="L125" s="94"/>
      <c r="M125" s="94"/>
      <c r="N125" s="95"/>
    </row>
    <row r="126">
      <c r="A126" s="93"/>
      <c r="B126" s="93"/>
      <c r="C126" s="93"/>
      <c r="D126" s="94"/>
      <c r="E126" s="95"/>
      <c r="F126" s="93"/>
      <c r="G126" s="93"/>
      <c r="H126" s="93"/>
      <c r="I126" s="93"/>
      <c r="J126" s="94"/>
      <c r="K126" s="94"/>
      <c r="L126" s="94"/>
      <c r="M126" s="94"/>
      <c r="N126" s="95"/>
    </row>
    <row r="127">
      <c r="A127" s="93"/>
      <c r="B127" s="93"/>
      <c r="C127" s="93"/>
      <c r="D127" s="94"/>
      <c r="E127" s="95"/>
      <c r="F127" s="93"/>
      <c r="G127" s="93"/>
      <c r="H127" s="93"/>
      <c r="I127" s="93"/>
      <c r="J127" s="94"/>
      <c r="K127" s="94"/>
      <c r="L127" s="94"/>
      <c r="M127" s="94"/>
      <c r="N127" s="95"/>
    </row>
    <row r="128">
      <c r="A128" s="93"/>
      <c r="B128" s="93"/>
      <c r="C128" s="93"/>
      <c r="D128" s="94"/>
      <c r="E128" s="95"/>
      <c r="F128" s="93"/>
      <c r="G128" s="93"/>
      <c r="H128" s="93"/>
      <c r="I128" s="93"/>
      <c r="J128" s="94"/>
      <c r="K128" s="94"/>
      <c r="L128" s="94"/>
      <c r="M128" s="94"/>
      <c r="N128" s="95"/>
    </row>
    <row r="129">
      <c r="A129" s="93"/>
      <c r="B129" s="93"/>
      <c r="C129" s="93"/>
      <c r="D129" s="94"/>
      <c r="E129" s="95"/>
      <c r="F129" s="93"/>
      <c r="G129" s="93"/>
      <c r="H129" s="93"/>
      <c r="I129" s="93"/>
      <c r="J129" s="94"/>
      <c r="K129" s="94"/>
      <c r="L129" s="94"/>
      <c r="M129" s="94"/>
      <c r="N129" s="95"/>
    </row>
    <row r="130">
      <c r="A130" s="93"/>
      <c r="B130" s="93"/>
      <c r="C130" s="93"/>
      <c r="D130" s="94"/>
      <c r="E130" s="95"/>
      <c r="F130" s="93"/>
      <c r="G130" s="93"/>
      <c r="H130" s="93"/>
      <c r="I130" s="93"/>
      <c r="J130" s="94"/>
      <c r="K130" s="94"/>
      <c r="L130" s="94"/>
      <c r="M130" s="94"/>
      <c r="N130" s="95"/>
    </row>
    <row r="131">
      <c r="A131" s="93"/>
      <c r="B131" s="93"/>
      <c r="C131" s="93"/>
      <c r="D131" s="94"/>
      <c r="E131" s="95"/>
      <c r="F131" s="93"/>
      <c r="G131" s="93"/>
      <c r="H131" s="93"/>
      <c r="I131" s="93"/>
      <c r="J131" s="94"/>
      <c r="K131" s="94"/>
      <c r="L131" s="94"/>
      <c r="M131" s="94"/>
      <c r="N131" s="95"/>
    </row>
    <row r="132">
      <c r="A132" s="93"/>
      <c r="B132" s="93"/>
      <c r="C132" s="93"/>
      <c r="D132" s="94"/>
      <c r="E132" s="95"/>
      <c r="F132" s="93"/>
      <c r="G132" s="93"/>
      <c r="H132" s="93"/>
      <c r="I132" s="93"/>
      <c r="J132" s="94"/>
      <c r="K132" s="94"/>
      <c r="L132" s="94"/>
      <c r="M132" s="94"/>
      <c r="N132" s="95"/>
    </row>
    <row r="133">
      <c r="A133" s="93"/>
      <c r="B133" s="93"/>
      <c r="C133" s="93"/>
      <c r="D133" s="94"/>
      <c r="E133" s="95"/>
      <c r="F133" s="93"/>
      <c r="G133" s="93"/>
      <c r="H133" s="93"/>
      <c r="I133" s="93"/>
      <c r="J133" s="94"/>
      <c r="K133" s="94"/>
      <c r="L133" s="94"/>
      <c r="M133" s="94"/>
      <c r="N133" s="95"/>
    </row>
    <row r="134">
      <c r="A134" s="93"/>
      <c r="B134" s="93"/>
      <c r="C134" s="93"/>
      <c r="D134" s="94"/>
      <c r="E134" s="95"/>
      <c r="F134" s="93"/>
      <c r="G134" s="93"/>
      <c r="H134" s="93"/>
      <c r="I134" s="93"/>
      <c r="J134" s="94"/>
      <c r="K134" s="94"/>
      <c r="L134" s="94"/>
      <c r="M134" s="94"/>
      <c r="N134" s="95"/>
    </row>
    <row r="135">
      <c r="A135" s="93"/>
      <c r="B135" s="93"/>
      <c r="C135" s="93"/>
      <c r="D135" s="94"/>
      <c r="E135" s="95"/>
      <c r="F135" s="93"/>
      <c r="G135" s="93"/>
      <c r="H135" s="93"/>
      <c r="I135" s="93"/>
      <c r="J135" s="94"/>
      <c r="K135" s="94"/>
      <c r="L135" s="94"/>
      <c r="M135" s="94"/>
      <c r="N135" s="95"/>
    </row>
    <row r="136">
      <c r="A136" s="93"/>
      <c r="B136" s="93"/>
      <c r="C136" s="93"/>
      <c r="D136" s="94"/>
      <c r="E136" s="95"/>
      <c r="F136" s="93"/>
      <c r="G136" s="93"/>
      <c r="H136" s="93"/>
      <c r="I136" s="93"/>
      <c r="J136" s="94"/>
      <c r="K136" s="94"/>
      <c r="L136" s="94"/>
      <c r="M136" s="94"/>
      <c r="N136" s="95"/>
    </row>
    <row r="137">
      <c r="A137" s="93"/>
      <c r="B137" s="93"/>
      <c r="C137" s="93"/>
      <c r="D137" s="94"/>
      <c r="E137" s="95"/>
      <c r="F137" s="93"/>
      <c r="G137" s="93"/>
      <c r="H137" s="93"/>
      <c r="I137" s="93"/>
      <c r="J137" s="94"/>
      <c r="K137" s="94"/>
      <c r="L137" s="94"/>
      <c r="M137" s="94"/>
      <c r="N137" s="95"/>
    </row>
    <row r="138">
      <c r="A138" s="93"/>
      <c r="B138" s="93"/>
      <c r="C138" s="93"/>
      <c r="D138" s="94"/>
      <c r="E138" s="95"/>
      <c r="F138" s="93"/>
      <c r="G138" s="93"/>
      <c r="H138" s="93"/>
      <c r="I138" s="93"/>
      <c r="J138" s="94"/>
      <c r="K138" s="94"/>
      <c r="L138" s="94"/>
      <c r="M138" s="94"/>
      <c r="N138" s="95"/>
    </row>
    <row r="139">
      <c r="A139" s="93"/>
      <c r="B139" s="93"/>
      <c r="C139" s="93"/>
      <c r="D139" s="94"/>
      <c r="E139" s="95"/>
      <c r="F139" s="93"/>
      <c r="G139" s="93"/>
      <c r="H139" s="93"/>
      <c r="I139" s="93"/>
      <c r="J139" s="94"/>
      <c r="K139" s="94"/>
      <c r="L139" s="94"/>
      <c r="M139" s="94"/>
      <c r="N139" s="95"/>
    </row>
    <row r="140">
      <c r="A140" s="93"/>
      <c r="B140" s="93"/>
      <c r="C140" s="93"/>
      <c r="D140" s="94"/>
      <c r="E140" s="95"/>
      <c r="F140" s="93"/>
      <c r="G140" s="93"/>
      <c r="H140" s="93"/>
      <c r="I140" s="93"/>
      <c r="J140" s="94"/>
      <c r="K140" s="94"/>
      <c r="L140" s="94"/>
      <c r="M140" s="94"/>
      <c r="N140" s="95"/>
    </row>
    <row r="141">
      <c r="A141" s="93"/>
      <c r="B141" s="93"/>
      <c r="C141" s="93"/>
      <c r="D141" s="94"/>
      <c r="E141" s="95"/>
      <c r="F141" s="93"/>
      <c r="G141" s="93"/>
      <c r="H141" s="93"/>
      <c r="I141" s="93"/>
      <c r="J141" s="94"/>
      <c r="K141" s="94"/>
      <c r="L141" s="94"/>
      <c r="M141" s="94"/>
      <c r="N141" s="95"/>
    </row>
    <row r="142">
      <c r="A142" s="93"/>
      <c r="B142" s="93"/>
      <c r="C142" s="93"/>
      <c r="D142" s="94"/>
      <c r="E142" s="95"/>
      <c r="F142" s="93"/>
      <c r="G142" s="93"/>
      <c r="H142" s="93"/>
      <c r="I142" s="93"/>
      <c r="J142" s="94"/>
      <c r="K142" s="94"/>
      <c r="L142" s="94"/>
      <c r="M142" s="94"/>
      <c r="N142" s="95"/>
    </row>
    <row r="143">
      <c r="A143" s="93"/>
      <c r="B143" s="93"/>
      <c r="C143" s="93"/>
      <c r="D143" s="94"/>
      <c r="E143" s="95"/>
      <c r="F143" s="93"/>
      <c r="G143" s="93"/>
      <c r="H143" s="93"/>
      <c r="I143" s="93"/>
      <c r="J143" s="94"/>
      <c r="K143" s="94"/>
      <c r="L143" s="94"/>
      <c r="M143" s="94"/>
      <c r="N143" s="95"/>
    </row>
    <row r="144">
      <c r="A144" s="93"/>
      <c r="B144" s="93"/>
      <c r="C144" s="93"/>
      <c r="D144" s="94"/>
      <c r="E144" s="95"/>
      <c r="F144" s="93"/>
      <c r="G144" s="93"/>
      <c r="H144" s="93"/>
      <c r="I144" s="93"/>
      <c r="J144" s="94"/>
      <c r="K144" s="94"/>
      <c r="L144" s="94"/>
      <c r="M144" s="94"/>
      <c r="N144" s="95"/>
    </row>
    <row r="145">
      <c r="A145" s="93"/>
      <c r="B145" s="93"/>
      <c r="C145" s="93"/>
      <c r="D145" s="94"/>
      <c r="E145" s="95"/>
      <c r="F145" s="93"/>
      <c r="G145" s="93"/>
      <c r="H145" s="93"/>
      <c r="I145" s="93"/>
      <c r="J145" s="94"/>
      <c r="K145" s="94"/>
      <c r="L145" s="94"/>
      <c r="M145" s="94"/>
      <c r="N145" s="95"/>
    </row>
    <row r="146">
      <c r="A146" s="93"/>
      <c r="B146" s="93"/>
      <c r="C146" s="93"/>
      <c r="D146" s="94"/>
      <c r="E146" s="95"/>
      <c r="F146" s="93"/>
      <c r="G146" s="93"/>
      <c r="H146" s="93"/>
      <c r="I146" s="93"/>
      <c r="J146" s="94"/>
      <c r="K146" s="94"/>
      <c r="L146" s="94"/>
      <c r="M146" s="94"/>
      <c r="N146" s="95"/>
    </row>
    <row r="147">
      <c r="A147" s="93"/>
      <c r="B147" s="93"/>
      <c r="C147" s="93"/>
      <c r="D147" s="94"/>
      <c r="E147" s="95"/>
      <c r="F147" s="93"/>
      <c r="G147" s="93"/>
      <c r="H147" s="93"/>
      <c r="I147" s="93"/>
      <c r="J147" s="94"/>
      <c r="K147" s="94"/>
      <c r="L147" s="94"/>
      <c r="M147" s="94"/>
      <c r="N147" s="95"/>
    </row>
    <row r="148">
      <c r="A148" s="93"/>
      <c r="B148" s="93"/>
      <c r="C148" s="93"/>
      <c r="D148" s="94"/>
      <c r="E148" s="95"/>
      <c r="F148" s="93"/>
      <c r="G148" s="93"/>
      <c r="H148" s="93"/>
      <c r="I148" s="93"/>
      <c r="J148" s="94"/>
      <c r="K148" s="94"/>
      <c r="L148" s="94"/>
      <c r="M148" s="94"/>
      <c r="N148" s="95"/>
    </row>
    <row r="149">
      <c r="A149" s="93"/>
      <c r="B149" s="93"/>
      <c r="C149" s="93"/>
      <c r="D149" s="94"/>
      <c r="E149" s="95"/>
      <c r="F149" s="93"/>
      <c r="G149" s="93"/>
      <c r="H149" s="93"/>
      <c r="I149" s="93"/>
      <c r="J149" s="94"/>
      <c r="K149" s="94"/>
      <c r="L149" s="94"/>
      <c r="M149" s="94"/>
      <c r="N149" s="95"/>
    </row>
    <row r="150">
      <c r="A150" s="93"/>
      <c r="B150" s="93"/>
      <c r="C150" s="93"/>
      <c r="D150" s="94"/>
      <c r="E150" s="95"/>
      <c r="F150" s="93"/>
      <c r="G150" s="93"/>
      <c r="H150" s="93"/>
      <c r="I150" s="93"/>
      <c r="J150" s="94"/>
      <c r="K150" s="94"/>
      <c r="L150" s="94"/>
      <c r="M150" s="94"/>
      <c r="N150" s="95"/>
    </row>
    <row r="151">
      <c r="A151" s="93"/>
      <c r="B151" s="93"/>
      <c r="C151" s="93"/>
      <c r="D151" s="94"/>
      <c r="E151" s="95"/>
      <c r="F151" s="93"/>
      <c r="G151" s="93"/>
      <c r="H151" s="93"/>
      <c r="I151" s="93"/>
      <c r="J151" s="94"/>
      <c r="K151" s="94"/>
      <c r="L151" s="94"/>
      <c r="M151" s="94"/>
      <c r="N151" s="95"/>
    </row>
    <row r="152">
      <c r="A152" s="93"/>
      <c r="B152" s="93"/>
      <c r="C152" s="93"/>
      <c r="D152" s="94"/>
      <c r="E152" s="95"/>
      <c r="F152" s="93"/>
      <c r="G152" s="93"/>
      <c r="H152" s="93"/>
      <c r="I152" s="93"/>
      <c r="J152" s="94"/>
      <c r="K152" s="94"/>
      <c r="L152" s="94"/>
      <c r="M152" s="94"/>
      <c r="N152" s="95"/>
    </row>
    <row r="153">
      <c r="A153" s="93"/>
      <c r="B153" s="93"/>
      <c r="C153" s="93"/>
      <c r="D153" s="94"/>
      <c r="E153" s="95"/>
      <c r="F153" s="93"/>
      <c r="G153" s="93"/>
      <c r="H153" s="93"/>
      <c r="I153" s="93"/>
      <c r="J153" s="94"/>
      <c r="K153" s="94"/>
      <c r="L153" s="94"/>
      <c r="M153" s="94"/>
      <c r="N153" s="95"/>
    </row>
    <row r="154">
      <c r="A154" s="93"/>
      <c r="B154" s="93"/>
      <c r="C154" s="93"/>
      <c r="D154" s="94"/>
      <c r="E154" s="95"/>
      <c r="F154" s="93"/>
      <c r="G154" s="93"/>
      <c r="H154" s="93"/>
      <c r="I154" s="93"/>
      <c r="J154" s="94"/>
      <c r="K154" s="94"/>
      <c r="L154" s="94"/>
      <c r="M154" s="94"/>
      <c r="N154" s="95"/>
    </row>
    <row r="155">
      <c r="A155" s="93"/>
      <c r="B155" s="93"/>
      <c r="C155" s="93"/>
      <c r="D155" s="94"/>
      <c r="E155" s="95"/>
      <c r="F155" s="93"/>
      <c r="G155" s="93"/>
      <c r="H155" s="93"/>
      <c r="I155" s="93"/>
      <c r="J155" s="94"/>
      <c r="K155" s="94"/>
      <c r="L155" s="94"/>
      <c r="M155" s="94"/>
      <c r="N155" s="95"/>
    </row>
    <row r="156">
      <c r="A156" s="93"/>
      <c r="B156" s="93"/>
      <c r="C156" s="93"/>
      <c r="D156" s="94"/>
      <c r="E156" s="95"/>
      <c r="F156" s="93"/>
      <c r="G156" s="93"/>
      <c r="H156" s="93"/>
      <c r="I156" s="93"/>
      <c r="J156" s="94"/>
      <c r="K156" s="94"/>
      <c r="L156" s="94"/>
      <c r="M156" s="94"/>
      <c r="N156" s="95"/>
    </row>
    <row r="157">
      <c r="A157" s="93"/>
      <c r="B157" s="93"/>
      <c r="C157" s="93"/>
      <c r="D157" s="94"/>
      <c r="E157" s="95"/>
      <c r="F157" s="93"/>
      <c r="G157" s="93"/>
      <c r="H157" s="93"/>
      <c r="I157" s="93"/>
      <c r="J157" s="94"/>
      <c r="K157" s="94"/>
      <c r="L157" s="94"/>
      <c r="M157" s="94"/>
      <c r="N157" s="95"/>
    </row>
    <row r="158">
      <c r="A158" s="93"/>
      <c r="B158" s="93"/>
      <c r="C158" s="93"/>
      <c r="D158" s="94"/>
      <c r="E158" s="95"/>
      <c r="F158" s="93"/>
      <c r="G158" s="93"/>
      <c r="H158" s="93"/>
      <c r="I158" s="93"/>
      <c r="J158" s="94"/>
      <c r="K158" s="94"/>
      <c r="L158" s="94"/>
      <c r="M158" s="94"/>
      <c r="N158" s="95"/>
    </row>
    <row r="159">
      <c r="A159" s="93"/>
      <c r="B159" s="93"/>
      <c r="C159" s="93"/>
      <c r="D159" s="94"/>
      <c r="E159" s="95"/>
      <c r="F159" s="93"/>
      <c r="G159" s="93"/>
      <c r="H159" s="93"/>
      <c r="I159" s="93"/>
      <c r="J159" s="94"/>
      <c r="K159" s="94"/>
      <c r="L159" s="94"/>
      <c r="M159" s="94"/>
      <c r="N159" s="95"/>
    </row>
    <row r="160">
      <c r="A160" s="93"/>
      <c r="B160" s="93"/>
      <c r="C160" s="93"/>
      <c r="D160" s="94"/>
      <c r="E160" s="95"/>
      <c r="F160" s="93"/>
      <c r="G160" s="93"/>
      <c r="H160" s="93"/>
      <c r="I160" s="93"/>
      <c r="J160" s="94"/>
      <c r="K160" s="94"/>
      <c r="L160" s="94"/>
      <c r="M160" s="94"/>
      <c r="N160" s="95"/>
    </row>
    <row r="161">
      <c r="A161" s="93"/>
      <c r="B161" s="93"/>
      <c r="C161" s="93"/>
      <c r="D161" s="94"/>
      <c r="E161" s="95"/>
      <c r="F161" s="93"/>
      <c r="G161" s="93"/>
      <c r="H161" s="93"/>
      <c r="I161" s="93"/>
      <c r="J161" s="94"/>
      <c r="K161" s="94"/>
      <c r="L161" s="94"/>
      <c r="M161" s="94"/>
      <c r="N161" s="95"/>
    </row>
    <row r="162">
      <c r="A162" s="93"/>
      <c r="B162" s="93"/>
      <c r="C162" s="93"/>
      <c r="D162" s="94"/>
      <c r="E162" s="95"/>
      <c r="F162" s="93"/>
      <c r="G162" s="93"/>
      <c r="H162" s="93"/>
      <c r="I162" s="93"/>
      <c r="J162" s="94"/>
      <c r="K162" s="94"/>
      <c r="L162" s="94"/>
      <c r="M162" s="94"/>
      <c r="N162" s="95"/>
    </row>
    <row r="163">
      <c r="A163" s="93"/>
      <c r="B163" s="93"/>
      <c r="C163" s="93"/>
      <c r="D163" s="94"/>
      <c r="E163" s="95"/>
      <c r="F163" s="93"/>
      <c r="G163" s="93"/>
      <c r="H163" s="93"/>
      <c r="I163" s="93"/>
      <c r="J163" s="94"/>
      <c r="K163" s="94"/>
      <c r="L163" s="94"/>
      <c r="M163" s="94"/>
      <c r="N163" s="95"/>
    </row>
    <row r="164">
      <c r="A164" s="93"/>
      <c r="B164" s="93"/>
      <c r="C164" s="93"/>
      <c r="D164" s="94"/>
      <c r="E164" s="95"/>
      <c r="F164" s="93"/>
      <c r="G164" s="93"/>
      <c r="H164" s="93"/>
      <c r="I164" s="93"/>
      <c r="J164" s="94"/>
      <c r="K164" s="94"/>
      <c r="L164" s="94"/>
      <c r="M164" s="94"/>
      <c r="N164" s="95"/>
    </row>
    <row r="165">
      <c r="A165" s="93"/>
      <c r="B165" s="93"/>
      <c r="C165" s="93"/>
      <c r="D165" s="94"/>
      <c r="E165" s="95"/>
      <c r="F165" s="93"/>
      <c r="G165" s="93"/>
      <c r="H165" s="93"/>
      <c r="I165" s="93"/>
      <c r="J165" s="94"/>
      <c r="K165" s="94"/>
      <c r="L165" s="94"/>
      <c r="M165" s="94"/>
      <c r="N165" s="95"/>
    </row>
    <row r="166">
      <c r="A166" s="93"/>
      <c r="B166" s="93"/>
      <c r="C166" s="93"/>
      <c r="D166" s="94"/>
      <c r="E166" s="95"/>
      <c r="F166" s="93"/>
      <c r="G166" s="93"/>
      <c r="H166" s="93"/>
      <c r="I166" s="93"/>
      <c r="J166" s="94"/>
      <c r="K166" s="94"/>
      <c r="L166" s="94"/>
      <c r="M166" s="94"/>
      <c r="N166" s="95"/>
    </row>
    <row r="167">
      <c r="A167" s="93"/>
      <c r="B167" s="93"/>
      <c r="C167" s="93"/>
      <c r="D167" s="94"/>
      <c r="E167" s="95"/>
      <c r="F167" s="93"/>
      <c r="G167" s="93"/>
      <c r="H167" s="93"/>
      <c r="I167" s="93"/>
      <c r="J167" s="94"/>
      <c r="K167" s="94"/>
      <c r="L167" s="94"/>
      <c r="M167" s="94"/>
      <c r="N167" s="95"/>
    </row>
    <row r="168">
      <c r="A168" s="93"/>
      <c r="B168" s="93"/>
      <c r="C168" s="93"/>
      <c r="D168" s="94"/>
      <c r="E168" s="95"/>
      <c r="F168" s="93"/>
      <c r="G168" s="93"/>
      <c r="H168" s="93"/>
      <c r="I168" s="93"/>
      <c r="J168" s="94"/>
      <c r="K168" s="94"/>
      <c r="L168" s="94"/>
      <c r="M168" s="94"/>
      <c r="N168" s="95"/>
    </row>
    <row r="169">
      <c r="A169" s="93"/>
      <c r="B169" s="93"/>
      <c r="C169" s="93"/>
      <c r="D169" s="94"/>
      <c r="E169" s="95"/>
      <c r="F169" s="93"/>
      <c r="G169" s="93"/>
      <c r="H169" s="93"/>
      <c r="I169" s="93"/>
      <c r="J169" s="94"/>
      <c r="K169" s="94"/>
      <c r="L169" s="94"/>
      <c r="M169" s="94"/>
      <c r="N169" s="95"/>
    </row>
    <row r="170">
      <c r="A170" s="93"/>
      <c r="B170" s="93"/>
      <c r="C170" s="93"/>
      <c r="D170" s="94"/>
      <c r="E170" s="95"/>
      <c r="F170" s="93"/>
      <c r="G170" s="93"/>
      <c r="H170" s="93"/>
      <c r="I170" s="93"/>
      <c r="J170" s="94"/>
      <c r="K170" s="94"/>
      <c r="L170" s="94"/>
      <c r="M170" s="94"/>
      <c r="N170" s="95"/>
    </row>
    <row r="171">
      <c r="A171" s="93"/>
      <c r="B171" s="93"/>
      <c r="C171" s="93"/>
      <c r="D171" s="94"/>
      <c r="E171" s="95"/>
      <c r="F171" s="93"/>
      <c r="G171" s="93"/>
      <c r="H171" s="93"/>
      <c r="I171" s="93"/>
      <c r="J171" s="94"/>
      <c r="K171" s="94"/>
      <c r="L171" s="94"/>
      <c r="M171" s="94"/>
      <c r="N171" s="95"/>
    </row>
    <row r="172">
      <c r="A172" s="93"/>
      <c r="B172" s="93"/>
      <c r="C172" s="93"/>
      <c r="D172" s="94"/>
      <c r="E172" s="95"/>
      <c r="F172" s="93"/>
      <c r="G172" s="93"/>
      <c r="H172" s="93"/>
      <c r="I172" s="93"/>
      <c r="J172" s="94"/>
      <c r="K172" s="94"/>
      <c r="L172" s="94"/>
      <c r="M172" s="94"/>
      <c r="N172" s="95"/>
    </row>
    <row r="173">
      <c r="A173" s="93"/>
      <c r="B173" s="93"/>
      <c r="C173" s="93"/>
      <c r="D173" s="94"/>
      <c r="E173" s="95"/>
      <c r="F173" s="93"/>
      <c r="G173" s="93"/>
      <c r="H173" s="93"/>
      <c r="I173" s="93"/>
      <c r="J173" s="94"/>
      <c r="K173" s="94"/>
      <c r="L173" s="94"/>
      <c r="M173" s="94"/>
      <c r="N173" s="95"/>
    </row>
    <row r="174">
      <c r="A174" s="93"/>
      <c r="B174" s="93"/>
      <c r="C174" s="93"/>
      <c r="D174" s="94"/>
      <c r="E174" s="95"/>
      <c r="F174" s="93"/>
      <c r="G174" s="93"/>
      <c r="H174" s="93"/>
      <c r="I174" s="93"/>
      <c r="J174" s="94"/>
      <c r="K174" s="94"/>
      <c r="L174" s="94"/>
      <c r="M174" s="94"/>
      <c r="N174" s="95"/>
    </row>
    <row r="175">
      <c r="A175" s="93"/>
      <c r="B175" s="93"/>
      <c r="C175" s="93"/>
      <c r="D175" s="94"/>
      <c r="E175" s="95"/>
      <c r="F175" s="93"/>
      <c r="G175" s="93"/>
      <c r="H175" s="93"/>
      <c r="I175" s="93"/>
      <c r="J175" s="94"/>
      <c r="K175" s="94"/>
      <c r="L175" s="94"/>
      <c r="M175" s="94"/>
      <c r="N175" s="95"/>
    </row>
    <row r="176">
      <c r="A176" s="93"/>
      <c r="B176" s="93"/>
      <c r="C176" s="93"/>
      <c r="D176" s="94"/>
      <c r="E176" s="95"/>
      <c r="F176" s="93"/>
      <c r="G176" s="93"/>
      <c r="H176" s="93"/>
      <c r="I176" s="93"/>
      <c r="J176" s="94"/>
      <c r="K176" s="94"/>
      <c r="L176" s="94"/>
      <c r="M176" s="94"/>
      <c r="N176" s="95"/>
    </row>
    <row r="177">
      <c r="A177" s="93"/>
      <c r="B177" s="93"/>
      <c r="C177" s="93"/>
      <c r="D177" s="94"/>
      <c r="E177" s="95"/>
      <c r="F177" s="93"/>
      <c r="G177" s="93"/>
      <c r="H177" s="93"/>
      <c r="I177" s="93"/>
      <c r="J177" s="94"/>
      <c r="K177" s="94"/>
      <c r="L177" s="94"/>
      <c r="M177" s="94"/>
      <c r="N177" s="95"/>
    </row>
    <row r="178">
      <c r="A178" s="93"/>
      <c r="B178" s="93"/>
      <c r="C178" s="93"/>
      <c r="D178" s="94"/>
      <c r="E178" s="95"/>
      <c r="F178" s="93"/>
      <c r="G178" s="93"/>
      <c r="H178" s="93"/>
      <c r="I178" s="93"/>
      <c r="J178" s="94"/>
      <c r="K178" s="94"/>
      <c r="L178" s="94"/>
      <c r="M178" s="94"/>
      <c r="N178" s="95"/>
    </row>
    <row r="179">
      <c r="A179" s="93"/>
      <c r="B179" s="93"/>
      <c r="C179" s="93"/>
      <c r="D179" s="94"/>
      <c r="E179" s="95"/>
      <c r="F179" s="93"/>
      <c r="G179" s="93"/>
      <c r="H179" s="93"/>
      <c r="I179" s="93"/>
      <c r="J179" s="94"/>
      <c r="K179" s="94"/>
      <c r="L179" s="94"/>
      <c r="M179" s="94"/>
      <c r="N179" s="95"/>
    </row>
    <row r="180">
      <c r="A180" s="93"/>
      <c r="B180" s="93"/>
      <c r="C180" s="93"/>
      <c r="D180" s="94"/>
      <c r="E180" s="95"/>
      <c r="F180" s="93"/>
      <c r="G180" s="93"/>
      <c r="H180" s="93"/>
      <c r="I180" s="93"/>
      <c r="J180" s="94"/>
      <c r="K180" s="94"/>
      <c r="L180" s="94"/>
      <c r="M180" s="94"/>
      <c r="N180" s="95"/>
    </row>
    <row r="181">
      <c r="A181" s="93"/>
      <c r="B181" s="93"/>
      <c r="C181" s="93"/>
      <c r="D181" s="94"/>
      <c r="E181" s="95"/>
      <c r="F181" s="93"/>
      <c r="G181" s="93"/>
      <c r="H181" s="93"/>
      <c r="I181" s="93"/>
      <c r="J181" s="94"/>
      <c r="K181" s="94"/>
      <c r="L181" s="94"/>
      <c r="M181" s="94"/>
      <c r="N181" s="95"/>
    </row>
    <row r="182">
      <c r="A182" s="93"/>
      <c r="B182" s="93"/>
      <c r="C182" s="93"/>
      <c r="D182" s="94"/>
      <c r="E182" s="95"/>
      <c r="F182" s="93"/>
      <c r="G182" s="93"/>
      <c r="H182" s="93"/>
      <c r="I182" s="93"/>
      <c r="J182" s="94"/>
      <c r="K182" s="94"/>
      <c r="L182" s="94"/>
      <c r="M182" s="94"/>
      <c r="N182" s="95"/>
    </row>
    <row r="183">
      <c r="A183" s="93"/>
      <c r="B183" s="93"/>
      <c r="C183" s="93"/>
      <c r="D183" s="94"/>
      <c r="E183" s="95"/>
      <c r="F183" s="93"/>
      <c r="G183" s="93"/>
      <c r="H183" s="93"/>
      <c r="I183" s="93"/>
      <c r="J183" s="94"/>
      <c r="K183" s="94"/>
      <c r="L183" s="94"/>
      <c r="M183" s="94"/>
      <c r="N183" s="95"/>
    </row>
    <row r="184">
      <c r="A184" s="93"/>
      <c r="B184" s="93"/>
      <c r="C184" s="93"/>
      <c r="D184" s="94"/>
      <c r="E184" s="95"/>
      <c r="F184" s="93"/>
      <c r="G184" s="93"/>
      <c r="H184" s="93"/>
      <c r="I184" s="93"/>
      <c r="J184" s="94"/>
      <c r="K184" s="94"/>
      <c r="L184" s="94"/>
      <c r="M184" s="94"/>
      <c r="N184" s="95"/>
    </row>
    <row r="185">
      <c r="A185" s="93"/>
      <c r="B185" s="93"/>
      <c r="C185" s="93"/>
      <c r="D185" s="94"/>
      <c r="E185" s="95"/>
      <c r="F185" s="93"/>
      <c r="G185" s="93"/>
      <c r="H185" s="93"/>
      <c r="I185" s="93"/>
      <c r="J185" s="94"/>
      <c r="K185" s="94"/>
      <c r="L185" s="94"/>
      <c r="M185" s="94"/>
      <c r="N185" s="95"/>
    </row>
    <row r="186">
      <c r="A186" s="93"/>
      <c r="B186" s="93"/>
      <c r="C186" s="93"/>
      <c r="D186" s="94"/>
      <c r="E186" s="95"/>
      <c r="F186" s="93"/>
      <c r="G186" s="93"/>
      <c r="H186" s="93"/>
      <c r="I186" s="93"/>
      <c r="J186" s="94"/>
      <c r="K186" s="94"/>
      <c r="L186" s="94"/>
      <c r="M186" s="94"/>
      <c r="N186" s="95"/>
    </row>
    <row r="187">
      <c r="A187" s="93"/>
      <c r="B187" s="93"/>
      <c r="C187" s="93"/>
      <c r="D187" s="94"/>
      <c r="E187" s="95"/>
      <c r="F187" s="93"/>
      <c r="G187" s="93"/>
      <c r="H187" s="93"/>
      <c r="I187" s="93"/>
      <c r="J187" s="94"/>
      <c r="K187" s="94"/>
      <c r="L187" s="94"/>
      <c r="M187" s="94"/>
      <c r="N187" s="95"/>
    </row>
    <row r="188">
      <c r="A188" s="93"/>
      <c r="B188" s="93"/>
      <c r="C188" s="93"/>
      <c r="D188" s="94"/>
      <c r="E188" s="95"/>
      <c r="F188" s="93"/>
      <c r="G188" s="93"/>
      <c r="H188" s="93"/>
      <c r="I188" s="93"/>
      <c r="J188" s="94"/>
      <c r="K188" s="94"/>
      <c r="L188" s="94"/>
      <c r="M188" s="94"/>
      <c r="N188" s="95"/>
    </row>
    <row r="189">
      <c r="A189" s="93"/>
      <c r="B189" s="93"/>
      <c r="C189" s="93"/>
      <c r="D189" s="94"/>
      <c r="E189" s="95"/>
      <c r="F189" s="93"/>
      <c r="G189" s="93"/>
      <c r="H189" s="93"/>
      <c r="I189" s="93"/>
      <c r="J189" s="94"/>
      <c r="K189" s="94"/>
      <c r="L189" s="94"/>
      <c r="M189" s="94"/>
      <c r="N189" s="95"/>
    </row>
    <row r="190">
      <c r="A190" s="93"/>
      <c r="B190" s="93"/>
      <c r="C190" s="93"/>
      <c r="D190" s="94"/>
      <c r="E190" s="95"/>
      <c r="F190" s="93"/>
      <c r="G190" s="93"/>
      <c r="H190" s="93"/>
      <c r="I190" s="93"/>
      <c r="J190" s="94"/>
      <c r="K190" s="94"/>
      <c r="L190" s="94"/>
      <c r="M190" s="94"/>
      <c r="N190" s="95"/>
    </row>
    <row r="191">
      <c r="A191" s="93"/>
      <c r="B191" s="93"/>
      <c r="C191" s="93"/>
      <c r="D191" s="94"/>
      <c r="E191" s="95"/>
      <c r="F191" s="93"/>
      <c r="G191" s="93"/>
      <c r="H191" s="93"/>
      <c r="I191" s="93"/>
      <c r="J191" s="94"/>
      <c r="K191" s="94"/>
      <c r="L191" s="94"/>
      <c r="M191" s="94"/>
      <c r="N191" s="95"/>
    </row>
    <row r="192">
      <c r="A192" s="93"/>
      <c r="B192" s="93"/>
      <c r="C192" s="93"/>
      <c r="D192" s="94"/>
      <c r="E192" s="95"/>
      <c r="F192" s="93"/>
      <c r="G192" s="93"/>
      <c r="H192" s="93"/>
      <c r="I192" s="93"/>
      <c r="J192" s="94"/>
      <c r="K192" s="94"/>
      <c r="L192" s="94"/>
      <c r="M192" s="94"/>
      <c r="N192" s="95"/>
    </row>
    <row r="193">
      <c r="A193" s="93"/>
      <c r="B193" s="93"/>
      <c r="C193" s="93"/>
      <c r="D193" s="94"/>
      <c r="E193" s="95"/>
      <c r="F193" s="93"/>
      <c r="G193" s="93"/>
      <c r="H193" s="93"/>
      <c r="I193" s="93"/>
      <c r="J193" s="94"/>
      <c r="K193" s="94"/>
      <c r="L193" s="94"/>
      <c r="M193" s="94"/>
      <c r="N193" s="95"/>
    </row>
    <row r="194">
      <c r="A194" s="93"/>
      <c r="B194" s="93"/>
      <c r="C194" s="93"/>
      <c r="D194" s="94"/>
      <c r="E194" s="95"/>
      <c r="F194" s="93"/>
      <c r="G194" s="93"/>
      <c r="H194" s="93"/>
      <c r="I194" s="93"/>
      <c r="J194" s="94"/>
      <c r="K194" s="94"/>
      <c r="L194" s="94"/>
      <c r="M194" s="94"/>
      <c r="N194" s="95"/>
    </row>
    <row r="195">
      <c r="A195" s="93"/>
      <c r="B195" s="93"/>
      <c r="C195" s="93"/>
      <c r="D195" s="94"/>
      <c r="E195" s="95"/>
      <c r="F195" s="93"/>
      <c r="G195" s="93"/>
      <c r="H195" s="93"/>
      <c r="I195" s="93"/>
      <c r="J195" s="94"/>
      <c r="K195" s="94"/>
      <c r="L195" s="94"/>
      <c r="M195" s="94"/>
      <c r="N195" s="95"/>
    </row>
    <row r="196">
      <c r="A196" s="93"/>
      <c r="B196" s="93"/>
      <c r="C196" s="93"/>
      <c r="D196" s="94"/>
      <c r="E196" s="95"/>
      <c r="F196" s="93"/>
      <c r="G196" s="93"/>
      <c r="H196" s="93"/>
      <c r="I196" s="93"/>
      <c r="J196" s="94"/>
      <c r="K196" s="94"/>
      <c r="L196" s="94"/>
      <c r="M196" s="94"/>
      <c r="N196" s="95"/>
    </row>
    <row r="197">
      <c r="A197" s="93"/>
      <c r="B197" s="93"/>
      <c r="C197" s="93"/>
      <c r="D197" s="94"/>
      <c r="E197" s="95"/>
      <c r="F197" s="93"/>
      <c r="G197" s="93"/>
      <c r="H197" s="93"/>
      <c r="I197" s="93"/>
      <c r="J197" s="94"/>
      <c r="K197" s="94"/>
      <c r="L197" s="94"/>
      <c r="M197" s="94"/>
      <c r="N197" s="95"/>
    </row>
    <row r="198">
      <c r="A198" s="93"/>
      <c r="B198" s="93"/>
      <c r="C198" s="93"/>
      <c r="D198" s="94"/>
      <c r="E198" s="95"/>
      <c r="F198" s="93"/>
      <c r="G198" s="93"/>
      <c r="H198" s="93"/>
      <c r="I198" s="93"/>
      <c r="J198" s="94"/>
      <c r="K198" s="94"/>
      <c r="L198" s="94"/>
      <c r="M198" s="94"/>
      <c r="N198" s="95"/>
    </row>
    <row r="199">
      <c r="A199" s="93"/>
      <c r="B199" s="93"/>
      <c r="C199" s="93"/>
      <c r="D199" s="94"/>
      <c r="E199" s="95"/>
      <c r="F199" s="93"/>
      <c r="G199" s="93"/>
      <c r="H199" s="93"/>
      <c r="I199" s="93"/>
      <c r="J199" s="94"/>
      <c r="K199" s="94"/>
      <c r="L199" s="94"/>
      <c r="M199" s="94"/>
      <c r="N199" s="95"/>
    </row>
    <row r="200">
      <c r="A200" s="93"/>
      <c r="B200" s="93"/>
      <c r="C200" s="93"/>
      <c r="D200" s="94"/>
      <c r="E200" s="95"/>
      <c r="F200" s="93"/>
      <c r="G200" s="93"/>
      <c r="H200" s="93"/>
      <c r="I200" s="93"/>
      <c r="J200" s="94"/>
      <c r="K200" s="94"/>
      <c r="L200" s="94"/>
      <c r="M200" s="94"/>
      <c r="N200" s="95"/>
    </row>
    <row r="201">
      <c r="A201" s="93"/>
      <c r="B201" s="93"/>
      <c r="C201" s="93"/>
      <c r="D201" s="94"/>
      <c r="E201" s="95"/>
      <c r="F201" s="93"/>
      <c r="G201" s="93"/>
      <c r="H201" s="93"/>
      <c r="I201" s="93"/>
      <c r="J201" s="94"/>
      <c r="K201" s="94"/>
      <c r="L201" s="94"/>
      <c r="M201" s="94"/>
      <c r="N201" s="95"/>
    </row>
    <row r="202">
      <c r="A202" s="93"/>
      <c r="B202" s="93"/>
      <c r="C202" s="93"/>
      <c r="D202" s="94"/>
      <c r="E202" s="95"/>
      <c r="F202" s="93"/>
      <c r="G202" s="93"/>
      <c r="H202" s="93"/>
      <c r="I202" s="93"/>
      <c r="J202" s="94"/>
      <c r="K202" s="94"/>
      <c r="L202" s="94"/>
      <c r="M202" s="94"/>
      <c r="N202" s="95"/>
    </row>
    <row r="203">
      <c r="A203" s="93"/>
      <c r="B203" s="93"/>
      <c r="C203" s="93"/>
      <c r="D203" s="94"/>
      <c r="E203" s="95"/>
      <c r="F203" s="93"/>
      <c r="G203" s="93"/>
      <c r="H203" s="93"/>
      <c r="I203" s="93"/>
      <c r="J203" s="94"/>
      <c r="K203" s="94"/>
      <c r="L203" s="94"/>
      <c r="M203" s="94"/>
      <c r="N203" s="95"/>
    </row>
    <row r="204">
      <c r="A204" s="93"/>
      <c r="B204" s="93"/>
      <c r="C204" s="93"/>
      <c r="D204" s="94"/>
      <c r="E204" s="95"/>
      <c r="F204" s="93"/>
      <c r="G204" s="93"/>
      <c r="H204" s="93"/>
      <c r="I204" s="93"/>
      <c r="J204" s="94"/>
      <c r="K204" s="94"/>
      <c r="L204" s="94"/>
      <c r="M204" s="94"/>
      <c r="N204" s="95"/>
    </row>
    <row r="205">
      <c r="A205" s="93"/>
      <c r="B205" s="93"/>
      <c r="C205" s="93"/>
      <c r="D205" s="94"/>
      <c r="E205" s="95"/>
      <c r="F205" s="93"/>
      <c r="G205" s="93"/>
      <c r="H205" s="93"/>
      <c r="I205" s="93"/>
      <c r="J205" s="94"/>
      <c r="K205" s="94"/>
      <c r="L205" s="94"/>
      <c r="M205" s="94"/>
      <c r="N205" s="95"/>
    </row>
    <row r="206">
      <c r="A206" s="93"/>
      <c r="B206" s="93"/>
      <c r="C206" s="93"/>
      <c r="D206" s="94"/>
      <c r="E206" s="95"/>
      <c r="F206" s="93"/>
      <c r="G206" s="93"/>
      <c r="H206" s="93"/>
      <c r="I206" s="93"/>
      <c r="J206" s="94"/>
      <c r="K206" s="94"/>
      <c r="L206" s="94"/>
      <c r="M206" s="94"/>
      <c r="N206" s="95"/>
    </row>
    <row r="207">
      <c r="A207" s="93"/>
      <c r="B207" s="93"/>
      <c r="C207" s="93"/>
      <c r="D207" s="94"/>
      <c r="E207" s="95"/>
      <c r="F207" s="93"/>
      <c r="G207" s="93"/>
      <c r="H207" s="93"/>
      <c r="I207" s="93"/>
      <c r="J207" s="94"/>
      <c r="K207" s="94"/>
      <c r="L207" s="94"/>
      <c r="M207" s="94"/>
      <c r="N207" s="95"/>
    </row>
    <row r="208">
      <c r="A208" s="93"/>
      <c r="B208" s="93"/>
      <c r="C208" s="93"/>
      <c r="D208" s="94"/>
      <c r="E208" s="95"/>
      <c r="F208" s="93"/>
      <c r="G208" s="93"/>
      <c r="H208" s="93"/>
      <c r="I208" s="93"/>
      <c r="J208" s="94"/>
      <c r="K208" s="94"/>
      <c r="L208" s="94"/>
      <c r="M208" s="94"/>
      <c r="N208" s="95"/>
    </row>
    <row r="209">
      <c r="A209" s="93"/>
      <c r="B209" s="93"/>
      <c r="C209" s="93"/>
      <c r="D209" s="94"/>
      <c r="E209" s="95"/>
      <c r="F209" s="93"/>
      <c r="G209" s="93"/>
      <c r="H209" s="93"/>
      <c r="I209" s="93"/>
      <c r="J209" s="94"/>
      <c r="K209" s="94"/>
      <c r="L209" s="94"/>
      <c r="M209" s="94"/>
      <c r="N209" s="95"/>
    </row>
    <row r="210">
      <c r="A210" s="93"/>
      <c r="B210" s="93"/>
      <c r="C210" s="93"/>
      <c r="D210" s="94"/>
      <c r="E210" s="95"/>
      <c r="F210" s="93"/>
      <c r="G210" s="93"/>
      <c r="H210" s="93"/>
      <c r="I210" s="93"/>
      <c r="J210" s="94"/>
      <c r="K210" s="94"/>
      <c r="L210" s="94"/>
      <c r="M210" s="94"/>
      <c r="N210" s="95"/>
    </row>
    <row r="211">
      <c r="A211" s="93"/>
      <c r="B211" s="93"/>
      <c r="C211" s="93"/>
      <c r="D211" s="94"/>
      <c r="E211" s="95"/>
      <c r="F211" s="93"/>
      <c r="G211" s="93"/>
      <c r="H211" s="93"/>
      <c r="I211" s="93"/>
      <c r="J211" s="94"/>
      <c r="K211" s="94"/>
      <c r="L211" s="94"/>
      <c r="M211" s="94"/>
      <c r="N211" s="95"/>
    </row>
    <row r="212">
      <c r="A212" s="93"/>
      <c r="B212" s="93"/>
      <c r="C212" s="93"/>
      <c r="D212" s="94"/>
      <c r="E212" s="95"/>
      <c r="F212" s="93"/>
      <c r="G212" s="93"/>
      <c r="H212" s="93"/>
      <c r="I212" s="93"/>
      <c r="J212" s="94"/>
      <c r="K212" s="94"/>
      <c r="L212" s="94"/>
      <c r="M212" s="94"/>
      <c r="N212" s="95"/>
    </row>
    <row r="213">
      <c r="A213" s="93"/>
      <c r="B213" s="93"/>
      <c r="C213" s="93"/>
      <c r="D213" s="94"/>
      <c r="E213" s="95"/>
      <c r="F213" s="93"/>
      <c r="G213" s="93"/>
      <c r="H213" s="93"/>
      <c r="I213" s="93"/>
      <c r="J213" s="94"/>
      <c r="K213" s="94"/>
      <c r="L213" s="94"/>
      <c r="M213" s="94"/>
      <c r="N213" s="95"/>
    </row>
    <row r="214">
      <c r="A214" s="93"/>
      <c r="B214" s="93"/>
      <c r="C214" s="93"/>
      <c r="D214" s="94"/>
      <c r="E214" s="95"/>
      <c r="F214" s="93"/>
      <c r="G214" s="93"/>
      <c r="H214" s="93"/>
      <c r="I214" s="93"/>
      <c r="J214" s="94"/>
      <c r="K214" s="94"/>
      <c r="L214" s="94"/>
      <c r="M214" s="94"/>
      <c r="N214" s="95"/>
    </row>
    <row r="215">
      <c r="A215" s="93"/>
      <c r="B215" s="93"/>
      <c r="C215" s="93"/>
      <c r="D215" s="94"/>
      <c r="E215" s="95"/>
      <c r="F215" s="93"/>
      <c r="G215" s="93"/>
      <c r="H215" s="93"/>
      <c r="I215" s="93"/>
      <c r="J215" s="94"/>
      <c r="K215" s="94"/>
      <c r="L215" s="94"/>
      <c r="M215" s="94"/>
      <c r="N215" s="95"/>
    </row>
    <row r="216">
      <c r="A216" s="93"/>
      <c r="B216" s="93"/>
      <c r="C216" s="93"/>
      <c r="D216" s="94"/>
      <c r="E216" s="95"/>
      <c r="F216" s="93"/>
      <c r="G216" s="93"/>
      <c r="H216" s="93"/>
      <c r="I216" s="93"/>
      <c r="J216" s="94"/>
      <c r="K216" s="94"/>
      <c r="L216" s="94"/>
      <c r="M216" s="94"/>
      <c r="N216" s="95"/>
    </row>
    <row r="217">
      <c r="A217" s="93"/>
      <c r="B217" s="93"/>
      <c r="C217" s="93"/>
      <c r="D217" s="94"/>
      <c r="E217" s="95"/>
      <c r="F217" s="93"/>
      <c r="G217" s="93"/>
      <c r="H217" s="93"/>
      <c r="I217" s="93"/>
      <c r="J217" s="94"/>
      <c r="K217" s="94"/>
      <c r="L217" s="94"/>
      <c r="M217" s="94"/>
      <c r="N217" s="95"/>
    </row>
    <row r="218">
      <c r="A218" s="93"/>
      <c r="B218" s="93"/>
      <c r="C218" s="93"/>
      <c r="D218" s="94"/>
      <c r="E218" s="95"/>
      <c r="F218" s="93"/>
      <c r="G218" s="93"/>
      <c r="H218" s="93"/>
      <c r="I218" s="93"/>
      <c r="J218" s="94"/>
      <c r="K218" s="94"/>
      <c r="L218" s="94"/>
      <c r="M218" s="94"/>
      <c r="N218" s="95"/>
    </row>
    <row r="219">
      <c r="A219" s="93"/>
      <c r="B219" s="93"/>
      <c r="C219" s="93"/>
      <c r="D219" s="94"/>
      <c r="E219" s="95"/>
      <c r="F219" s="93"/>
      <c r="G219" s="93"/>
      <c r="H219" s="93"/>
      <c r="I219" s="93"/>
      <c r="J219" s="94"/>
      <c r="K219" s="94"/>
      <c r="L219" s="94"/>
      <c r="M219" s="94"/>
      <c r="N219" s="95"/>
    </row>
    <row r="220">
      <c r="A220" s="93"/>
      <c r="B220" s="93"/>
      <c r="C220" s="93"/>
      <c r="D220" s="94"/>
      <c r="E220" s="95"/>
      <c r="F220" s="93"/>
      <c r="G220" s="93"/>
      <c r="H220" s="93"/>
      <c r="I220" s="93"/>
      <c r="J220" s="94"/>
      <c r="K220" s="94"/>
      <c r="L220" s="94"/>
      <c r="M220" s="94"/>
      <c r="N220" s="95"/>
    </row>
    <row r="221">
      <c r="A221" s="93"/>
      <c r="B221" s="93"/>
      <c r="C221" s="93"/>
      <c r="D221" s="94"/>
      <c r="E221" s="95"/>
      <c r="F221" s="93"/>
      <c r="G221" s="93"/>
      <c r="H221" s="93"/>
      <c r="I221" s="93"/>
      <c r="J221" s="94"/>
      <c r="K221" s="94"/>
      <c r="L221" s="94"/>
      <c r="M221" s="94"/>
      <c r="N221" s="95"/>
    </row>
    <row r="222">
      <c r="A222" s="93"/>
      <c r="B222" s="93"/>
      <c r="C222" s="93"/>
      <c r="D222" s="94"/>
      <c r="E222" s="95"/>
      <c r="F222" s="93"/>
      <c r="G222" s="93"/>
      <c r="H222" s="93"/>
      <c r="I222" s="93"/>
      <c r="J222" s="94"/>
      <c r="K222" s="94"/>
      <c r="L222" s="94"/>
      <c r="M222" s="94"/>
      <c r="N222" s="95"/>
    </row>
    <row r="223">
      <c r="A223" s="93"/>
      <c r="B223" s="93"/>
      <c r="C223" s="93"/>
      <c r="D223" s="94"/>
      <c r="E223" s="95"/>
      <c r="F223" s="93"/>
      <c r="G223" s="93"/>
      <c r="H223" s="93"/>
      <c r="I223" s="93"/>
      <c r="J223" s="94"/>
      <c r="K223" s="94"/>
      <c r="L223" s="94"/>
      <c r="M223" s="94"/>
      <c r="N223" s="95"/>
    </row>
    <row r="224">
      <c r="A224" s="93"/>
      <c r="B224" s="93"/>
      <c r="C224" s="93"/>
      <c r="D224" s="94"/>
      <c r="E224" s="95"/>
      <c r="F224" s="93"/>
      <c r="G224" s="93"/>
      <c r="H224" s="93"/>
      <c r="I224" s="93"/>
      <c r="J224" s="94"/>
      <c r="K224" s="94"/>
      <c r="L224" s="94"/>
      <c r="M224" s="94"/>
      <c r="N224" s="95"/>
    </row>
    <row r="225">
      <c r="A225" s="93"/>
      <c r="B225" s="93"/>
      <c r="C225" s="93"/>
      <c r="D225" s="94"/>
      <c r="E225" s="95"/>
      <c r="F225" s="93"/>
      <c r="G225" s="93"/>
      <c r="H225" s="93"/>
      <c r="I225" s="93"/>
      <c r="J225" s="94"/>
      <c r="K225" s="94"/>
      <c r="L225" s="94"/>
      <c r="M225" s="94"/>
      <c r="N225" s="95"/>
    </row>
    <row r="226">
      <c r="A226" s="93"/>
      <c r="B226" s="93"/>
      <c r="C226" s="93"/>
      <c r="D226" s="94"/>
      <c r="E226" s="95"/>
      <c r="F226" s="93"/>
      <c r="G226" s="93"/>
      <c r="H226" s="93"/>
      <c r="I226" s="93"/>
      <c r="J226" s="94"/>
      <c r="K226" s="94"/>
      <c r="L226" s="94"/>
      <c r="M226" s="94"/>
      <c r="N226" s="95"/>
    </row>
    <row r="227">
      <c r="A227" s="93"/>
      <c r="B227" s="93"/>
      <c r="C227" s="93"/>
      <c r="D227" s="94"/>
      <c r="E227" s="95"/>
      <c r="F227" s="93"/>
      <c r="G227" s="93"/>
      <c r="H227" s="93"/>
      <c r="I227" s="93"/>
      <c r="J227" s="94"/>
      <c r="K227" s="94"/>
      <c r="L227" s="94"/>
      <c r="M227" s="94"/>
      <c r="N227" s="95"/>
    </row>
    <row r="228">
      <c r="A228" s="93"/>
      <c r="B228" s="93"/>
      <c r="C228" s="93"/>
      <c r="D228" s="94"/>
      <c r="E228" s="95"/>
      <c r="F228" s="93"/>
      <c r="G228" s="93"/>
      <c r="H228" s="93"/>
      <c r="I228" s="93"/>
      <c r="J228" s="94"/>
      <c r="K228" s="94"/>
      <c r="L228" s="94"/>
      <c r="M228" s="94"/>
      <c r="N228" s="95"/>
    </row>
    <row r="229">
      <c r="A229" s="93"/>
      <c r="B229" s="93"/>
      <c r="C229" s="93"/>
      <c r="D229" s="94"/>
      <c r="E229" s="95"/>
      <c r="F229" s="93"/>
      <c r="G229" s="93"/>
      <c r="H229" s="93"/>
      <c r="I229" s="93"/>
      <c r="J229" s="94"/>
      <c r="K229" s="94"/>
      <c r="L229" s="94"/>
      <c r="M229" s="94"/>
      <c r="N229" s="95"/>
    </row>
    <row r="230">
      <c r="A230" s="93"/>
      <c r="B230" s="93"/>
      <c r="C230" s="93"/>
      <c r="D230" s="94"/>
      <c r="E230" s="95"/>
      <c r="F230" s="93"/>
      <c r="G230" s="93"/>
      <c r="H230" s="93"/>
      <c r="I230" s="93"/>
      <c r="J230" s="94"/>
      <c r="K230" s="94"/>
      <c r="L230" s="94"/>
      <c r="M230" s="94"/>
      <c r="N230" s="95"/>
    </row>
    <row r="231">
      <c r="A231" s="93"/>
      <c r="B231" s="93"/>
      <c r="C231" s="93"/>
      <c r="D231" s="94"/>
      <c r="E231" s="95"/>
      <c r="F231" s="93"/>
      <c r="G231" s="93"/>
      <c r="H231" s="93"/>
      <c r="I231" s="93"/>
      <c r="J231" s="94"/>
      <c r="K231" s="94"/>
      <c r="L231" s="94"/>
      <c r="M231" s="94"/>
      <c r="N231" s="95"/>
    </row>
    <row r="232">
      <c r="A232" s="93"/>
      <c r="B232" s="93"/>
      <c r="C232" s="93"/>
      <c r="D232" s="94"/>
      <c r="E232" s="95"/>
      <c r="F232" s="93"/>
      <c r="G232" s="93"/>
      <c r="H232" s="93"/>
      <c r="I232" s="93"/>
      <c r="J232" s="94"/>
      <c r="K232" s="94"/>
      <c r="L232" s="94"/>
      <c r="M232" s="94"/>
      <c r="N232" s="95"/>
    </row>
    <row r="233">
      <c r="A233" s="93"/>
      <c r="B233" s="93"/>
      <c r="C233" s="93"/>
      <c r="D233" s="94"/>
      <c r="E233" s="95"/>
      <c r="F233" s="93"/>
      <c r="G233" s="93"/>
      <c r="H233" s="93"/>
      <c r="I233" s="93"/>
      <c r="J233" s="94"/>
      <c r="K233" s="94"/>
      <c r="L233" s="94"/>
      <c r="M233" s="94"/>
      <c r="N233" s="95"/>
    </row>
    <row r="234">
      <c r="A234" s="93"/>
      <c r="B234" s="93"/>
      <c r="C234" s="93"/>
      <c r="D234" s="94"/>
      <c r="E234" s="95"/>
      <c r="F234" s="93"/>
      <c r="G234" s="93"/>
      <c r="H234" s="93"/>
      <c r="I234" s="93"/>
      <c r="J234" s="94"/>
      <c r="K234" s="94"/>
      <c r="L234" s="94"/>
      <c r="M234" s="94"/>
      <c r="N234" s="95"/>
    </row>
    <row r="235">
      <c r="A235" s="93"/>
      <c r="B235" s="93"/>
      <c r="C235" s="93"/>
      <c r="D235" s="94"/>
      <c r="E235" s="95"/>
      <c r="F235" s="93"/>
      <c r="G235" s="93"/>
      <c r="H235" s="93"/>
      <c r="I235" s="93"/>
      <c r="J235" s="94"/>
      <c r="K235" s="94"/>
      <c r="L235" s="94"/>
      <c r="M235" s="94"/>
      <c r="N235" s="95"/>
    </row>
    <row r="236">
      <c r="A236" s="93"/>
      <c r="B236" s="93"/>
      <c r="C236" s="93"/>
      <c r="D236" s="94"/>
      <c r="E236" s="95"/>
      <c r="F236" s="93"/>
      <c r="G236" s="93"/>
      <c r="H236" s="93"/>
      <c r="I236" s="93"/>
      <c r="J236" s="94"/>
      <c r="K236" s="94"/>
      <c r="L236" s="94"/>
      <c r="M236" s="94"/>
      <c r="N236" s="95"/>
    </row>
    <row r="237">
      <c r="A237" s="93"/>
      <c r="B237" s="93"/>
      <c r="C237" s="93"/>
      <c r="D237" s="94"/>
      <c r="E237" s="95"/>
      <c r="F237" s="93"/>
      <c r="G237" s="93"/>
      <c r="H237" s="93"/>
      <c r="I237" s="93"/>
      <c r="J237" s="94"/>
      <c r="K237" s="94"/>
      <c r="L237" s="94"/>
      <c r="M237" s="94"/>
      <c r="N237" s="95"/>
    </row>
    <row r="238">
      <c r="A238" s="93"/>
      <c r="B238" s="93"/>
      <c r="C238" s="93"/>
      <c r="D238" s="94"/>
      <c r="E238" s="95"/>
      <c r="F238" s="93"/>
      <c r="G238" s="93"/>
      <c r="H238" s="93"/>
      <c r="I238" s="93"/>
      <c r="J238" s="94"/>
      <c r="K238" s="94"/>
      <c r="L238" s="94"/>
      <c r="M238" s="94"/>
      <c r="N238" s="95"/>
    </row>
    <row r="239">
      <c r="A239" s="93"/>
      <c r="B239" s="93"/>
      <c r="C239" s="93"/>
      <c r="D239" s="94"/>
      <c r="E239" s="95"/>
      <c r="F239" s="93"/>
      <c r="G239" s="93"/>
      <c r="H239" s="93"/>
      <c r="I239" s="93"/>
      <c r="J239" s="94"/>
      <c r="K239" s="94"/>
      <c r="L239" s="94"/>
      <c r="M239" s="94"/>
      <c r="N239" s="95"/>
    </row>
    <row r="240">
      <c r="A240" s="93"/>
      <c r="B240" s="93"/>
      <c r="C240" s="93"/>
      <c r="D240" s="94"/>
      <c r="E240" s="95"/>
      <c r="F240" s="93"/>
      <c r="G240" s="93"/>
      <c r="H240" s="93"/>
      <c r="I240" s="93"/>
      <c r="J240" s="94"/>
      <c r="K240" s="94"/>
      <c r="L240" s="94"/>
      <c r="M240" s="94"/>
      <c r="N240" s="95"/>
    </row>
    <row r="241">
      <c r="A241" s="93"/>
      <c r="B241" s="93"/>
      <c r="C241" s="93"/>
      <c r="D241" s="94"/>
      <c r="E241" s="95"/>
      <c r="F241" s="93"/>
      <c r="G241" s="93"/>
      <c r="H241" s="93"/>
      <c r="I241" s="93"/>
      <c r="J241" s="94"/>
      <c r="K241" s="94"/>
      <c r="L241" s="94"/>
      <c r="M241" s="94"/>
      <c r="N241" s="95"/>
    </row>
    <row r="242">
      <c r="A242" s="93"/>
      <c r="B242" s="93"/>
      <c r="C242" s="93"/>
      <c r="D242" s="94"/>
      <c r="E242" s="95"/>
      <c r="F242" s="93"/>
      <c r="G242" s="93"/>
      <c r="H242" s="93"/>
      <c r="I242" s="93"/>
      <c r="J242" s="94"/>
      <c r="K242" s="94"/>
      <c r="L242" s="94"/>
      <c r="M242" s="94"/>
      <c r="N242" s="95"/>
    </row>
    <row r="243">
      <c r="A243" s="93"/>
      <c r="B243" s="93"/>
      <c r="C243" s="93"/>
      <c r="D243" s="94"/>
      <c r="E243" s="95"/>
      <c r="F243" s="93"/>
      <c r="G243" s="93"/>
      <c r="H243" s="93"/>
      <c r="I243" s="93"/>
      <c r="J243" s="94"/>
      <c r="K243" s="94"/>
      <c r="L243" s="94"/>
      <c r="M243" s="94"/>
      <c r="N243" s="95"/>
    </row>
    <row r="244">
      <c r="A244" s="93"/>
      <c r="B244" s="93"/>
      <c r="C244" s="93"/>
      <c r="D244" s="94"/>
      <c r="E244" s="95"/>
      <c r="F244" s="93"/>
      <c r="G244" s="93"/>
      <c r="H244" s="93"/>
      <c r="I244" s="93"/>
      <c r="J244" s="94"/>
      <c r="K244" s="94"/>
      <c r="L244" s="94"/>
      <c r="M244" s="94"/>
      <c r="N244" s="95"/>
    </row>
    <row r="245">
      <c r="A245" s="93"/>
      <c r="B245" s="93"/>
      <c r="C245" s="93"/>
      <c r="D245" s="94"/>
      <c r="E245" s="95"/>
      <c r="F245" s="93"/>
      <c r="G245" s="93"/>
      <c r="H245" s="93"/>
      <c r="I245" s="93"/>
      <c r="J245" s="94"/>
      <c r="K245" s="94"/>
      <c r="L245" s="94"/>
      <c r="M245" s="94"/>
      <c r="N245" s="95"/>
    </row>
    <row r="246">
      <c r="A246" s="93"/>
      <c r="B246" s="93"/>
      <c r="C246" s="93"/>
      <c r="D246" s="94"/>
      <c r="E246" s="95"/>
      <c r="F246" s="93"/>
      <c r="G246" s="93"/>
      <c r="H246" s="93"/>
      <c r="I246" s="93"/>
      <c r="J246" s="94"/>
      <c r="K246" s="94"/>
      <c r="L246" s="94"/>
      <c r="M246" s="94"/>
      <c r="N246" s="95"/>
    </row>
    <row r="247">
      <c r="A247" s="93"/>
      <c r="B247" s="93"/>
      <c r="C247" s="93"/>
      <c r="D247" s="94"/>
      <c r="E247" s="95"/>
      <c r="F247" s="93"/>
      <c r="G247" s="93"/>
      <c r="H247" s="93"/>
      <c r="I247" s="93"/>
      <c r="J247" s="94"/>
      <c r="K247" s="94"/>
      <c r="L247" s="94"/>
      <c r="M247" s="94"/>
      <c r="N247" s="95"/>
    </row>
    <row r="248">
      <c r="A248" s="93"/>
      <c r="B248" s="93"/>
      <c r="C248" s="93"/>
      <c r="D248" s="94"/>
      <c r="E248" s="95"/>
      <c r="F248" s="93"/>
      <c r="G248" s="93"/>
      <c r="H248" s="93"/>
      <c r="I248" s="93"/>
      <c r="J248" s="94"/>
      <c r="K248" s="94"/>
      <c r="L248" s="94"/>
      <c r="M248" s="94"/>
      <c r="N248" s="95"/>
    </row>
    <row r="249">
      <c r="A249" s="93"/>
      <c r="B249" s="93"/>
      <c r="C249" s="93"/>
      <c r="D249" s="94"/>
      <c r="E249" s="95"/>
      <c r="F249" s="93"/>
      <c r="G249" s="93"/>
      <c r="H249" s="93"/>
      <c r="I249" s="93"/>
      <c r="J249" s="94"/>
      <c r="K249" s="94"/>
      <c r="L249" s="94"/>
      <c r="M249" s="94"/>
      <c r="N249" s="95"/>
    </row>
    <row r="250">
      <c r="A250" s="93"/>
      <c r="B250" s="93"/>
      <c r="C250" s="93"/>
      <c r="D250" s="94"/>
      <c r="E250" s="95"/>
      <c r="F250" s="93"/>
      <c r="G250" s="93"/>
      <c r="H250" s="93"/>
      <c r="I250" s="93"/>
      <c r="J250" s="94"/>
      <c r="K250" s="94"/>
      <c r="L250" s="94"/>
      <c r="M250" s="94"/>
      <c r="N250" s="95"/>
    </row>
    <row r="251">
      <c r="A251" s="93"/>
      <c r="B251" s="93"/>
      <c r="C251" s="93"/>
      <c r="D251" s="94"/>
      <c r="E251" s="95"/>
      <c r="F251" s="93"/>
      <c r="G251" s="93"/>
      <c r="H251" s="93"/>
      <c r="I251" s="93"/>
      <c r="J251" s="94"/>
      <c r="K251" s="94"/>
      <c r="L251" s="94"/>
      <c r="M251" s="94"/>
      <c r="N251" s="95"/>
    </row>
    <row r="252">
      <c r="A252" s="93"/>
      <c r="B252" s="93"/>
      <c r="C252" s="93"/>
      <c r="D252" s="94"/>
      <c r="E252" s="95"/>
      <c r="F252" s="93"/>
      <c r="G252" s="93"/>
      <c r="H252" s="93"/>
      <c r="I252" s="93"/>
      <c r="J252" s="94"/>
      <c r="K252" s="94"/>
      <c r="L252" s="94"/>
      <c r="M252" s="94"/>
      <c r="N252" s="95"/>
    </row>
    <row r="253">
      <c r="A253" s="93"/>
      <c r="B253" s="93"/>
      <c r="C253" s="93"/>
      <c r="D253" s="94"/>
      <c r="E253" s="95"/>
      <c r="F253" s="93"/>
      <c r="G253" s="93"/>
      <c r="H253" s="93"/>
      <c r="I253" s="93"/>
      <c r="J253" s="94"/>
      <c r="K253" s="94"/>
      <c r="L253" s="94"/>
      <c r="M253" s="94"/>
      <c r="N253" s="95"/>
    </row>
    <row r="254">
      <c r="A254" s="93"/>
      <c r="B254" s="93"/>
      <c r="C254" s="93"/>
      <c r="D254" s="94"/>
      <c r="E254" s="95"/>
      <c r="F254" s="93"/>
      <c r="G254" s="93"/>
      <c r="H254" s="93"/>
      <c r="I254" s="93"/>
      <c r="J254" s="94"/>
      <c r="K254" s="94"/>
      <c r="L254" s="94"/>
      <c r="M254" s="94"/>
      <c r="N254" s="95"/>
    </row>
    <row r="255">
      <c r="A255" s="93"/>
      <c r="B255" s="93"/>
      <c r="C255" s="93"/>
      <c r="D255" s="94"/>
      <c r="E255" s="95"/>
      <c r="F255" s="93"/>
      <c r="G255" s="93"/>
      <c r="H255" s="93"/>
      <c r="I255" s="93"/>
      <c r="J255" s="94"/>
      <c r="K255" s="94"/>
      <c r="L255" s="94"/>
      <c r="M255" s="94"/>
      <c r="N255" s="95"/>
    </row>
    <row r="256">
      <c r="A256" s="93"/>
      <c r="B256" s="93"/>
      <c r="C256" s="93"/>
      <c r="D256" s="94"/>
      <c r="E256" s="95"/>
      <c r="F256" s="93"/>
      <c r="G256" s="93"/>
      <c r="H256" s="93"/>
      <c r="I256" s="93"/>
      <c r="J256" s="94"/>
      <c r="K256" s="94"/>
      <c r="L256" s="94"/>
      <c r="M256" s="94"/>
      <c r="N256" s="95"/>
    </row>
    <row r="257">
      <c r="A257" s="93"/>
      <c r="B257" s="93"/>
      <c r="C257" s="93"/>
      <c r="D257" s="94"/>
      <c r="E257" s="95"/>
      <c r="F257" s="93"/>
      <c r="G257" s="93"/>
      <c r="H257" s="93"/>
      <c r="I257" s="93"/>
      <c r="J257" s="94"/>
      <c r="K257" s="94"/>
      <c r="L257" s="94"/>
      <c r="M257" s="94"/>
      <c r="N257" s="95"/>
    </row>
    <row r="258">
      <c r="A258" s="93"/>
      <c r="B258" s="93"/>
      <c r="C258" s="93"/>
      <c r="D258" s="94"/>
      <c r="E258" s="95"/>
      <c r="F258" s="93"/>
      <c r="G258" s="93"/>
      <c r="H258" s="93"/>
      <c r="I258" s="93"/>
      <c r="J258" s="94"/>
      <c r="K258" s="94"/>
      <c r="L258" s="94"/>
      <c r="M258" s="94"/>
      <c r="N258" s="95"/>
    </row>
    <row r="259">
      <c r="A259" s="93"/>
      <c r="B259" s="93"/>
      <c r="C259" s="93"/>
      <c r="D259" s="94"/>
      <c r="E259" s="95"/>
      <c r="F259" s="93"/>
      <c r="G259" s="93"/>
      <c r="H259" s="93"/>
      <c r="I259" s="93"/>
      <c r="J259" s="94"/>
      <c r="K259" s="94"/>
      <c r="L259" s="94"/>
      <c r="M259" s="94"/>
      <c r="N259" s="95"/>
    </row>
    <row r="260">
      <c r="A260" s="93"/>
      <c r="B260" s="93"/>
      <c r="C260" s="93"/>
      <c r="D260" s="94"/>
      <c r="E260" s="95"/>
      <c r="F260" s="93"/>
      <c r="G260" s="93"/>
      <c r="H260" s="93"/>
      <c r="I260" s="93"/>
      <c r="J260" s="94"/>
      <c r="K260" s="94"/>
      <c r="L260" s="94"/>
      <c r="M260" s="94"/>
      <c r="N260" s="95"/>
    </row>
    <row r="261">
      <c r="A261" s="93"/>
      <c r="B261" s="93"/>
      <c r="C261" s="93"/>
      <c r="D261" s="94"/>
      <c r="E261" s="95"/>
      <c r="F261" s="93"/>
      <c r="G261" s="93"/>
      <c r="H261" s="93"/>
      <c r="I261" s="93"/>
      <c r="J261" s="94"/>
      <c r="K261" s="94"/>
      <c r="L261" s="94"/>
      <c r="M261" s="94"/>
      <c r="N261" s="95"/>
    </row>
    <row r="262">
      <c r="A262" s="93"/>
      <c r="B262" s="93"/>
      <c r="C262" s="93"/>
      <c r="D262" s="94"/>
      <c r="E262" s="95"/>
      <c r="F262" s="93"/>
      <c r="G262" s="93"/>
      <c r="H262" s="93"/>
      <c r="I262" s="93"/>
      <c r="J262" s="94"/>
      <c r="K262" s="94"/>
      <c r="L262" s="94"/>
      <c r="M262" s="94"/>
      <c r="N262" s="95"/>
    </row>
    <row r="263">
      <c r="A263" s="93"/>
      <c r="B263" s="93"/>
      <c r="C263" s="93"/>
      <c r="D263" s="94"/>
      <c r="E263" s="95"/>
      <c r="F263" s="93"/>
      <c r="G263" s="93"/>
      <c r="H263" s="93"/>
      <c r="I263" s="93"/>
      <c r="J263" s="94"/>
      <c r="K263" s="94"/>
      <c r="L263" s="94"/>
      <c r="M263" s="94"/>
      <c r="N263" s="95"/>
    </row>
    <row r="264">
      <c r="A264" s="93"/>
      <c r="B264" s="93"/>
      <c r="C264" s="93"/>
      <c r="D264" s="94"/>
      <c r="E264" s="95"/>
      <c r="F264" s="93"/>
      <c r="G264" s="93"/>
      <c r="H264" s="93"/>
      <c r="I264" s="93"/>
      <c r="J264" s="94"/>
      <c r="K264" s="94"/>
      <c r="L264" s="94"/>
      <c r="M264" s="94"/>
      <c r="N264" s="95"/>
    </row>
    <row r="265">
      <c r="A265" s="93"/>
      <c r="B265" s="93"/>
      <c r="C265" s="93"/>
      <c r="D265" s="94"/>
      <c r="E265" s="95"/>
      <c r="F265" s="93"/>
      <c r="G265" s="93"/>
      <c r="H265" s="93"/>
      <c r="I265" s="93"/>
      <c r="J265" s="94"/>
      <c r="K265" s="94"/>
      <c r="L265" s="94"/>
      <c r="M265" s="94"/>
      <c r="N265" s="95"/>
    </row>
    <row r="266">
      <c r="A266" s="93"/>
      <c r="B266" s="93"/>
      <c r="C266" s="93"/>
      <c r="D266" s="94"/>
      <c r="E266" s="95"/>
      <c r="F266" s="93"/>
      <c r="G266" s="93"/>
      <c r="H266" s="93"/>
      <c r="I266" s="93"/>
      <c r="J266" s="94"/>
      <c r="K266" s="94"/>
      <c r="L266" s="94"/>
      <c r="M266" s="94"/>
      <c r="N266" s="95"/>
    </row>
    <row r="267">
      <c r="A267" s="93"/>
      <c r="B267" s="93"/>
      <c r="C267" s="93"/>
      <c r="D267" s="94"/>
      <c r="E267" s="95"/>
      <c r="F267" s="93"/>
      <c r="G267" s="93"/>
      <c r="H267" s="93"/>
      <c r="I267" s="93"/>
      <c r="J267" s="94"/>
      <c r="K267" s="94"/>
      <c r="L267" s="94"/>
      <c r="M267" s="94"/>
      <c r="N267" s="95"/>
    </row>
    <row r="268">
      <c r="A268" s="93"/>
      <c r="B268" s="93"/>
      <c r="C268" s="93"/>
      <c r="D268" s="94"/>
      <c r="E268" s="95"/>
      <c r="F268" s="93"/>
      <c r="G268" s="93"/>
      <c r="H268" s="93"/>
      <c r="I268" s="93"/>
      <c r="J268" s="94"/>
      <c r="K268" s="94"/>
      <c r="L268" s="94"/>
      <c r="M268" s="94"/>
      <c r="N268" s="95"/>
    </row>
    <row r="269">
      <c r="A269" s="93"/>
      <c r="B269" s="93"/>
      <c r="C269" s="93"/>
      <c r="D269" s="94"/>
      <c r="E269" s="95"/>
      <c r="F269" s="93"/>
      <c r="G269" s="93"/>
      <c r="H269" s="93"/>
      <c r="I269" s="93"/>
      <c r="J269" s="94"/>
      <c r="K269" s="94"/>
      <c r="L269" s="94"/>
      <c r="M269" s="94"/>
      <c r="N269" s="95"/>
    </row>
    <row r="270">
      <c r="A270" s="93"/>
      <c r="B270" s="93"/>
      <c r="C270" s="93"/>
      <c r="D270" s="94"/>
      <c r="E270" s="95"/>
      <c r="F270" s="93"/>
      <c r="G270" s="93"/>
      <c r="H270" s="93"/>
      <c r="I270" s="93"/>
      <c r="J270" s="94"/>
      <c r="K270" s="94"/>
      <c r="L270" s="94"/>
      <c r="M270" s="94"/>
      <c r="N270" s="95"/>
    </row>
    <row r="271">
      <c r="A271" s="93"/>
      <c r="B271" s="93"/>
      <c r="C271" s="93"/>
      <c r="D271" s="94"/>
      <c r="E271" s="95"/>
      <c r="F271" s="93"/>
      <c r="G271" s="93"/>
      <c r="H271" s="93"/>
      <c r="I271" s="93"/>
      <c r="J271" s="94"/>
      <c r="K271" s="94"/>
      <c r="L271" s="94"/>
      <c r="M271" s="94"/>
      <c r="N271" s="95"/>
    </row>
    <row r="272">
      <c r="A272" s="93"/>
      <c r="B272" s="93"/>
      <c r="C272" s="93"/>
      <c r="D272" s="94"/>
      <c r="E272" s="95"/>
      <c r="F272" s="93"/>
      <c r="G272" s="93"/>
      <c r="H272" s="93"/>
      <c r="I272" s="93"/>
      <c r="J272" s="94"/>
      <c r="K272" s="94"/>
      <c r="L272" s="94"/>
      <c r="M272" s="94"/>
      <c r="N272" s="95"/>
    </row>
    <row r="273">
      <c r="A273" s="93"/>
      <c r="B273" s="93"/>
      <c r="C273" s="93"/>
      <c r="D273" s="94"/>
      <c r="E273" s="95"/>
      <c r="F273" s="93"/>
      <c r="G273" s="93"/>
      <c r="H273" s="93"/>
      <c r="I273" s="93"/>
      <c r="J273" s="94"/>
      <c r="K273" s="94"/>
      <c r="L273" s="94"/>
      <c r="M273" s="94"/>
      <c r="N273" s="95"/>
    </row>
    <row r="274">
      <c r="A274" s="93"/>
      <c r="B274" s="93"/>
      <c r="C274" s="93"/>
      <c r="D274" s="94"/>
      <c r="E274" s="95"/>
      <c r="F274" s="93"/>
      <c r="G274" s="93"/>
      <c r="H274" s="93"/>
      <c r="I274" s="93"/>
      <c r="J274" s="94"/>
      <c r="K274" s="94"/>
      <c r="L274" s="94"/>
      <c r="M274" s="94"/>
      <c r="N274" s="95"/>
    </row>
    <row r="275">
      <c r="A275" s="93"/>
      <c r="B275" s="93"/>
      <c r="C275" s="93"/>
      <c r="D275" s="94"/>
      <c r="E275" s="95"/>
      <c r="F275" s="93"/>
      <c r="G275" s="93"/>
      <c r="H275" s="93"/>
      <c r="I275" s="93"/>
      <c r="J275" s="94"/>
      <c r="K275" s="94"/>
      <c r="L275" s="94"/>
      <c r="M275" s="94"/>
      <c r="N275" s="95"/>
    </row>
    <row r="276">
      <c r="A276" s="93"/>
      <c r="B276" s="93"/>
      <c r="C276" s="93"/>
      <c r="D276" s="94"/>
      <c r="E276" s="95"/>
      <c r="F276" s="93"/>
      <c r="G276" s="93"/>
      <c r="H276" s="93"/>
      <c r="I276" s="93"/>
      <c r="J276" s="94"/>
      <c r="K276" s="94"/>
      <c r="L276" s="94"/>
      <c r="M276" s="94"/>
      <c r="N276" s="95"/>
    </row>
    <row r="277">
      <c r="A277" s="93"/>
      <c r="B277" s="93"/>
      <c r="C277" s="93"/>
      <c r="D277" s="94"/>
      <c r="E277" s="95"/>
      <c r="F277" s="93"/>
      <c r="G277" s="93"/>
      <c r="H277" s="93"/>
      <c r="I277" s="93"/>
      <c r="J277" s="94"/>
      <c r="K277" s="94"/>
      <c r="L277" s="94"/>
      <c r="M277" s="94"/>
      <c r="N277" s="95"/>
    </row>
    <row r="278">
      <c r="A278" s="93"/>
      <c r="B278" s="93"/>
      <c r="C278" s="93"/>
      <c r="D278" s="94"/>
      <c r="E278" s="95"/>
      <c r="F278" s="93"/>
      <c r="G278" s="93"/>
      <c r="H278" s="93"/>
      <c r="I278" s="93"/>
      <c r="J278" s="94"/>
      <c r="K278" s="94"/>
      <c r="L278" s="94"/>
      <c r="M278" s="94"/>
      <c r="N278" s="95"/>
    </row>
    <row r="279">
      <c r="A279" s="93"/>
      <c r="B279" s="93"/>
      <c r="C279" s="93"/>
      <c r="D279" s="94"/>
      <c r="E279" s="95"/>
      <c r="F279" s="93"/>
      <c r="G279" s="93"/>
      <c r="H279" s="93"/>
      <c r="I279" s="93"/>
      <c r="J279" s="94"/>
      <c r="K279" s="94"/>
      <c r="L279" s="94"/>
      <c r="M279" s="94"/>
      <c r="N279" s="95"/>
    </row>
    <row r="280">
      <c r="A280" s="93"/>
      <c r="B280" s="93"/>
      <c r="C280" s="93"/>
      <c r="D280" s="94"/>
      <c r="E280" s="95"/>
      <c r="F280" s="93"/>
      <c r="G280" s="93"/>
      <c r="H280" s="93"/>
      <c r="I280" s="93"/>
      <c r="J280" s="94"/>
      <c r="K280" s="94"/>
      <c r="L280" s="94"/>
      <c r="M280" s="94"/>
      <c r="N280" s="95"/>
    </row>
    <row r="281">
      <c r="A281" s="93"/>
      <c r="B281" s="93"/>
      <c r="C281" s="93"/>
      <c r="D281" s="94"/>
      <c r="E281" s="95"/>
      <c r="F281" s="93"/>
      <c r="G281" s="93"/>
      <c r="H281" s="93"/>
      <c r="I281" s="93"/>
      <c r="J281" s="94"/>
      <c r="K281" s="94"/>
      <c r="L281" s="94"/>
      <c r="M281" s="94"/>
      <c r="N281" s="95"/>
    </row>
    <row r="282">
      <c r="A282" s="93"/>
      <c r="B282" s="93"/>
      <c r="C282" s="93"/>
      <c r="D282" s="94"/>
      <c r="E282" s="95"/>
      <c r="F282" s="93"/>
      <c r="G282" s="93"/>
      <c r="H282" s="93"/>
      <c r="I282" s="93"/>
      <c r="J282" s="94"/>
      <c r="K282" s="94"/>
      <c r="L282" s="94"/>
      <c r="M282" s="94"/>
      <c r="N282" s="95"/>
    </row>
    <row r="283">
      <c r="A283" s="93"/>
      <c r="B283" s="93"/>
      <c r="C283" s="93"/>
      <c r="D283" s="94"/>
      <c r="E283" s="95"/>
      <c r="F283" s="93"/>
      <c r="G283" s="93"/>
      <c r="H283" s="93"/>
      <c r="I283" s="93"/>
      <c r="J283" s="94"/>
      <c r="K283" s="94"/>
      <c r="L283" s="94"/>
      <c r="M283" s="94"/>
      <c r="N283" s="95"/>
    </row>
    <row r="284">
      <c r="A284" s="93"/>
      <c r="B284" s="93"/>
      <c r="C284" s="93"/>
      <c r="D284" s="94"/>
      <c r="E284" s="95"/>
      <c r="F284" s="93"/>
      <c r="G284" s="93"/>
      <c r="H284" s="93"/>
      <c r="I284" s="93"/>
      <c r="J284" s="94"/>
      <c r="K284" s="94"/>
      <c r="L284" s="94"/>
      <c r="M284" s="94"/>
      <c r="N284" s="95"/>
    </row>
    <row r="285">
      <c r="A285" s="93"/>
      <c r="B285" s="93"/>
      <c r="C285" s="93"/>
      <c r="D285" s="94"/>
      <c r="E285" s="95"/>
      <c r="F285" s="93"/>
      <c r="G285" s="93"/>
      <c r="H285" s="93"/>
      <c r="I285" s="93"/>
      <c r="J285" s="94"/>
      <c r="K285" s="94"/>
      <c r="L285" s="94"/>
      <c r="M285" s="94"/>
      <c r="N285" s="95"/>
    </row>
    <row r="286">
      <c r="A286" s="93"/>
      <c r="B286" s="93"/>
      <c r="C286" s="93"/>
      <c r="D286" s="94"/>
      <c r="E286" s="95"/>
      <c r="F286" s="93"/>
      <c r="G286" s="93"/>
      <c r="H286" s="93"/>
      <c r="I286" s="93"/>
      <c r="J286" s="94"/>
      <c r="K286" s="94"/>
      <c r="L286" s="94"/>
      <c r="M286" s="94"/>
      <c r="N286" s="95"/>
    </row>
    <row r="287">
      <c r="A287" s="93"/>
      <c r="B287" s="93"/>
      <c r="C287" s="93"/>
      <c r="D287" s="94"/>
      <c r="E287" s="95"/>
      <c r="F287" s="93"/>
      <c r="G287" s="93"/>
      <c r="H287" s="93"/>
      <c r="I287" s="93"/>
      <c r="J287" s="94"/>
      <c r="K287" s="94"/>
      <c r="L287" s="94"/>
      <c r="M287" s="94"/>
      <c r="N287" s="95"/>
    </row>
    <row r="288">
      <c r="A288" s="93"/>
      <c r="B288" s="93"/>
      <c r="C288" s="93"/>
      <c r="D288" s="94"/>
      <c r="E288" s="95"/>
      <c r="F288" s="93"/>
      <c r="G288" s="93"/>
      <c r="H288" s="93"/>
      <c r="I288" s="93"/>
      <c r="J288" s="94"/>
      <c r="K288" s="94"/>
      <c r="L288" s="94"/>
      <c r="M288" s="94"/>
      <c r="N288" s="95"/>
    </row>
    <row r="289">
      <c r="A289" s="93"/>
      <c r="B289" s="93"/>
      <c r="C289" s="93"/>
      <c r="D289" s="94"/>
      <c r="E289" s="95"/>
      <c r="F289" s="93"/>
      <c r="G289" s="93"/>
      <c r="H289" s="93"/>
      <c r="I289" s="93"/>
      <c r="J289" s="94"/>
      <c r="K289" s="94"/>
      <c r="L289" s="94"/>
      <c r="M289" s="94"/>
      <c r="N289" s="95"/>
    </row>
    <row r="290">
      <c r="A290" s="93"/>
      <c r="B290" s="93"/>
      <c r="C290" s="93"/>
      <c r="D290" s="94"/>
      <c r="E290" s="95"/>
      <c r="F290" s="93"/>
      <c r="G290" s="93"/>
      <c r="H290" s="93"/>
      <c r="I290" s="93"/>
      <c r="J290" s="94"/>
      <c r="K290" s="94"/>
      <c r="L290" s="94"/>
      <c r="M290" s="94"/>
      <c r="N290" s="95"/>
    </row>
    <row r="291">
      <c r="A291" s="93"/>
      <c r="B291" s="93"/>
      <c r="C291" s="93"/>
      <c r="D291" s="94"/>
      <c r="E291" s="95"/>
      <c r="F291" s="93"/>
      <c r="G291" s="93"/>
      <c r="H291" s="93"/>
      <c r="I291" s="93"/>
      <c r="J291" s="94"/>
      <c r="K291" s="94"/>
      <c r="L291" s="94"/>
      <c r="M291" s="94"/>
      <c r="N291" s="95"/>
    </row>
    <row r="292">
      <c r="A292" s="93"/>
      <c r="B292" s="93"/>
      <c r="C292" s="93"/>
      <c r="D292" s="94"/>
      <c r="E292" s="95"/>
      <c r="F292" s="93"/>
      <c r="G292" s="93"/>
      <c r="H292" s="93"/>
      <c r="I292" s="93"/>
      <c r="J292" s="94"/>
      <c r="K292" s="94"/>
      <c r="L292" s="94"/>
      <c r="M292" s="94"/>
      <c r="N292" s="95"/>
    </row>
    <row r="293">
      <c r="A293" s="93"/>
      <c r="B293" s="93"/>
      <c r="C293" s="93"/>
      <c r="D293" s="94"/>
      <c r="E293" s="95"/>
      <c r="F293" s="93"/>
      <c r="G293" s="93"/>
      <c r="H293" s="93"/>
      <c r="I293" s="93"/>
      <c r="J293" s="94"/>
      <c r="K293" s="94"/>
      <c r="L293" s="94"/>
      <c r="M293" s="94"/>
      <c r="N293" s="95"/>
    </row>
    <row r="294">
      <c r="A294" s="93"/>
      <c r="B294" s="93"/>
      <c r="C294" s="93"/>
      <c r="D294" s="94"/>
      <c r="E294" s="95"/>
      <c r="F294" s="93"/>
      <c r="G294" s="93"/>
      <c r="H294" s="93"/>
      <c r="I294" s="93"/>
      <c r="J294" s="94"/>
      <c r="K294" s="94"/>
      <c r="L294" s="94"/>
      <c r="M294" s="94"/>
      <c r="N294" s="95"/>
    </row>
    <row r="295">
      <c r="A295" s="93"/>
      <c r="B295" s="93"/>
      <c r="C295" s="93"/>
      <c r="D295" s="94"/>
      <c r="E295" s="95"/>
      <c r="F295" s="93"/>
      <c r="G295" s="93"/>
      <c r="H295" s="93"/>
      <c r="I295" s="93"/>
      <c r="J295" s="94"/>
      <c r="K295" s="94"/>
      <c r="L295" s="94"/>
      <c r="M295" s="94"/>
      <c r="N295" s="95"/>
    </row>
    <row r="296">
      <c r="A296" s="93"/>
      <c r="B296" s="93"/>
      <c r="C296" s="93"/>
      <c r="D296" s="94"/>
      <c r="E296" s="95"/>
      <c r="F296" s="93"/>
      <c r="G296" s="93"/>
      <c r="H296" s="93"/>
      <c r="I296" s="93"/>
      <c r="J296" s="94"/>
      <c r="K296" s="94"/>
      <c r="L296" s="94"/>
      <c r="M296" s="94"/>
      <c r="N296" s="95"/>
    </row>
    <row r="297">
      <c r="A297" s="93"/>
      <c r="B297" s="93"/>
      <c r="C297" s="93"/>
      <c r="D297" s="94"/>
      <c r="E297" s="95"/>
      <c r="F297" s="93"/>
      <c r="G297" s="93"/>
      <c r="H297" s="93"/>
      <c r="I297" s="93"/>
      <c r="J297" s="94"/>
      <c r="K297" s="94"/>
      <c r="L297" s="94"/>
      <c r="M297" s="94"/>
      <c r="N297" s="95"/>
    </row>
    <row r="298">
      <c r="A298" s="93"/>
      <c r="B298" s="93"/>
      <c r="C298" s="93"/>
      <c r="D298" s="94"/>
      <c r="E298" s="95"/>
      <c r="F298" s="93"/>
      <c r="G298" s="93"/>
      <c r="H298" s="93"/>
      <c r="I298" s="93"/>
      <c r="J298" s="94"/>
      <c r="K298" s="94"/>
      <c r="L298" s="94"/>
      <c r="M298" s="94"/>
      <c r="N298" s="95"/>
    </row>
    <row r="299">
      <c r="A299" s="93"/>
      <c r="B299" s="93"/>
      <c r="C299" s="93"/>
      <c r="D299" s="94"/>
      <c r="E299" s="95"/>
      <c r="F299" s="93"/>
      <c r="G299" s="93"/>
      <c r="H299" s="93"/>
      <c r="I299" s="93"/>
      <c r="J299" s="94"/>
      <c r="K299" s="94"/>
      <c r="L299" s="94"/>
      <c r="M299" s="94"/>
      <c r="N299" s="95"/>
    </row>
    <row r="300">
      <c r="A300" s="93"/>
      <c r="B300" s="93"/>
      <c r="C300" s="93"/>
      <c r="D300" s="94"/>
      <c r="E300" s="95"/>
      <c r="F300" s="93"/>
      <c r="G300" s="93"/>
      <c r="H300" s="93"/>
      <c r="I300" s="93"/>
      <c r="J300" s="94"/>
      <c r="K300" s="94"/>
      <c r="L300" s="94"/>
      <c r="M300" s="94"/>
      <c r="N300" s="95"/>
    </row>
    <row r="301">
      <c r="A301" s="93"/>
      <c r="B301" s="93"/>
      <c r="C301" s="93"/>
      <c r="D301" s="94"/>
      <c r="E301" s="95"/>
      <c r="F301" s="93"/>
      <c r="G301" s="93"/>
      <c r="H301" s="93"/>
      <c r="I301" s="93"/>
      <c r="J301" s="94"/>
      <c r="K301" s="94"/>
      <c r="L301" s="94"/>
      <c r="M301" s="94"/>
      <c r="N301" s="95"/>
    </row>
    <row r="302">
      <c r="A302" s="93"/>
      <c r="B302" s="93"/>
      <c r="C302" s="93"/>
      <c r="D302" s="94"/>
      <c r="E302" s="95"/>
      <c r="F302" s="93"/>
      <c r="G302" s="93"/>
      <c r="H302" s="93"/>
      <c r="I302" s="93"/>
      <c r="J302" s="94"/>
      <c r="K302" s="94"/>
      <c r="L302" s="94"/>
      <c r="M302" s="94"/>
      <c r="N302" s="95"/>
    </row>
    <row r="303">
      <c r="A303" s="93"/>
      <c r="B303" s="93"/>
      <c r="C303" s="93"/>
      <c r="D303" s="94"/>
      <c r="E303" s="95"/>
      <c r="F303" s="93"/>
      <c r="G303" s="93"/>
      <c r="H303" s="93"/>
      <c r="I303" s="93"/>
      <c r="J303" s="94"/>
      <c r="K303" s="94"/>
      <c r="L303" s="94"/>
      <c r="M303" s="94"/>
      <c r="N303" s="95"/>
    </row>
    <row r="304">
      <c r="A304" s="93"/>
      <c r="B304" s="93"/>
      <c r="C304" s="93"/>
      <c r="D304" s="94"/>
      <c r="E304" s="95"/>
      <c r="F304" s="93"/>
      <c r="G304" s="93"/>
      <c r="H304" s="93"/>
      <c r="I304" s="93"/>
      <c r="J304" s="94"/>
      <c r="K304" s="94"/>
      <c r="L304" s="94"/>
      <c r="M304" s="94"/>
      <c r="N304" s="95"/>
    </row>
    <row r="305">
      <c r="A305" s="93"/>
      <c r="B305" s="93"/>
      <c r="C305" s="93"/>
      <c r="D305" s="94"/>
      <c r="E305" s="95"/>
      <c r="F305" s="93"/>
      <c r="G305" s="93"/>
      <c r="H305" s="93"/>
      <c r="I305" s="93"/>
      <c r="J305" s="94"/>
      <c r="K305" s="94"/>
      <c r="L305" s="94"/>
      <c r="M305" s="94"/>
      <c r="N305" s="95"/>
    </row>
    <row r="306">
      <c r="A306" s="93"/>
      <c r="B306" s="93"/>
      <c r="C306" s="93"/>
      <c r="D306" s="94"/>
      <c r="E306" s="95"/>
      <c r="F306" s="93"/>
      <c r="G306" s="93"/>
      <c r="H306" s="93"/>
      <c r="I306" s="93"/>
      <c r="J306" s="94"/>
      <c r="K306" s="94"/>
      <c r="L306" s="94"/>
      <c r="M306" s="94"/>
      <c r="N306" s="95"/>
    </row>
    <row r="307">
      <c r="A307" s="93"/>
      <c r="B307" s="93"/>
      <c r="C307" s="93"/>
      <c r="D307" s="94"/>
      <c r="E307" s="95"/>
      <c r="F307" s="93"/>
      <c r="G307" s="93"/>
      <c r="H307" s="93"/>
      <c r="I307" s="93"/>
      <c r="J307" s="94"/>
      <c r="K307" s="94"/>
      <c r="L307" s="94"/>
      <c r="M307" s="94"/>
      <c r="N307" s="95"/>
    </row>
    <row r="308">
      <c r="A308" s="93"/>
      <c r="B308" s="93"/>
      <c r="C308" s="93"/>
      <c r="D308" s="94"/>
      <c r="E308" s="95"/>
      <c r="F308" s="93"/>
      <c r="G308" s="93"/>
      <c r="H308" s="93"/>
      <c r="I308" s="93"/>
      <c r="J308" s="94"/>
      <c r="K308" s="94"/>
      <c r="L308" s="94"/>
      <c r="M308" s="94"/>
      <c r="N308" s="95"/>
    </row>
    <row r="309">
      <c r="A309" s="93"/>
      <c r="B309" s="93"/>
      <c r="C309" s="93"/>
      <c r="D309" s="94"/>
      <c r="E309" s="95"/>
      <c r="F309" s="93"/>
      <c r="G309" s="93"/>
      <c r="H309" s="93"/>
      <c r="I309" s="93"/>
      <c r="J309" s="94"/>
      <c r="K309" s="94"/>
      <c r="L309" s="94"/>
      <c r="M309" s="94"/>
      <c r="N309" s="95"/>
    </row>
    <row r="310">
      <c r="A310" s="93"/>
      <c r="B310" s="93"/>
      <c r="C310" s="93"/>
      <c r="D310" s="94"/>
      <c r="E310" s="95"/>
      <c r="F310" s="93"/>
      <c r="G310" s="93"/>
      <c r="H310" s="93"/>
      <c r="I310" s="93"/>
      <c r="J310" s="94"/>
      <c r="K310" s="94"/>
      <c r="L310" s="94"/>
      <c r="M310" s="94"/>
      <c r="N310" s="95"/>
    </row>
    <row r="311">
      <c r="A311" s="93"/>
      <c r="B311" s="93"/>
      <c r="C311" s="93"/>
      <c r="D311" s="94"/>
      <c r="E311" s="95"/>
      <c r="F311" s="93"/>
      <c r="G311" s="93"/>
      <c r="H311" s="93"/>
      <c r="I311" s="93"/>
      <c r="J311" s="94"/>
      <c r="K311" s="94"/>
      <c r="L311" s="94"/>
      <c r="M311" s="94"/>
      <c r="N311" s="95"/>
    </row>
    <row r="312">
      <c r="A312" s="93"/>
      <c r="B312" s="93"/>
      <c r="C312" s="93"/>
      <c r="D312" s="94"/>
      <c r="E312" s="95"/>
      <c r="F312" s="93"/>
      <c r="G312" s="93"/>
      <c r="H312" s="93"/>
      <c r="I312" s="93"/>
      <c r="J312" s="94"/>
      <c r="K312" s="94"/>
      <c r="L312" s="94"/>
      <c r="M312" s="94"/>
      <c r="N312" s="95"/>
    </row>
    <row r="313">
      <c r="A313" s="93"/>
      <c r="B313" s="93"/>
      <c r="C313" s="93"/>
      <c r="D313" s="94"/>
      <c r="E313" s="95"/>
      <c r="F313" s="93"/>
      <c r="G313" s="93"/>
      <c r="H313" s="93"/>
      <c r="I313" s="93"/>
      <c r="J313" s="94"/>
      <c r="K313" s="94"/>
      <c r="L313" s="94"/>
      <c r="M313" s="94"/>
      <c r="N313" s="95"/>
    </row>
    <row r="314">
      <c r="A314" s="93"/>
      <c r="B314" s="93"/>
      <c r="C314" s="93"/>
      <c r="D314" s="94"/>
      <c r="E314" s="95"/>
      <c r="F314" s="93"/>
      <c r="G314" s="93"/>
      <c r="H314" s="93"/>
      <c r="I314" s="93"/>
      <c r="J314" s="94"/>
      <c r="K314" s="94"/>
      <c r="L314" s="94"/>
      <c r="M314" s="94"/>
      <c r="N314" s="95"/>
    </row>
    <row r="315">
      <c r="A315" s="93"/>
      <c r="B315" s="93"/>
      <c r="C315" s="93"/>
      <c r="D315" s="94"/>
      <c r="E315" s="95"/>
      <c r="F315" s="93"/>
      <c r="G315" s="93"/>
      <c r="H315" s="93"/>
      <c r="I315" s="93"/>
      <c r="J315" s="94"/>
      <c r="K315" s="94"/>
      <c r="L315" s="94"/>
      <c r="M315" s="94"/>
      <c r="N315" s="95"/>
    </row>
    <row r="316">
      <c r="A316" s="93"/>
      <c r="B316" s="93"/>
      <c r="C316" s="93"/>
      <c r="D316" s="94"/>
      <c r="E316" s="95"/>
      <c r="F316" s="93"/>
      <c r="G316" s="93"/>
      <c r="H316" s="93"/>
      <c r="I316" s="93"/>
      <c r="J316" s="94"/>
      <c r="K316" s="94"/>
      <c r="L316" s="94"/>
      <c r="M316" s="94"/>
      <c r="N316" s="95"/>
    </row>
    <row r="317">
      <c r="A317" s="93"/>
      <c r="B317" s="93"/>
      <c r="C317" s="93"/>
      <c r="D317" s="94"/>
      <c r="E317" s="95"/>
      <c r="F317" s="93"/>
      <c r="G317" s="93"/>
      <c r="H317" s="93"/>
      <c r="I317" s="93"/>
      <c r="J317" s="94"/>
      <c r="K317" s="94"/>
      <c r="L317" s="94"/>
      <c r="M317" s="94"/>
      <c r="N317" s="95"/>
    </row>
    <row r="318">
      <c r="A318" s="93"/>
      <c r="B318" s="93"/>
      <c r="C318" s="93"/>
      <c r="D318" s="94"/>
      <c r="E318" s="95"/>
      <c r="F318" s="93"/>
      <c r="G318" s="93"/>
      <c r="H318" s="93"/>
      <c r="I318" s="93"/>
      <c r="J318" s="94"/>
      <c r="K318" s="94"/>
      <c r="L318" s="94"/>
      <c r="M318" s="94"/>
      <c r="N318" s="95"/>
    </row>
    <row r="319">
      <c r="A319" s="93"/>
      <c r="B319" s="93"/>
      <c r="C319" s="93"/>
      <c r="D319" s="94"/>
      <c r="E319" s="95"/>
      <c r="F319" s="93"/>
      <c r="G319" s="93"/>
      <c r="H319" s="93"/>
      <c r="I319" s="93"/>
      <c r="J319" s="94"/>
      <c r="K319" s="94"/>
      <c r="L319" s="94"/>
      <c r="M319" s="94"/>
      <c r="N319" s="95"/>
    </row>
    <row r="320">
      <c r="A320" s="93"/>
      <c r="B320" s="93"/>
      <c r="C320" s="93"/>
      <c r="D320" s="94"/>
      <c r="E320" s="95"/>
      <c r="F320" s="93"/>
      <c r="G320" s="93"/>
      <c r="H320" s="93"/>
      <c r="I320" s="93"/>
      <c r="J320" s="94"/>
      <c r="K320" s="94"/>
      <c r="L320" s="94"/>
      <c r="M320" s="94"/>
      <c r="N320" s="95"/>
    </row>
    <row r="321">
      <c r="A321" s="93"/>
      <c r="B321" s="93"/>
      <c r="C321" s="93"/>
      <c r="D321" s="94"/>
      <c r="E321" s="95"/>
      <c r="F321" s="93"/>
      <c r="G321" s="93"/>
      <c r="H321" s="93"/>
      <c r="I321" s="93"/>
      <c r="J321" s="94"/>
      <c r="K321" s="94"/>
      <c r="L321" s="94"/>
      <c r="M321" s="94"/>
      <c r="N321" s="95"/>
    </row>
    <row r="322">
      <c r="A322" s="93"/>
      <c r="B322" s="93"/>
      <c r="C322" s="93"/>
      <c r="D322" s="94"/>
      <c r="E322" s="95"/>
      <c r="F322" s="93"/>
      <c r="G322" s="93"/>
      <c r="H322" s="93"/>
      <c r="I322" s="93"/>
      <c r="J322" s="94"/>
      <c r="K322" s="94"/>
      <c r="L322" s="94"/>
      <c r="M322" s="94"/>
      <c r="N322" s="95"/>
    </row>
    <row r="323">
      <c r="A323" s="93"/>
      <c r="B323" s="93"/>
      <c r="C323" s="93"/>
      <c r="D323" s="94"/>
      <c r="E323" s="95"/>
      <c r="F323" s="93"/>
      <c r="G323" s="93"/>
      <c r="H323" s="93"/>
      <c r="I323" s="93"/>
      <c r="J323" s="94"/>
      <c r="K323" s="94"/>
      <c r="L323" s="94"/>
      <c r="M323" s="94"/>
      <c r="N323" s="95"/>
    </row>
    <row r="324">
      <c r="A324" s="93"/>
      <c r="B324" s="93"/>
      <c r="C324" s="93"/>
      <c r="D324" s="94"/>
      <c r="E324" s="95"/>
      <c r="F324" s="93"/>
      <c r="G324" s="93"/>
      <c r="H324" s="93"/>
      <c r="I324" s="93"/>
      <c r="J324" s="94"/>
      <c r="K324" s="94"/>
      <c r="L324" s="94"/>
      <c r="M324" s="94"/>
      <c r="N324" s="95"/>
    </row>
    <row r="325">
      <c r="A325" s="93"/>
      <c r="B325" s="93"/>
      <c r="C325" s="93"/>
      <c r="D325" s="94"/>
      <c r="E325" s="95"/>
      <c r="F325" s="93"/>
      <c r="G325" s="93"/>
      <c r="H325" s="93"/>
      <c r="I325" s="93"/>
      <c r="J325" s="94"/>
      <c r="K325" s="94"/>
      <c r="L325" s="94"/>
      <c r="M325" s="94"/>
      <c r="N325" s="95"/>
    </row>
    <row r="326">
      <c r="A326" s="93"/>
      <c r="B326" s="93"/>
      <c r="C326" s="93"/>
      <c r="D326" s="94"/>
      <c r="E326" s="95"/>
      <c r="F326" s="93"/>
      <c r="G326" s="93"/>
      <c r="H326" s="93"/>
      <c r="I326" s="93"/>
      <c r="J326" s="94"/>
      <c r="K326" s="94"/>
      <c r="L326" s="94"/>
      <c r="M326" s="94"/>
      <c r="N326" s="95"/>
    </row>
    <row r="327">
      <c r="A327" s="93"/>
      <c r="B327" s="93"/>
      <c r="C327" s="93"/>
      <c r="D327" s="94"/>
      <c r="E327" s="95"/>
      <c r="F327" s="93"/>
      <c r="G327" s="93"/>
      <c r="H327" s="93"/>
      <c r="I327" s="93"/>
      <c r="J327" s="94"/>
      <c r="K327" s="94"/>
      <c r="L327" s="94"/>
      <c r="M327" s="94"/>
      <c r="N327" s="95"/>
    </row>
    <row r="328">
      <c r="A328" s="93"/>
      <c r="B328" s="93"/>
      <c r="C328" s="93"/>
      <c r="D328" s="94"/>
      <c r="E328" s="95"/>
      <c r="F328" s="93"/>
      <c r="G328" s="93"/>
      <c r="H328" s="93"/>
      <c r="I328" s="93"/>
      <c r="J328" s="94"/>
      <c r="K328" s="94"/>
      <c r="L328" s="94"/>
      <c r="M328" s="94"/>
      <c r="N328" s="95"/>
    </row>
    <row r="329">
      <c r="A329" s="93"/>
      <c r="B329" s="93"/>
      <c r="C329" s="93"/>
      <c r="D329" s="94"/>
      <c r="E329" s="95"/>
      <c r="F329" s="93"/>
      <c r="G329" s="93"/>
      <c r="H329" s="93"/>
      <c r="I329" s="93"/>
      <c r="J329" s="94"/>
      <c r="K329" s="94"/>
      <c r="L329" s="94"/>
      <c r="M329" s="94"/>
      <c r="N329" s="95"/>
    </row>
    <row r="330">
      <c r="A330" s="93"/>
      <c r="B330" s="93"/>
      <c r="C330" s="93"/>
      <c r="D330" s="94"/>
      <c r="E330" s="95"/>
      <c r="F330" s="93"/>
      <c r="G330" s="93"/>
      <c r="H330" s="93"/>
      <c r="I330" s="93"/>
      <c r="J330" s="94"/>
      <c r="K330" s="94"/>
      <c r="L330" s="94"/>
      <c r="M330" s="94"/>
      <c r="N330" s="95"/>
    </row>
    <row r="331">
      <c r="A331" s="93"/>
      <c r="B331" s="93"/>
      <c r="C331" s="93"/>
      <c r="D331" s="94"/>
      <c r="E331" s="95"/>
      <c r="F331" s="93"/>
      <c r="G331" s="93"/>
      <c r="H331" s="93"/>
      <c r="I331" s="93"/>
      <c r="J331" s="94"/>
      <c r="K331" s="94"/>
      <c r="L331" s="94"/>
      <c r="M331" s="94"/>
      <c r="N331" s="95"/>
    </row>
    <row r="332">
      <c r="A332" s="93"/>
      <c r="B332" s="93"/>
      <c r="C332" s="93"/>
      <c r="D332" s="94"/>
      <c r="E332" s="95"/>
      <c r="F332" s="93"/>
      <c r="G332" s="93"/>
      <c r="H332" s="93"/>
      <c r="I332" s="93"/>
      <c r="J332" s="94"/>
      <c r="K332" s="94"/>
      <c r="L332" s="94"/>
      <c r="M332" s="94"/>
      <c r="N332" s="95"/>
    </row>
    <row r="333">
      <c r="A333" s="93"/>
      <c r="B333" s="93"/>
      <c r="C333" s="93"/>
      <c r="D333" s="94"/>
      <c r="E333" s="95"/>
      <c r="F333" s="93"/>
      <c r="G333" s="93"/>
      <c r="H333" s="93"/>
      <c r="I333" s="93"/>
      <c r="J333" s="94"/>
      <c r="K333" s="94"/>
      <c r="L333" s="94"/>
      <c r="M333" s="94"/>
      <c r="N333" s="95"/>
    </row>
    <row r="334">
      <c r="A334" s="93"/>
      <c r="B334" s="93"/>
      <c r="C334" s="93"/>
      <c r="D334" s="94"/>
      <c r="E334" s="95"/>
      <c r="F334" s="93"/>
      <c r="G334" s="93"/>
      <c r="H334" s="93"/>
      <c r="I334" s="93"/>
      <c r="J334" s="94"/>
      <c r="K334" s="94"/>
      <c r="L334" s="94"/>
      <c r="M334" s="94"/>
      <c r="N334" s="95"/>
    </row>
    <row r="335">
      <c r="A335" s="93"/>
      <c r="B335" s="93"/>
      <c r="C335" s="93"/>
      <c r="D335" s="94"/>
      <c r="E335" s="95"/>
      <c r="F335" s="93"/>
      <c r="G335" s="93"/>
      <c r="H335" s="93"/>
      <c r="I335" s="93"/>
      <c r="J335" s="94"/>
      <c r="K335" s="94"/>
      <c r="L335" s="94"/>
      <c r="M335" s="94"/>
      <c r="N335" s="95"/>
    </row>
    <row r="336">
      <c r="A336" s="93"/>
      <c r="B336" s="93"/>
      <c r="C336" s="93"/>
      <c r="D336" s="94"/>
      <c r="E336" s="95"/>
      <c r="F336" s="93"/>
      <c r="G336" s="93"/>
      <c r="H336" s="93"/>
      <c r="I336" s="93"/>
      <c r="J336" s="94"/>
      <c r="K336" s="94"/>
      <c r="L336" s="94"/>
      <c r="M336" s="94"/>
      <c r="N336" s="95"/>
    </row>
    <row r="337">
      <c r="A337" s="93"/>
      <c r="B337" s="93"/>
      <c r="C337" s="93"/>
      <c r="D337" s="94"/>
      <c r="E337" s="95"/>
      <c r="F337" s="93"/>
      <c r="G337" s="93"/>
      <c r="H337" s="93"/>
      <c r="I337" s="93"/>
      <c r="J337" s="94"/>
      <c r="K337" s="94"/>
      <c r="L337" s="94"/>
      <c r="M337" s="94"/>
      <c r="N337" s="95"/>
    </row>
    <row r="338">
      <c r="A338" s="93"/>
      <c r="B338" s="93"/>
      <c r="C338" s="93"/>
      <c r="D338" s="94"/>
      <c r="E338" s="95"/>
      <c r="F338" s="93"/>
      <c r="G338" s="93"/>
      <c r="H338" s="93"/>
      <c r="I338" s="93"/>
      <c r="J338" s="94"/>
      <c r="K338" s="94"/>
      <c r="L338" s="94"/>
      <c r="M338" s="94"/>
      <c r="N338" s="95"/>
    </row>
    <row r="339">
      <c r="A339" s="93"/>
      <c r="B339" s="93"/>
      <c r="C339" s="93"/>
      <c r="D339" s="94"/>
      <c r="E339" s="95"/>
      <c r="F339" s="93"/>
      <c r="G339" s="93"/>
      <c r="H339" s="93"/>
      <c r="I339" s="93"/>
      <c r="J339" s="94"/>
      <c r="K339" s="94"/>
      <c r="L339" s="94"/>
      <c r="M339" s="94"/>
      <c r="N339" s="95"/>
    </row>
    <row r="340">
      <c r="A340" s="93"/>
      <c r="B340" s="93"/>
      <c r="C340" s="93"/>
      <c r="D340" s="94"/>
      <c r="E340" s="95"/>
      <c r="F340" s="93"/>
      <c r="G340" s="93"/>
      <c r="H340" s="93"/>
      <c r="I340" s="93"/>
      <c r="J340" s="94"/>
      <c r="K340" s="94"/>
      <c r="L340" s="94"/>
      <c r="M340" s="94"/>
      <c r="N340" s="95"/>
    </row>
    <row r="341">
      <c r="A341" s="93"/>
      <c r="B341" s="93"/>
      <c r="C341" s="93"/>
      <c r="D341" s="94"/>
      <c r="E341" s="95"/>
      <c r="F341" s="93"/>
      <c r="G341" s="93"/>
      <c r="H341" s="93"/>
      <c r="I341" s="93"/>
      <c r="J341" s="94"/>
      <c r="K341" s="94"/>
      <c r="L341" s="94"/>
      <c r="M341" s="94"/>
      <c r="N341" s="95"/>
    </row>
    <row r="342">
      <c r="A342" s="93"/>
      <c r="B342" s="93"/>
      <c r="C342" s="93"/>
      <c r="D342" s="94"/>
      <c r="E342" s="95"/>
      <c r="F342" s="93"/>
      <c r="G342" s="93"/>
      <c r="H342" s="93"/>
      <c r="I342" s="93"/>
      <c r="J342" s="94"/>
      <c r="K342" s="94"/>
      <c r="L342" s="94"/>
      <c r="M342" s="94"/>
      <c r="N342" s="95"/>
    </row>
    <row r="343">
      <c r="A343" s="93"/>
      <c r="B343" s="93"/>
      <c r="C343" s="93"/>
      <c r="D343" s="94"/>
      <c r="E343" s="95"/>
      <c r="F343" s="93"/>
      <c r="G343" s="93"/>
      <c r="H343" s="93"/>
      <c r="I343" s="93"/>
      <c r="J343" s="94"/>
      <c r="K343" s="94"/>
      <c r="L343" s="94"/>
      <c r="M343" s="94"/>
      <c r="N343" s="95"/>
    </row>
    <row r="344">
      <c r="A344" s="93"/>
      <c r="B344" s="93"/>
      <c r="C344" s="93"/>
      <c r="D344" s="94"/>
      <c r="E344" s="95"/>
      <c r="F344" s="93"/>
      <c r="G344" s="93"/>
      <c r="H344" s="93"/>
      <c r="I344" s="93"/>
      <c r="J344" s="94"/>
      <c r="K344" s="94"/>
      <c r="L344" s="94"/>
      <c r="M344" s="94"/>
      <c r="N344" s="95"/>
    </row>
    <row r="345">
      <c r="A345" s="93"/>
      <c r="B345" s="93"/>
      <c r="C345" s="93"/>
      <c r="D345" s="94"/>
      <c r="E345" s="95"/>
      <c r="F345" s="93"/>
      <c r="G345" s="93"/>
      <c r="H345" s="93"/>
      <c r="I345" s="93"/>
      <c r="J345" s="94"/>
      <c r="K345" s="94"/>
      <c r="L345" s="94"/>
      <c r="M345" s="94"/>
      <c r="N345" s="95"/>
    </row>
    <row r="346">
      <c r="A346" s="93"/>
      <c r="B346" s="93"/>
      <c r="C346" s="93"/>
      <c r="D346" s="94"/>
      <c r="E346" s="95"/>
      <c r="F346" s="93"/>
      <c r="G346" s="93"/>
      <c r="H346" s="93"/>
      <c r="I346" s="93"/>
      <c r="J346" s="94"/>
      <c r="K346" s="94"/>
      <c r="L346" s="94"/>
      <c r="M346" s="94"/>
      <c r="N346" s="95"/>
    </row>
    <row r="347">
      <c r="A347" s="93"/>
      <c r="B347" s="93"/>
      <c r="C347" s="93"/>
      <c r="D347" s="94"/>
      <c r="E347" s="95"/>
      <c r="F347" s="93"/>
      <c r="G347" s="93"/>
      <c r="H347" s="93"/>
      <c r="I347" s="93"/>
      <c r="J347" s="94"/>
      <c r="K347" s="94"/>
      <c r="L347" s="94"/>
      <c r="M347" s="94"/>
      <c r="N347" s="95"/>
    </row>
    <row r="348">
      <c r="A348" s="93"/>
      <c r="B348" s="93"/>
      <c r="C348" s="93"/>
      <c r="D348" s="94"/>
      <c r="E348" s="95"/>
      <c r="F348" s="93"/>
      <c r="G348" s="93"/>
      <c r="H348" s="93"/>
      <c r="I348" s="93"/>
      <c r="J348" s="94"/>
      <c r="K348" s="94"/>
      <c r="L348" s="94"/>
      <c r="M348" s="94"/>
      <c r="N348" s="95"/>
    </row>
    <row r="349">
      <c r="A349" s="93"/>
      <c r="B349" s="93"/>
      <c r="C349" s="93"/>
      <c r="D349" s="94"/>
      <c r="E349" s="95"/>
      <c r="F349" s="93"/>
      <c r="G349" s="93"/>
      <c r="H349" s="93"/>
      <c r="I349" s="93"/>
      <c r="J349" s="94"/>
      <c r="K349" s="94"/>
      <c r="L349" s="94"/>
      <c r="M349" s="94"/>
      <c r="N349" s="95"/>
    </row>
    <row r="350">
      <c r="A350" s="93"/>
      <c r="B350" s="93"/>
      <c r="C350" s="93"/>
      <c r="D350" s="94"/>
      <c r="E350" s="95"/>
      <c r="F350" s="93"/>
      <c r="G350" s="93"/>
      <c r="H350" s="93"/>
      <c r="I350" s="93"/>
      <c r="J350" s="94"/>
      <c r="K350" s="94"/>
      <c r="L350" s="94"/>
      <c r="M350" s="94"/>
      <c r="N350" s="95"/>
    </row>
    <row r="351">
      <c r="A351" s="93"/>
      <c r="B351" s="93"/>
      <c r="C351" s="93"/>
      <c r="D351" s="94"/>
      <c r="E351" s="95"/>
      <c r="F351" s="93"/>
      <c r="G351" s="93"/>
      <c r="H351" s="93"/>
      <c r="I351" s="93"/>
      <c r="J351" s="94"/>
      <c r="K351" s="94"/>
      <c r="L351" s="94"/>
      <c r="M351" s="94"/>
      <c r="N351" s="95"/>
    </row>
    <row r="352">
      <c r="A352" s="93"/>
      <c r="B352" s="93"/>
      <c r="C352" s="93"/>
      <c r="D352" s="94"/>
      <c r="E352" s="95"/>
      <c r="F352" s="93"/>
      <c r="G352" s="93"/>
      <c r="H352" s="93"/>
      <c r="I352" s="93"/>
      <c r="J352" s="94"/>
      <c r="K352" s="94"/>
      <c r="L352" s="94"/>
      <c r="M352" s="94"/>
      <c r="N352" s="95"/>
    </row>
    <row r="353">
      <c r="A353" s="93"/>
      <c r="B353" s="93"/>
      <c r="C353" s="93"/>
      <c r="D353" s="94"/>
      <c r="E353" s="95"/>
      <c r="F353" s="93"/>
      <c r="G353" s="93"/>
      <c r="H353" s="93"/>
      <c r="I353" s="93"/>
      <c r="J353" s="94"/>
      <c r="K353" s="94"/>
      <c r="L353" s="94"/>
      <c r="M353" s="94"/>
      <c r="N353" s="95"/>
    </row>
    <row r="354">
      <c r="A354" s="93"/>
      <c r="B354" s="93"/>
      <c r="C354" s="93"/>
      <c r="D354" s="94"/>
      <c r="E354" s="95"/>
      <c r="F354" s="93"/>
      <c r="G354" s="93"/>
      <c r="H354" s="93"/>
      <c r="I354" s="93"/>
      <c r="J354" s="94"/>
      <c r="K354" s="94"/>
      <c r="L354" s="94"/>
      <c r="M354" s="94"/>
      <c r="N354" s="95"/>
    </row>
    <row r="355">
      <c r="A355" s="93"/>
      <c r="B355" s="93"/>
      <c r="C355" s="93"/>
      <c r="D355" s="94"/>
      <c r="E355" s="95"/>
      <c r="F355" s="93"/>
      <c r="G355" s="93"/>
      <c r="H355" s="93"/>
      <c r="I355" s="93"/>
      <c r="J355" s="94"/>
      <c r="K355" s="94"/>
      <c r="L355" s="94"/>
      <c r="M355" s="94"/>
      <c r="N355" s="95"/>
    </row>
    <row r="356">
      <c r="A356" s="93"/>
      <c r="B356" s="93"/>
      <c r="C356" s="93"/>
      <c r="D356" s="94"/>
      <c r="E356" s="95"/>
      <c r="F356" s="93"/>
      <c r="G356" s="93"/>
      <c r="H356" s="93"/>
      <c r="I356" s="93"/>
      <c r="J356" s="94"/>
      <c r="K356" s="94"/>
      <c r="L356" s="94"/>
      <c r="M356" s="94"/>
      <c r="N356" s="95"/>
    </row>
    <row r="357">
      <c r="A357" s="93"/>
      <c r="B357" s="93"/>
      <c r="C357" s="93"/>
      <c r="D357" s="94"/>
      <c r="E357" s="95"/>
      <c r="F357" s="93"/>
      <c r="G357" s="93"/>
      <c r="H357" s="93"/>
      <c r="I357" s="93"/>
      <c r="J357" s="94"/>
      <c r="K357" s="94"/>
      <c r="L357" s="94"/>
      <c r="M357" s="94"/>
      <c r="N357" s="95"/>
    </row>
    <row r="358">
      <c r="A358" s="93"/>
      <c r="B358" s="93"/>
      <c r="C358" s="93"/>
      <c r="D358" s="94"/>
      <c r="E358" s="95"/>
      <c r="F358" s="93"/>
      <c r="G358" s="93"/>
      <c r="H358" s="93"/>
      <c r="I358" s="93"/>
      <c r="J358" s="94"/>
      <c r="K358" s="94"/>
      <c r="L358" s="94"/>
      <c r="M358" s="94"/>
      <c r="N358" s="95"/>
    </row>
    <row r="359">
      <c r="A359" s="93"/>
      <c r="B359" s="93"/>
      <c r="C359" s="93"/>
      <c r="D359" s="94"/>
      <c r="E359" s="95"/>
      <c r="F359" s="93"/>
      <c r="G359" s="93"/>
      <c r="H359" s="93"/>
      <c r="I359" s="93"/>
      <c r="J359" s="94"/>
      <c r="K359" s="94"/>
      <c r="L359" s="94"/>
      <c r="M359" s="94"/>
      <c r="N359" s="95"/>
    </row>
    <row r="360">
      <c r="A360" s="93"/>
      <c r="B360" s="93"/>
      <c r="C360" s="93"/>
      <c r="D360" s="94"/>
      <c r="E360" s="95"/>
      <c r="F360" s="93"/>
      <c r="G360" s="93"/>
      <c r="H360" s="93"/>
      <c r="I360" s="93"/>
      <c r="J360" s="94"/>
      <c r="K360" s="94"/>
      <c r="L360" s="94"/>
      <c r="M360" s="94"/>
      <c r="N360" s="95"/>
    </row>
    <row r="361">
      <c r="A361" s="93"/>
      <c r="B361" s="93"/>
      <c r="C361" s="93"/>
      <c r="D361" s="94"/>
      <c r="E361" s="95"/>
      <c r="F361" s="93"/>
      <c r="G361" s="93"/>
      <c r="H361" s="93"/>
      <c r="I361" s="93"/>
      <c r="J361" s="94"/>
      <c r="K361" s="94"/>
      <c r="L361" s="94"/>
      <c r="M361" s="94"/>
      <c r="N361" s="95"/>
    </row>
    <row r="362">
      <c r="A362" s="93"/>
      <c r="B362" s="93"/>
      <c r="C362" s="93"/>
      <c r="D362" s="94"/>
      <c r="E362" s="95"/>
      <c r="F362" s="93"/>
      <c r="G362" s="93"/>
      <c r="H362" s="93"/>
      <c r="I362" s="93"/>
      <c r="J362" s="94"/>
      <c r="K362" s="94"/>
      <c r="L362" s="94"/>
      <c r="M362" s="94"/>
      <c r="N362" s="95"/>
    </row>
    <row r="363">
      <c r="A363" s="93"/>
      <c r="B363" s="93"/>
      <c r="C363" s="93"/>
      <c r="D363" s="94"/>
      <c r="E363" s="95"/>
      <c r="F363" s="93"/>
      <c r="G363" s="93"/>
      <c r="H363" s="93"/>
      <c r="I363" s="93"/>
      <c r="J363" s="94"/>
      <c r="K363" s="94"/>
      <c r="L363" s="94"/>
      <c r="M363" s="94"/>
      <c r="N363" s="95"/>
    </row>
    <row r="364">
      <c r="A364" s="93"/>
      <c r="B364" s="93"/>
      <c r="C364" s="93"/>
      <c r="D364" s="94"/>
      <c r="E364" s="95"/>
      <c r="F364" s="93"/>
      <c r="G364" s="93"/>
      <c r="H364" s="93"/>
      <c r="I364" s="93"/>
      <c r="J364" s="94"/>
      <c r="K364" s="94"/>
      <c r="L364" s="94"/>
      <c r="M364" s="94"/>
      <c r="N364" s="95"/>
    </row>
    <row r="365">
      <c r="A365" s="93"/>
      <c r="B365" s="93"/>
      <c r="C365" s="93"/>
      <c r="D365" s="94"/>
      <c r="E365" s="95"/>
      <c r="F365" s="93"/>
      <c r="G365" s="93"/>
      <c r="H365" s="93"/>
      <c r="I365" s="93"/>
      <c r="J365" s="94"/>
      <c r="K365" s="94"/>
      <c r="L365" s="94"/>
      <c r="M365" s="94"/>
      <c r="N365" s="95"/>
    </row>
    <row r="366">
      <c r="A366" s="93"/>
      <c r="B366" s="93"/>
      <c r="C366" s="93"/>
      <c r="D366" s="94"/>
      <c r="E366" s="95"/>
      <c r="F366" s="93"/>
      <c r="G366" s="93"/>
      <c r="H366" s="93"/>
      <c r="I366" s="93"/>
      <c r="J366" s="94"/>
      <c r="K366" s="94"/>
      <c r="L366" s="94"/>
      <c r="M366" s="94"/>
      <c r="N366" s="95"/>
    </row>
    <row r="367">
      <c r="A367" s="93"/>
      <c r="B367" s="93"/>
      <c r="C367" s="93"/>
      <c r="D367" s="94"/>
      <c r="E367" s="95"/>
      <c r="F367" s="93"/>
      <c r="G367" s="93"/>
      <c r="H367" s="93"/>
      <c r="I367" s="93"/>
      <c r="J367" s="94"/>
      <c r="K367" s="94"/>
      <c r="L367" s="94"/>
      <c r="M367" s="94"/>
      <c r="N367" s="95"/>
    </row>
    <row r="368">
      <c r="A368" s="93"/>
      <c r="B368" s="93"/>
      <c r="C368" s="93"/>
      <c r="D368" s="94"/>
      <c r="E368" s="95"/>
      <c r="F368" s="93"/>
      <c r="G368" s="93"/>
      <c r="H368" s="93"/>
      <c r="I368" s="93"/>
      <c r="J368" s="94"/>
      <c r="K368" s="94"/>
      <c r="L368" s="94"/>
      <c r="M368" s="94"/>
      <c r="N368" s="95"/>
    </row>
    <row r="369">
      <c r="A369" s="93"/>
      <c r="B369" s="93"/>
      <c r="C369" s="93"/>
      <c r="D369" s="94"/>
      <c r="E369" s="95"/>
      <c r="F369" s="93"/>
      <c r="G369" s="93"/>
      <c r="H369" s="93"/>
      <c r="I369" s="93"/>
      <c r="J369" s="94"/>
      <c r="K369" s="94"/>
      <c r="L369" s="94"/>
      <c r="M369" s="94"/>
      <c r="N369" s="95"/>
    </row>
    <row r="370">
      <c r="A370" s="93"/>
      <c r="B370" s="93"/>
      <c r="C370" s="93"/>
      <c r="D370" s="94"/>
      <c r="E370" s="95"/>
      <c r="F370" s="93"/>
      <c r="G370" s="93"/>
      <c r="H370" s="93"/>
      <c r="I370" s="93"/>
      <c r="J370" s="94"/>
      <c r="K370" s="94"/>
      <c r="L370" s="94"/>
      <c r="M370" s="94"/>
      <c r="N370" s="95"/>
    </row>
    <row r="371">
      <c r="A371" s="93"/>
      <c r="B371" s="93"/>
      <c r="C371" s="93"/>
      <c r="D371" s="94"/>
      <c r="E371" s="95"/>
      <c r="F371" s="93"/>
      <c r="G371" s="93"/>
      <c r="H371" s="93"/>
      <c r="I371" s="93"/>
      <c r="J371" s="94"/>
      <c r="K371" s="94"/>
      <c r="L371" s="94"/>
      <c r="M371" s="94"/>
      <c r="N371" s="95"/>
    </row>
    <row r="372">
      <c r="A372" s="93"/>
      <c r="B372" s="93"/>
      <c r="C372" s="93"/>
      <c r="D372" s="94"/>
      <c r="E372" s="95"/>
      <c r="F372" s="93"/>
      <c r="G372" s="93"/>
      <c r="H372" s="93"/>
      <c r="I372" s="93"/>
      <c r="J372" s="94"/>
      <c r="K372" s="94"/>
      <c r="L372" s="94"/>
      <c r="M372" s="94"/>
      <c r="N372" s="95"/>
    </row>
    <row r="373">
      <c r="A373" s="93"/>
      <c r="B373" s="93"/>
      <c r="C373" s="93"/>
      <c r="D373" s="94"/>
      <c r="E373" s="95"/>
      <c r="F373" s="93"/>
      <c r="G373" s="93"/>
      <c r="H373" s="93"/>
      <c r="I373" s="93"/>
      <c r="J373" s="94"/>
      <c r="K373" s="94"/>
      <c r="L373" s="94"/>
      <c r="M373" s="94"/>
      <c r="N373" s="95"/>
    </row>
    <row r="374">
      <c r="A374" s="93"/>
      <c r="B374" s="93"/>
      <c r="C374" s="93"/>
      <c r="D374" s="94"/>
      <c r="E374" s="95"/>
      <c r="F374" s="93"/>
      <c r="G374" s="93"/>
      <c r="H374" s="93"/>
      <c r="I374" s="93"/>
      <c r="J374" s="94"/>
      <c r="K374" s="94"/>
      <c r="L374" s="94"/>
      <c r="M374" s="94"/>
      <c r="N374" s="95"/>
    </row>
    <row r="375">
      <c r="A375" s="93"/>
      <c r="B375" s="93"/>
      <c r="C375" s="93"/>
      <c r="D375" s="94"/>
      <c r="E375" s="95"/>
      <c r="F375" s="93"/>
      <c r="G375" s="93"/>
      <c r="H375" s="93"/>
      <c r="I375" s="93"/>
      <c r="J375" s="94"/>
      <c r="K375" s="94"/>
      <c r="L375" s="94"/>
      <c r="M375" s="94"/>
      <c r="N375" s="95"/>
    </row>
    <row r="376">
      <c r="A376" s="93"/>
      <c r="B376" s="93"/>
      <c r="C376" s="93"/>
      <c r="D376" s="94"/>
      <c r="E376" s="95"/>
      <c r="F376" s="93"/>
      <c r="G376" s="93"/>
      <c r="H376" s="93"/>
      <c r="I376" s="93"/>
      <c r="J376" s="94"/>
      <c r="K376" s="94"/>
      <c r="L376" s="94"/>
      <c r="M376" s="94"/>
      <c r="N376" s="95"/>
    </row>
    <row r="377">
      <c r="A377" s="93"/>
      <c r="B377" s="93"/>
      <c r="C377" s="93"/>
      <c r="D377" s="94"/>
      <c r="E377" s="95"/>
      <c r="F377" s="93"/>
      <c r="G377" s="93"/>
      <c r="H377" s="93"/>
      <c r="I377" s="93"/>
      <c r="J377" s="94"/>
      <c r="K377" s="94"/>
      <c r="L377" s="94"/>
      <c r="M377" s="94"/>
      <c r="N377" s="95"/>
    </row>
    <row r="378">
      <c r="A378" s="93"/>
      <c r="B378" s="93"/>
      <c r="C378" s="93"/>
      <c r="D378" s="94"/>
      <c r="E378" s="95"/>
      <c r="F378" s="93"/>
      <c r="G378" s="93"/>
      <c r="H378" s="93"/>
      <c r="I378" s="93"/>
      <c r="J378" s="94"/>
      <c r="K378" s="94"/>
      <c r="L378" s="94"/>
      <c r="M378" s="94"/>
      <c r="N378" s="95"/>
    </row>
    <row r="379">
      <c r="A379" s="93"/>
      <c r="B379" s="93"/>
      <c r="C379" s="93"/>
      <c r="D379" s="94"/>
      <c r="E379" s="95"/>
      <c r="F379" s="93"/>
      <c r="G379" s="93"/>
      <c r="H379" s="93"/>
      <c r="I379" s="93"/>
      <c r="J379" s="94"/>
      <c r="K379" s="94"/>
      <c r="L379" s="94"/>
      <c r="M379" s="94"/>
      <c r="N379" s="95"/>
    </row>
    <row r="380">
      <c r="A380" s="93"/>
      <c r="B380" s="93"/>
      <c r="C380" s="93"/>
      <c r="D380" s="94"/>
      <c r="E380" s="95"/>
      <c r="F380" s="93"/>
      <c r="G380" s="93"/>
      <c r="H380" s="93"/>
      <c r="I380" s="93"/>
      <c r="J380" s="94"/>
      <c r="K380" s="94"/>
      <c r="L380" s="94"/>
      <c r="M380" s="94"/>
      <c r="N380" s="95"/>
    </row>
    <row r="381">
      <c r="A381" s="93"/>
      <c r="B381" s="93"/>
      <c r="C381" s="93"/>
      <c r="D381" s="94"/>
      <c r="E381" s="95"/>
      <c r="F381" s="93"/>
      <c r="G381" s="93"/>
      <c r="H381" s="93"/>
      <c r="I381" s="93"/>
      <c r="J381" s="94"/>
      <c r="K381" s="94"/>
      <c r="L381" s="94"/>
      <c r="M381" s="94"/>
      <c r="N381" s="95"/>
    </row>
    <row r="382">
      <c r="A382" s="93"/>
      <c r="B382" s="93"/>
      <c r="C382" s="93"/>
      <c r="D382" s="94"/>
      <c r="E382" s="95"/>
      <c r="F382" s="93"/>
      <c r="G382" s="93"/>
      <c r="H382" s="93"/>
      <c r="I382" s="93"/>
      <c r="J382" s="94"/>
      <c r="K382" s="94"/>
      <c r="L382" s="94"/>
      <c r="M382" s="94"/>
      <c r="N382" s="95"/>
    </row>
    <row r="383">
      <c r="A383" s="93"/>
      <c r="B383" s="93"/>
      <c r="C383" s="93"/>
      <c r="D383" s="94"/>
      <c r="E383" s="95"/>
      <c r="F383" s="93"/>
      <c r="G383" s="93"/>
      <c r="H383" s="93"/>
      <c r="I383" s="93"/>
      <c r="J383" s="94"/>
      <c r="K383" s="94"/>
      <c r="L383" s="94"/>
      <c r="M383" s="94"/>
      <c r="N383" s="95"/>
    </row>
    <row r="384">
      <c r="A384" s="93"/>
      <c r="B384" s="93"/>
      <c r="C384" s="93"/>
      <c r="D384" s="94"/>
      <c r="E384" s="95"/>
      <c r="F384" s="93"/>
      <c r="G384" s="93"/>
      <c r="H384" s="93"/>
      <c r="I384" s="93"/>
      <c r="J384" s="94"/>
      <c r="K384" s="94"/>
      <c r="L384" s="94"/>
      <c r="M384" s="94"/>
      <c r="N384" s="95"/>
    </row>
    <row r="385">
      <c r="A385" s="93"/>
      <c r="B385" s="93"/>
      <c r="C385" s="93"/>
      <c r="D385" s="94"/>
      <c r="E385" s="95"/>
      <c r="F385" s="93"/>
      <c r="G385" s="93"/>
      <c r="H385" s="93"/>
      <c r="I385" s="93"/>
      <c r="J385" s="94"/>
      <c r="K385" s="94"/>
      <c r="L385" s="94"/>
      <c r="M385" s="94"/>
      <c r="N385" s="95"/>
    </row>
    <row r="386">
      <c r="A386" s="93"/>
      <c r="B386" s="93"/>
      <c r="C386" s="93"/>
      <c r="D386" s="94"/>
      <c r="E386" s="95"/>
      <c r="F386" s="93"/>
      <c r="G386" s="93"/>
      <c r="H386" s="93"/>
      <c r="I386" s="93"/>
      <c r="J386" s="94"/>
      <c r="K386" s="94"/>
      <c r="L386" s="94"/>
      <c r="M386" s="94"/>
      <c r="N386" s="95"/>
    </row>
    <row r="387">
      <c r="A387" s="93"/>
      <c r="B387" s="93"/>
      <c r="C387" s="93"/>
      <c r="D387" s="94"/>
      <c r="E387" s="95"/>
      <c r="F387" s="93"/>
      <c r="G387" s="93"/>
      <c r="H387" s="93"/>
      <c r="I387" s="93"/>
      <c r="J387" s="94"/>
      <c r="K387" s="94"/>
      <c r="L387" s="94"/>
      <c r="M387" s="94"/>
      <c r="N387" s="95"/>
    </row>
    <row r="388">
      <c r="A388" s="93"/>
      <c r="B388" s="93"/>
      <c r="C388" s="93"/>
      <c r="D388" s="94"/>
      <c r="E388" s="95"/>
      <c r="F388" s="93"/>
      <c r="G388" s="93"/>
      <c r="H388" s="93"/>
      <c r="I388" s="93"/>
      <c r="J388" s="94"/>
      <c r="K388" s="94"/>
      <c r="L388" s="94"/>
      <c r="M388" s="94"/>
      <c r="N388" s="95"/>
    </row>
    <row r="389">
      <c r="A389" s="93"/>
      <c r="B389" s="93"/>
      <c r="C389" s="93"/>
      <c r="D389" s="94"/>
      <c r="E389" s="95"/>
      <c r="F389" s="93"/>
      <c r="G389" s="93"/>
      <c r="H389" s="93"/>
      <c r="I389" s="93"/>
      <c r="J389" s="94"/>
      <c r="K389" s="94"/>
      <c r="L389" s="94"/>
      <c r="M389" s="94"/>
      <c r="N389" s="95"/>
    </row>
    <row r="390">
      <c r="A390" s="93"/>
      <c r="B390" s="93"/>
      <c r="C390" s="93"/>
      <c r="D390" s="94"/>
      <c r="E390" s="95"/>
      <c r="F390" s="93"/>
      <c r="G390" s="93"/>
      <c r="H390" s="93"/>
      <c r="I390" s="93"/>
      <c r="J390" s="94"/>
      <c r="K390" s="94"/>
      <c r="L390" s="94"/>
      <c r="M390" s="94"/>
      <c r="N390" s="95"/>
    </row>
    <row r="391">
      <c r="A391" s="93"/>
      <c r="B391" s="93"/>
      <c r="C391" s="93"/>
      <c r="D391" s="94"/>
      <c r="E391" s="95"/>
      <c r="F391" s="93"/>
      <c r="G391" s="93"/>
      <c r="H391" s="93"/>
      <c r="I391" s="93"/>
      <c r="J391" s="94"/>
      <c r="K391" s="94"/>
      <c r="L391" s="94"/>
      <c r="M391" s="94"/>
      <c r="N391" s="95"/>
    </row>
    <row r="392">
      <c r="A392" s="93"/>
      <c r="B392" s="93"/>
      <c r="C392" s="93"/>
      <c r="D392" s="94"/>
      <c r="E392" s="95"/>
      <c r="F392" s="93"/>
      <c r="G392" s="93"/>
      <c r="H392" s="93"/>
      <c r="I392" s="93"/>
      <c r="J392" s="94"/>
      <c r="K392" s="94"/>
      <c r="L392" s="94"/>
      <c r="M392" s="94"/>
      <c r="N392" s="95"/>
    </row>
    <row r="393">
      <c r="A393" s="93"/>
      <c r="B393" s="93"/>
      <c r="C393" s="93"/>
      <c r="D393" s="94"/>
      <c r="E393" s="95"/>
      <c r="F393" s="93"/>
      <c r="G393" s="93"/>
      <c r="H393" s="93"/>
      <c r="I393" s="93"/>
      <c r="J393" s="94"/>
      <c r="K393" s="94"/>
      <c r="L393" s="94"/>
      <c r="M393" s="94"/>
      <c r="N393" s="95"/>
    </row>
    <row r="394">
      <c r="A394" s="93"/>
      <c r="B394" s="93"/>
      <c r="C394" s="93"/>
      <c r="D394" s="94"/>
      <c r="E394" s="95"/>
      <c r="F394" s="93"/>
      <c r="G394" s="93"/>
      <c r="H394" s="93"/>
      <c r="I394" s="93"/>
      <c r="J394" s="94"/>
      <c r="K394" s="94"/>
      <c r="L394" s="94"/>
      <c r="M394" s="94"/>
      <c r="N394" s="95"/>
    </row>
    <row r="395">
      <c r="A395" s="93"/>
      <c r="B395" s="93"/>
      <c r="C395" s="93"/>
      <c r="D395" s="94"/>
      <c r="E395" s="95"/>
      <c r="F395" s="93"/>
      <c r="G395" s="93"/>
      <c r="H395" s="93"/>
      <c r="I395" s="93"/>
      <c r="J395" s="94"/>
      <c r="K395" s="94"/>
      <c r="L395" s="94"/>
      <c r="M395" s="94"/>
      <c r="N395" s="95"/>
    </row>
    <row r="396">
      <c r="A396" s="93"/>
      <c r="B396" s="93"/>
      <c r="C396" s="93"/>
      <c r="D396" s="94"/>
      <c r="E396" s="95"/>
      <c r="F396" s="93"/>
      <c r="G396" s="93"/>
      <c r="H396" s="93"/>
      <c r="I396" s="93"/>
      <c r="J396" s="94"/>
      <c r="K396" s="94"/>
      <c r="L396" s="94"/>
      <c r="M396" s="94"/>
      <c r="N396" s="95"/>
    </row>
    <row r="397">
      <c r="A397" s="93"/>
      <c r="B397" s="93"/>
      <c r="C397" s="93"/>
      <c r="D397" s="94"/>
      <c r="E397" s="95"/>
      <c r="F397" s="93"/>
      <c r="G397" s="93"/>
      <c r="H397" s="93"/>
      <c r="I397" s="93"/>
      <c r="J397" s="94"/>
      <c r="K397" s="94"/>
      <c r="L397" s="94"/>
      <c r="M397" s="94"/>
      <c r="N397" s="95"/>
    </row>
    <row r="398">
      <c r="A398" s="93"/>
      <c r="B398" s="93"/>
      <c r="C398" s="93"/>
      <c r="D398" s="94"/>
      <c r="E398" s="95"/>
      <c r="F398" s="93"/>
      <c r="G398" s="93"/>
      <c r="H398" s="93"/>
      <c r="I398" s="93"/>
      <c r="J398" s="94"/>
      <c r="K398" s="94"/>
      <c r="L398" s="94"/>
      <c r="M398" s="94"/>
      <c r="N398" s="95"/>
    </row>
    <row r="399">
      <c r="A399" s="93"/>
      <c r="B399" s="93"/>
      <c r="C399" s="93"/>
      <c r="D399" s="94"/>
      <c r="E399" s="95"/>
      <c r="F399" s="93"/>
      <c r="G399" s="93"/>
      <c r="H399" s="93"/>
      <c r="I399" s="93"/>
      <c r="J399" s="94"/>
      <c r="K399" s="94"/>
      <c r="L399" s="94"/>
      <c r="M399" s="94"/>
      <c r="N399" s="95"/>
    </row>
    <row r="400">
      <c r="A400" s="93"/>
      <c r="B400" s="93"/>
      <c r="C400" s="93"/>
      <c r="D400" s="94"/>
      <c r="E400" s="95"/>
      <c r="F400" s="93"/>
      <c r="G400" s="93"/>
      <c r="H400" s="93"/>
      <c r="I400" s="93"/>
      <c r="J400" s="94"/>
      <c r="K400" s="94"/>
      <c r="L400" s="94"/>
      <c r="M400" s="94"/>
      <c r="N400" s="95"/>
    </row>
    <row r="401">
      <c r="A401" s="93"/>
      <c r="B401" s="93"/>
      <c r="C401" s="93"/>
      <c r="D401" s="94"/>
      <c r="E401" s="95"/>
      <c r="F401" s="93"/>
      <c r="G401" s="93"/>
      <c r="H401" s="93"/>
      <c r="I401" s="93"/>
      <c r="J401" s="94"/>
      <c r="K401" s="94"/>
      <c r="L401" s="94"/>
      <c r="M401" s="94"/>
      <c r="N401" s="95"/>
    </row>
    <row r="402">
      <c r="A402" s="93"/>
      <c r="B402" s="93"/>
      <c r="C402" s="93"/>
      <c r="D402" s="94"/>
      <c r="E402" s="95"/>
      <c r="F402" s="93"/>
      <c r="G402" s="93"/>
      <c r="H402" s="93"/>
      <c r="I402" s="93"/>
      <c r="J402" s="94"/>
      <c r="K402" s="94"/>
      <c r="L402" s="94"/>
      <c r="M402" s="94"/>
      <c r="N402" s="95"/>
    </row>
    <row r="403">
      <c r="A403" s="93"/>
      <c r="B403" s="93"/>
      <c r="C403" s="93"/>
      <c r="D403" s="94"/>
      <c r="E403" s="95"/>
      <c r="F403" s="93"/>
      <c r="G403" s="93"/>
      <c r="H403" s="93"/>
      <c r="I403" s="93"/>
      <c r="J403" s="94"/>
      <c r="K403" s="94"/>
      <c r="L403" s="94"/>
      <c r="M403" s="94"/>
      <c r="N403" s="95"/>
    </row>
    <row r="404">
      <c r="A404" s="93"/>
      <c r="B404" s="93"/>
      <c r="C404" s="93"/>
      <c r="D404" s="94"/>
      <c r="E404" s="95"/>
      <c r="F404" s="93"/>
      <c r="G404" s="93"/>
      <c r="H404" s="93"/>
      <c r="I404" s="93"/>
      <c r="J404" s="94"/>
      <c r="K404" s="94"/>
      <c r="L404" s="94"/>
      <c r="M404" s="94"/>
      <c r="N404" s="95"/>
    </row>
    <row r="405">
      <c r="A405" s="93"/>
      <c r="B405" s="93"/>
      <c r="C405" s="93"/>
      <c r="D405" s="94"/>
      <c r="E405" s="95"/>
      <c r="F405" s="93"/>
      <c r="G405" s="93"/>
      <c r="H405" s="93"/>
      <c r="I405" s="93"/>
      <c r="J405" s="94"/>
      <c r="K405" s="94"/>
      <c r="L405" s="94"/>
      <c r="M405" s="94"/>
      <c r="N405" s="95"/>
    </row>
    <row r="406">
      <c r="A406" s="93"/>
      <c r="B406" s="93"/>
      <c r="C406" s="93"/>
      <c r="D406" s="94"/>
      <c r="E406" s="95"/>
      <c r="F406" s="93"/>
      <c r="G406" s="93"/>
      <c r="H406" s="93"/>
      <c r="I406" s="93"/>
      <c r="J406" s="94"/>
      <c r="K406" s="94"/>
      <c r="L406" s="94"/>
      <c r="M406" s="94"/>
      <c r="N406" s="95"/>
    </row>
    <row r="407">
      <c r="A407" s="93"/>
      <c r="B407" s="93"/>
      <c r="C407" s="93"/>
      <c r="D407" s="94"/>
      <c r="E407" s="95"/>
      <c r="F407" s="93"/>
      <c r="G407" s="93"/>
      <c r="H407" s="93"/>
      <c r="I407" s="93"/>
      <c r="J407" s="94"/>
      <c r="K407" s="94"/>
      <c r="L407" s="94"/>
      <c r="M407" s="94"/>
      <c r="N407" s="95"/>
    </row>
    <row r="408">
      <c r="A408" s="93"/>
      <c r="B408" s="93"/>
      <c r="C408" s="93"/>
      <c r="D408" s="94"/>
      <c r="E408" s="95"/>
      <c r="F408" s="93"/>
      <c r="G408" s="93"/>
      <c r="H408" s="93"/>
      <c r="I408" s="93"/>
      <c r="J408" s="94"/>
      <c r="K408" s="94"/>
      <c r="L408" s="94"/>
      <c r="M408" s="94"/>
      <c r="N408" s="95"/>
    </row>
    <row r="409">
      <c r="A409" s="93"/>
      <c r="B409" s="93"/>
      <c r="C409" s="93"/>
      <c r="D409" s="94"/>
      <c r="E409" s="95"/>
      <c r="F409" s="93"/>
      <c r="G409" s="93"/>
      <c r="H409" s="93"/>
      <c r="I409" s="93"/>
      <c r="J409" s="94"/>
      <c r="K409" s="94"/>
      <c r="L409" s="94"/>
      <c r="M409" s="94"/>
      <c r="N409" s="95"/>
    </row>
    <row r="410">
      <c r="A410" s="93"/>
      <c r="B410" s="93"/>
      <c r="C410" s="93"/>
      <c r="D410" s="94"/>
      <c r="E410" s="95"/>
      <c r="F410" s="93"/>
      <c r="G410" s="93"/>
      <c r="H410" s="93"/>
      <c r="I410" s="93"/>
      <c r="J410" s="94"/>
      <c r="K410" s="94"/>
      <c r="L410" s="94"/>
      <c r="M410" s="94"/>
      <c r="N410" s="95"/>
    </row>
    <row r="411">
      <c r="A411" s="93"/>
      <c r="B411" s="93"/>
      <c r="C411" s="93"/>
      <c r="D411" s="94"/>
      <c r="E411" s="95"/>
      <c r="F411" s="93"/>
      <c r="G411" s="93"/>
      <c r="H411" s="93"/>
      <c r="I411" s="93"/>
      <c r="J411" s="94"/>
      <c r="K411" s="94"/>
      <c r="L411" s="94"/>
      <c r="M411" s="94"/>
      <c r="N411" s="95"/>
    </row>
    <row r="412">
      <c r="A412" s="93"/>
      <c r="B412" s="93"/>
      <c r="C412" s="93"/>
      <c r="D412" s="94"/>
      <c r="E412" s="95"/>
      <c r="F412" s="93"/>
      <c r="G412" s="93"/>
      <c r="H412" s="93"/>
      <c r="I412" s="93"/>
      <c r="J412" s="94"/>
      <c r="K412" s="94"/>
      <c r="L412" s="94"/>
      <c r="M412" s="94"/>
      <c r="N412" s="95"/>
    </row>
    <row r="413">
      <c r="A413" s="93"/>
      <c r="B413" s="93"/>
      <c r="C413" s="93"/>
      <c r="D413" s="94"/>
      <c r="E413" s="95"/>
      <c r="F413" s="93"/>
      <c r="G413" s="93"/>
      <c r="H413" s="93"/>
      <c r="I413" s="93"/>
      <c r="J413" s="94"/>
      <c r="K413" s="94"/>
      <c r="L413" s="94"/>
      <c r="M413" s="94"/>
      <c r="N413" s="95"/>
    </row>
    <row r="414">
      <c r="A414" s="93"/>
      <c r="B414" s="93"/>
      <c r="C414" s="93"/>
      <c r="D414" s="94"/>
      <c r="E414" s="95"/>
      <c r="F414" s="93"/>
      <c r="G414" s="93"/>
      <c r="H414" s="93"/>
      <c r="I414" s="93"/>
      <c r="J414" s="94"/>
      <c r="K414" s="94"/>
      <c r="L414" s="94"/>
      <c r="M414" s="94"/>
      <c r="N414" s="95"/>
    </row>
    <row r="415">
      <c r="A415" s="93"/>
      <c r="B415" s="93"/>
      <c r="C415" s="93"/>
      <c r="D415" s="94"/>
      <c r="E415" s="95"/>
      <c r="F415" s="93"/>
      <c r="G415" s="93"/>
      <c r="H415" s="93"/>
      <c r="I415" s="93"/>
      <c r="J415" s="94"/>
      <c r="K415" s="94"/>
      <c r="L415" s="94"/>
      <c r="M415" s="94"/>
      <c r="N415" s="95"/>
    </row>
    <row r="416">
      <c r="A416" s="93"/>
      <c r="B416" s="93"/>
      <c r="C416" s="93"/>
      <c r="D416" s="94"/>
      <c r="E416" s="95"/>
      <c r="F416" s="93"/>
      <c r="G416" s="93"/>
      <c r="H416" s="93"/>
      <c r="I416" s="93"/>
      <c r="J416" s="94"/>
      <c r="K416" s="94"/>
      <c r="L416" s="94"/>
      <c r="M416" s="94"/>
      <c r="N416" s="95"/>
    </row>
    <row r="417">
      <c r="A417" s="93"/>
      <c r="B417" s="93"/>
      <c r="C417" s="93"/>
      <c r="D417" s="94"/>
      <c r="E417" s="95"/>
      <c r="F417" s="93"/>
      <c r="G417" s="93"/>
      <c r="H417" s="93"/>
      <c r="I417" s="93"/>
      <c r="J417" s="94"/>
      <c r="K417" s="94"/>
      <c r="L417" s="94"/>
      <c r="M417" s="94"/>
      <c r="N417" s="95"/>
    </row>
    <row r="418">
      <c r="A418" s="93"/>
      <c r="B418" s="93"/>
      <c r="C418" s="93"/>
      <c r="D418" s="94"/>
      <c r="E418" s="95"/>
      <c r="F418" s="93"/>
      <c r="G418" s="93"/>
      <c r="H418" s="93"/>
      <c r="I418" s="93"/>
      <c r="J418" s="94"/>
      <c r="K418" s="94"/>
      <c r="L418" s="94"/>
      <c r="M418" s="94"/>
      <c r="N418" s="95"/>
    </row>
    <row r="419">
      <c r="A419" s="93"/>
      <c r="B419" s="93"/>
      <c r="C419" s="93"/>
      <c r="D419" s="94"/>
      <c r="E419" s="95"/>
      <c r="F419" s="93"/>
      <c r="G419" s="93"/>
      <c r="H419" s="93"/>
      <c r="I419" s="93"/>
      <c r="J419" s="94"/>
      <c r="K419" s="94"/>
      <c r="L419" s="94"/>
      <c r="M419" s="94"/>
      <c r="N419" s="95"/>
    </row>
    <row r="420">
      <c r="A420" s="93"/>
      <c r="B420" s="93"/>
      <c r="C420" s="93"/>
      <c r="D420" s="94"/>
      <c r="E420" s="95"/>
      <c r="F420" s="93"/>
      <c r="G420" s="93"/>
      <c r="H420" s="93"/>
      <c r="I420" s="93"/>
      <c r="J420" s="94"/>
      <c r="K420" s="94"/>
      <c r="L420" s="94"/>
      <c r="M420" s="94"/>
      <c r="N420" s="95"/>
    </row>
    <row r="421">
      <c r="A421" s="93"/>
      <c r="B421" s="93"/>
      <c r="C421" s="93"/>
      <c r="D421" s="94"/>
      <c r="E421" s="95"/>
      <c r="F421" s="93"/>
      <c r="G421" s="93"/>
      <c r="H421" s="93"/>
      <c r="I421" s="93"/>
      <c r="J421" s="94"/>
      <c r="K421" s="94"/>
      <c r="L421" s="94"/>
      <c r="M421" s="94"/>
      <c r="N421" s="95"/>
    </row>
    <row r="422">
      <c r="A422" s="93"/>
      <c r="B422" s="93"/>
      <c r="C422" s="93"/>
      <c r="D422" s="94"/>
      <c r="E422" s="95"/>
      <c r="F422" s="93"/>
      <c r="G422" s="93"/>
      <c r="H422" s="93"/>
      <c r="I422" s="93"/>
      <c r="J422" s="94"/>
      <c r="K422" s="94"/>
      <c r="L422" s="94"/>
      <c r="M422" s="94"/>
      <c r="N422" s="95"/>
    </row>
    <row r="423">
      <c r="A423" s="93"/>
      <c r="B423" s="93"/>
      <c r="C423" s="93"/>
      <c r="D423" s="94"/>
      <c r="E423" s="95"/>
      <c r="F423" s="93"/>
      <c r="G423" s="93"/>
      <c r="H423" s="93"/>
      <c r="I423" s="93"/>
      <c r="J423" s="94"/>
      <c r="K423" s="94"/>
      <c r="L423" s="94"/>
      <c r="M423" s="94"/>
      <c r="N423" s="95"/>
    </row>
    <row r="424">
      <c r="A424" s="93"/>
      <c r="B424" s="93"/>
      <c r="C424" s="93"/>
      <c r="D424" s="94"/>
      <c r="E424" s="95"/>
      <c r="F424" s="93"/>
      <c r="G424" s="93"/>
      <c r="H424" s="93"/>
      <c r="I424" s="93"/>
      <c r="J424" s="94"/>
      <c r="K424" s="94"/>
      <c r="L424" s="94"/>
      <c r="M424" s="94"/>
      <c r="N424" s="95"/>
    </row>
    <row r="425">
      <c r="A425" s="93"/>
      <c r="B425" s="93"/>
      <c r="C425" s="93"/>
      <c r="D425" s="94"/>
      <c r="E425" s="95"/>
      <c r="F425" s="93"/>
      <c r="G425" s="93"/>
      <c r="H425" s="93"/>
      <c r="I425" s="93"/>
      <c r="J425" s="94"/>
      <c r="K425" s="94"/>
      <c r="L425" s="94"/>
      <c r="M425" s="94"/>
      <c r="N425" s="95"/>
    </row>
    <row r="426">
      <c r="A426" s="93"/>
      <c r="B426" s="93"/>
      <c r="C426" s="93"/>
      <c r="D426" s="94"/>
      <c r="E426" s="95"/>
      <c r="F426" s="93"/>
      <c r="G426" s="93"/>
      <c r="H426" s="93"/>
      <c r="I426" s="93"/>
      <c r="J426" s="94"/>
      <c r="K426" s="94"/>
      <c r="L426" s="94"/>
      <c r="M426" s="94"/>
      <c r="N426" s="95"/>
    </row>
    <row r="427">
      <c r="A427" s="93"/>
      <c r="B427" s="93"/>
      <c r="C427" s="93"/>
      <c r="D427" s="94"/>
      <c r="E427" s="95"/>
      <c r="F427" s="93"/>
      <c r="G427" s="93"/>
      <c r="H427" s="93"/>
      <c r="I427" s="93"/>
      <c r="J427" s="94"/>
      <c r="K427" s="94"/>
      <c r="L427" s="94"/>
      <c r="M427" s="94"/>
      <c r="N427" s="95"/>
    </row>
    <row r="428">
      <c r="A428" s="93"/>
      <c r="B428" s="93"/>
      <c r="C428" s="93"/>
      <c r="D428" s="94"/>
      <c r="E428" s="95"/>
      <c r="F428" s="93"/>
      <c r="G428" s="93"/>
      <c r="H428" s="93"/>
      <c r="I428" s="93"/>
      <c r="J428" s="94"/>
      <c r="K428" s="94"/>
      <c r="L428" s="94"/>
      <c r="M428" s="94"/>
      <c r="N428" s="95"/>
    </row>
    <row r="429">
      <c r="A429" s="93"/>
      <c r="B429" s="93"/>
      <c r="C429" s="93"/>
      <c r="D429" s="94"/>
      <c r="E429" s="95"/>
      <c r="F429" s="93"/>
      <c r="G429" s="93"/>
      <c r="H429" s="93"/>
      <c r="I429" s="93"/>
      <c r="J429" s="94"/>
      <c r="K429" s="94"/>
      <c r="L429" s="94"/>
      <c r="M429" s="94"/>
      <c r="N429" s="95"/>
    </row>
    <row r="430">
      <c r="A430" s="93"/>
      <c r="B430" s="93"/>
      <c r="C430" s="93"/>
      <c r="D430" s="94"/>
      <c r="E430" s="95"/>
      <c r="F430" s="93"/>
      <c r="G430" s="93"/>
      <c r="H430" s="93"/>
      <c r="I430" s="93"/>
      <c r="J430" s="94"/>
      <c r="K430" s="94"/>
      <c r="L430" s="94"/>
      <c r="M430" s="94"/>
      <c r="N430" s="95"/>
    </row>
    <row r="431">
      <c r="A431" s="93"/>
      <c r="B431" s="93"/>
      <c r="C431" s="93"/>
      <c r="D431" s="94"/>
      <c r="E431" s="95"/>
      <c r="F431" s="93"/>
      <c r="G431" s="93"/>
      <c r="H431" s="93"/>
      <c r="I431" s="93"/>
      <c r="J431" s="94"/>
      <c r="K431" s="94"/>
      <c r="L431" s="94"/>
      <c r="M431" s="94"/>
      <c r="N431" s="95"/>
    </row>
    <row r="432">
      <c r="A432" s="93"/>
      <c r="B432" s="93"/>
      <c r="C432" s="93"/>
      <c r="D432" s="94"/>
      <c r="E432" s="95"/>
      <c r="F432" s="93"/>
      <c r="G432" s="93"/>
      <c r="H432" s="93"/>
      <c r="I432" s="93"/>
      <c r="J432" s="94"/>
      <c r="K432" s="94"/>
      <c r="L432" s="94"/>
      <c r="M432" s="94"/>
      <c r="N432" s="95"/>
    </row>
    <row r="433">
      <c r="A433" s="93"/>
      <c r="B433" s="93"/>
      <c r="C433" s="93"/>
      <c r="D433" s="94"/>
      <c r="E433" s="95"/>
      <c r="F433" s="93"/>
      <c r="G433" s="93"/>
      <c r="H433" s="93"/>
      <c r="I433" s="93"/>
      <c r="J433" s="94"/>
      <c r="K433" s="94"/>
      <c r="L433" s="94"/>
      <c r="M433" s="94"/>
      <c r="N433" s="95"/>
    </row>
    <row r="434">
      <c r="A434" s="93"/>
      <c r="B434" s="93"/>
      <c r="C434" s="93"/>
      <c r="D434" s="94"/>
      <c r="E434" s="95"/>
      <c r="F434" s="93"/>
      <c r="G434" s="93"/>
      <c r="H434" s="93"/>
      <c r="I434" s="93"/>
      <c r="J434" s="94"/>
      <c r="K434" s="94"/>
      <c r="L434" s="94"/>
      <c r="M434" s="94"/>
      <c r="N434" s="95"/>
    </row>
    <row r="435">
      <c r="A435" s="93"/>
      <c r="B435" s="93"/>
      <c r="C435" s="93"/>
      <c r="D435" s="94"/>
      <c r="E435" s="95"/>
      <c r="F435" s="93"/>
      <c r="G435" s="93"/>
      <c r="H435" s="93"/>
      <c r="I435" s="93"/>
      <c r="J435" s="94"/>
      <c r="K435" s="94"/>
      <c r="L435" s="94"/>
      <c r="M435" s="94"/>
      <c r="N435" s="95"/>
    </row>
    <row r="436">
      <c r="A436" s="93"/>
      <c r="B436" s="93"/>
      <c r="C436" s="93"/>
      <c r="D436" s="94"/>
      <c r="E436" s="95"/>
      <c r="F436" s="93"/>
      <c r="G436" s="93"/>
      <c r="H436" s="93"/>
      <c r="I436" s="93"/>
      <c r="J436" s="94"/>
      <c r="K436" s="94"/>
      <c r="L436" s="94"/>
      <c r="M436" s="94"/>
      <c r="N436" s="95"/>
    </row>
    <row r="437">
      <c r="A437" s="93"/>
      <c r="B437" s="93"/>
      <c r="C437" s="93"/>
      <c r="D437" s="94"/>
      <c r="E437" s="95"/>
      <c r="F437" s="93"/>
      <c r="G437" s="93"/>
      <c r="H437" s="93"/>
      <c r="I437" s="93"/>
      <c r="J437" s="94"/>
      <c r="K437" s="94"/>
      <c r="L437" s="94"/>
      <c r="M437" s="94"/>
      <c r="N437" s="95"/>
    </row>
    <row r="438">
      <c r="A438" s="93"/>
      <c r="B438" s="93"/>
      <c r="C438" s="93"/>
      <c r="D438" s="94"/>
      <c r="E438" s="95"/>
      <c r="F438" s="93"/>
      <c r="G438" s="93"/>
      <c r="H438" s="93"/>
      <c r="I438" s="93"/>
      <c r="J438" s="94"/>
      <c r="K438" s="94"/>
      <c r="L438" s="94"/>
      <c r="M438" s="94"/>
      <c r="N438" s="95"/>
    </row>
    <row r="439">
      <c r="A439" s="93"/>
      <c r="B439" s="93"/>
      <c r="C439" s="93"/>
      <c r="D439" s="94"/>
      <c r="E439" s="95"/>
      <c r="F439" s="93"/>
      <c r="G439" s="93"/>
      <c r="H439" s="93"/>
      <c r="I439" s="93"/>
      <c r="J439" s="94"/>
      <c r="K439" s="94"/>
      <c r="L439" s="94"/>
      <c r="M439" s="94"/>
      <c r="N439" s="95"/>
    </row>
    <row r="440">
      <c r="A440" s="93"/>
      <c r="B440" s="93"/>
      <c r="C440" s="93"/>
      <c r="D440" s="94"/>
      <c r="E440" s="95"/>
      <c r="F440" s="93"/>
      <c r="G440" s="93"/>
      <c r="H440" s="93"/>
      <c r="I440" s="93"/>
      <c r="J440" s="94"/>
      <c r="K440" s="94"/>
      <c r="L440" s="94"/>
      <c r="M440" s="94"/>
      <c r="N440" s="95"/>
    </row>
    <row r="441">
      <c r="A441" s="93"/>
      <c r="B441" s="93"/>
      <c r="C441" s="93"/>
      <c r="D441" s="94"/>
      <c r="E441" s="95"/>
      <c r="F441" s="93"/>
      <c r="G441" s="93"/>
      <c r="H441" s="93"/>
      <c r="I441" s="93"/>
      <c r="J441" s="94"/>
      <c r="K441" s="94"/>
      <c r="L441" s="94"/>
      <c r="M441" s="94"/>
      <c r="N441" s="95"/>
    </row>
    <row r="442">
      <c r="A442" s="93"/>
      <c r="B442" s="93"/>
      <c r="C442" s="93"/>
      <c r="D442" s="94"/>
      <c r="E442" s="95"/>
      <c r="F442" s="93"/>
      <c r="G442" s="93"/>
      <c r="H442" s="93"/>
      <c r="I442" s="93"/>
      <c r="J442" s="94"/>
      <c r="K442" s="94"/>
      <c r="L442" s="94"/>
      <c r="M442" s="94"/>
      <c r="N442" s="95"/>
    </row>
    <row r="443">
      <c r="A443" s="93"/>
      <c r="B443" s="93"/>
      <c r="C443" s="93"/>
      <c r="D443" s="94"/>
      <c r="E443" s="95"/>
      <c r="F443" s="93"/>
      <c r="G443" s="93"/>
      <c r="H443" s="93"/>
      <c r="I443" s="93"/>
      <c r="J443" s="94"/>
      <c r="K443" s="94"/>
      <c r="L443" s="94"/>
      <c r="M443" s="94"/>
      <c r="N443" s="95"/>
    </row>
    <row r="444">
      <c r="A444" s="93"/>
      <c r="B444" s="93"/>
      <c r="C444" s="93"/>
      <c r="D444" s="94"/>
      <c r="E444" s="95"/>
      <c r="F444" s="93"/>
      <c r="G444" s="93"/>
      <c r="H444" s="93"/>
      <c r="I444" s="93"/>
      <c r="J444" s="94"/>
      <c r="K444" s="94"/>
      <c r="L444" s="94"/>
      <c r="M444" s="94"/>
      <c r="N444" s="95"/>
    </row>
    <row r="445">
      <c r="A445" s="93"/>
      <c r="B445" s="93"/>
      <c r="C445" s="93"/>
      <c r="D445" s="94"/>
      <c r="E445" s="95"/>
      <c r="F445" s="93"/>
      <c r="G445" s="93"/>
      <c r="H445" s="93"/>
      <c r="I445" s="93"/>
      <c r="J445" s="94"/>
      <c r="K445" s="94"/>
      <c r="L445" s="94"/>
      <c r="M445" s="94"/>
      <c r="N445" s="95"/>
    </row>
    <row r="446">
      <c r="A446" s="93"/>
      <c r="B446" s="93"/>
      <c r="C446" s="93"/>
      <c r="D446" s="94"/>
      <c r="E446" s="95"/>
      <c r="F446" s="93"/>
      <c r="G446" s="93"/>
      <c r="H446" s="93"/>
      <c r="I446" s="93"/>
      <c r="J446" s="94"/>
      <c r="K446" s="94"/>
      <c r="L446" s="94"/>
      <c r="M446" s="94"/>
      <c r="N446" s="95"/>
    </row>
    <row r="447">
      <c r="A447" s="93"/>
      <c r="B447" s="93"/>
      <c r="C447" s="93"/>
      <c r="D447" s="94"/>
      <c r="E447" s="95"/>
      <c r="F447" s="93"/>
      <c r="G447" s="93"/>
      <c r="H447" s="93"/>
      <c r="I447" s="93"/>
      <c r="J447" s="94"/>
      <c r="K447" s="94"/>
      <c r="L447" s="94"/>
      <c r="M447" s="94"/>
      <c r="N447" s="95"/>
    </row>
    <row r="448">
      <c r="A448" s="93"/>
      <c r="B448" s="93"/>
      <c r="C448" s="93"/>
      <c r="D448" s="94"/>
      <c r="E448" s="95"/>
      <c r="F448" s="93"/>
      <c r="G448" s="93"/>
      <c r="H448" s="93"/>
      <c r="I448" s="93"/>
      <c r="J448" s="94"/>
      <c r="K448" s="94"/>
      <c r="L448" s="94"/>
      <c r="M448" s="94"/>
      <c r="N448" s="95"/>
    </row>
    <row r="449">
      <c r="A449" s="93"/>
      <c r="B449" s="93"/>
      <c r="C449" s="93"/>
      <c r="D449" s="94"/>
      <c r="E449" s="95"/>
      <c r="F449" s="93"/>
      <c r="G449" s="93"/>
      <c r="H449" s="93"/>
      <c r="I449" s="93"/>
      <c r="J449" s="94"/>
      <c r="K449" s="94"/>
      <c r="L449" s="94"/>
      <c r="M449" s="94"/>
      <c r="N449" s="95"/>
    </row>
    <row r="450">
      <c r="A450" s="93"/>
      <c r="B450" s="93"/>
      <c r="C450" s="93"/>
      <c r="D450" s="94"/>
      <c r="E450" s="95"/>
      <c r="F450" s="93"/>
      <c r="G450" s="93"/>
      <c r="H450" s="93"/>
      <c r="I450" s="93"/>
      <c r="J450" s="94"/>
      <c r="K450" s="94"/>
      <c r="L450" s="94"/>
      <c r="M450" s="94"/>
      <c r="N450" s="95"/>
    </row>
    <row r="451">
      <c r="A451" s="93"/>
      <c r="B451" s="93"/>
      <c r="C451" s="93"/>
      <c r="D451" s="94"/>
      <c r="E451" s="95"/>
      <c r="F451" s="93"/>
      <c r="G451" s="93"/>
      <c r="H451" s="93"/>
      <c r="I451" s="93"/>
      <c r="J451" s="94"/>
      <c r="K451" s="94"/>
      <c r="L451" s="94"/>
      <c r="M451" s="94"/>
      <c r="N451" s="95"/>
    </row>
    <row r="452">
      <c r="A452" s="93"/>
      <c r="B452" s="93"/>
      <c r="C452" s="93"/>
      <c r="D452" s="94"/>
      <c r="E452" s="95"/>
      <c r="F452" s="93"/>
      <c r="G452" s="93"/>
      <c r="H452" s="93"/>
      <c r="I452" s="93"/>
      <c r="J452" s="94"/>
      <c r="K452" s="94"/>
      <c r="L452" s="94"/>
      <c r="M452" s="94"/>
      <c r="N452" s="95"/>
    </row>
    <row r="453">
      <c r="A453" s="93"/>
      <c r="B453" s="93"/>
      <c r="C453" s="93"/>
      <c r="D453" s="94"/>
      <c r="E453" s="95"/>
      <c r="F453" s="93"/>
      <c r="G453" s="93"/>
      <c r="H453" s="93"/>
      <c r="I453" s="93"/>
      <c r="J453" s="94"/>
      <c r="K453" s="94"/>
      <c r="L453" s="94"/>
      <c r="M453" s="94"/>
      <c r="N453" s="95"/>
    </row>
    <row r="454">
      <c r="A454" s="93"/>
      <c r="B454" s="93"/>
      <c r="C454" s="93"/>
      <c r="D454" s="94"/>
      <c r="E454" s="95"/>
      <c r="F454" s="93"/>
      <c r="G454" s="93"/>
      <c r="H454" s="93"/>
      <c r="I454" s="93"/>
      <c r="J454" s="94"/>
      <c r="K454" s="94"/>
      <c r="L454" s="94"/>
      <c r="M454" s="94"/>
      <c r="N454" s="95"/>
    </row>
    <row r="455">
      <c r="A455" s="93"/>
      <c r="B455" s="93"/>
      <c r="C455" s="93"/>
      <c r="D455" s="94"/>
      <c r="E455" s="95"/>
      <c r="F455" s="93"/>
      <c r="G455" s="93"/>
      <c r="H455" s="93"/>
      <c r="I455" s="93"/>
      <c r="J455" s="94"/>
      <c r="K455" s="94"/>
      <c r="L455" s="94"/>
      <c r="M455" s="94"/>
      <c r="N455" s="95"/>
    </row>
    <row r="456">
      <c r="A456" s="93"/>
      <c r="B456" s="93"/>
      <c r="C456" s="93"/>
      <c r="D456" s="94"/>
      <c r="E456" s="95"/>
      <c r="F456" s="93"/>
      <c r="G456" s="93"/>
      <c r="H456" s="93"/>
      <c r="I456" s="93"/>
      <c r="J456" s="94"/>
      <c r="K456" s="94"/>
      <c r="L456" s="94"/>
      <c r="M456" s="94"/>
      <c r="N456" s="95"/>
    </row>
    <row r="457">
      <c r="A457" s="93"/>
      <c r="B457" s="93"/>
      <c r="C457" s="93"/>
      <c r="D457" s="94"/>
      <c r="E457" s="95"/>
      <c r="F457" s="93"/>
      <c r="G457" s="93"/>
      <c r="H457" s="93"/>
      <c r="I457" s="93"/>
      <c r="J457" s="94"/>
      <c r="K457" s="94"/>
      <c r="L457" s="94"/>
      <c r="M457" s="94"/>
      <c r="N457" s="95"/>
    </row>
    <row r="458">
      <c r="A458" s="93"/>
      <c r="B458" s="93"/>
      <c r="C458" s="93"/>
      <c r="D458" s="94"/>
      <c r="E458" s="95"/>
      <c r="F458" s="93"/>
      <c r="G458" s="93"/>
      <c r="H458" s="93"/>
      <c r="I458" s="93"/>
      <c r="J458" s="94"/>
      <c r="K458" s="94"/>
      <c r="L458" s="94"/>
      <c r="M458" s="94"/>
      <c r="N458" s="95"/>
    </row>
    <row r="459">
      <c r="A459" s="93"/>
      <c r="B459" s="93"/>
      <c r="C459" s="93"/>
      <c r="D459" s="94"/>
      <c r="E459" s="95"/>
      <c r="F459" s="93"/>
      <c r="G459" s="93"/>
      <c r="H459" s="93"/>
      <c r="I459" s="93"/>
      <c r="J459" s="94"/>
      <c r="K459" s="94"/>
      <c r="L459" s="94"/>
      <c r="M459" s="94"/>
      <c r="N459" s="95"/>
    </row>
    <row r="460">
      <c r="A460" s="93"/>
      <c r="B460" s="93"/>
      <c r="C460" s="93"/>
      <c r="D460" s="94"/>
      <c r="E460" s="95"/>
      <c r="F460" s="93"/>
      <c r="G460" s="93"/>
      <c r="H460" s="93"/>
      <c r="I460" s="93"/>
      <c r="J460" s="94"/>
      <c r="K460" s="94"/>
      <c r="L460" s="94"/>
      <c r="M460" s="94"/>
      <c r="N460" s="95"/>
    </row>
    <row r="461">
      <c r="A461" s="93"/>
      <c r="B461" s="93"/>
      <c r="C461" s="93"/>
      <c r="D461" s="94"/>
      <c r="E461" s="95"/>
      <c r="F461" s="93"/>
      <c r="G461" s="93"/>
      <c r="H461" s="93"/>
      <c r="I461" s="93"/>
      <c r="J461" s="94"/>
      <c r="K461" s="94"/>
      <c r="L461" s="94"/>
      <c r="M461" s="94"/>
      <c r="N461" s="95"/>
    </row>
    <row r="462">
      <c r="A462" s="93"/>
      <c r="B462" s="93"/>
      <c r="C462" s="93"/>
      <c r="D462" s="94"/>
      <c r="E462" s="95"/>
      <c r="F462" s="93"/>
      <c r="G462" s="93"/>
      <c r="H462" s="93"/>
      <c r="I462" s="93"/>
      <c r="J462" s="94"/>
      <c r="K462" s="94"/>
      <c r="L462" s="94"/>
      <c r="M462" s="94"/>
      <c r="N462" s="95"/>
    </row>
    <row r="463">
      <c r="A463" s="93"/>
      <c r="B463" s="93"/>
      <c r="C463" s="93"/>
      <c r="D463" s="94"/>
      <c r="E463" s="95"/>
      <c r="F463" s="93"/>
      <c r="G463" s="93"/>
      <c r="H463" s="93"/>
      <c r="I463" s="93"/>
      <c r="J463" s="94"/>
      <c r="K463" s="94"/>
      <c r="L463" s="94"/>
      <c r="M463" s="94"/>
      <c r="N463" s="95"/>
    </row>
    <row r="464">
      <c r="A464" s="93"/>
      <c r="B464" s="93"/>
      <c r="C464" s="93"/>
      <c r="D464" s="94"/>
      <c r="E464" s="95"/>
      <c r="F464" s="93"/>
      <c r="G464" s="93"/>
      <c r="H464" s="93"/>
      <c r="I464" s="93"/>
      <c r="J464" s="94"/>
      <c r="K464" s="94"/>
      <c r="L464" s="94"/>
      <c r="M464" s="94"/>
      <c r="N464" s="95"/>
    </row>
    <row r="465">
      <c r="A465" s="93"/>
      <c r="B465" s="93"/>
      <c r="C465" s="93"/>
      <c r="D465" s="94"/>
      <c r="E465" s="95"/>
      <c r="F465" s="93"/>
      <c r="G465" s="93"/>
      <c r="H465" s="93"/>
      <c r="I465" s="93"/>
      <c r="J465" s="94"/>
      <c r="K465" s="94"/>
      <c r="L465" s="94"/>
      <c r="M465" s="94"/>
      <c r="N465" s="95"/>
    </row>
    <row r="466">
      <c r="A466" s="93"/>
      <c r="B466" s="93"/>
      <c r="C466" s="93"/>
      <c r="D466" s="94"/>
      <c r="E466" s="95"/>
      <c r="F466" s="93"/>
      <c r="G466" s="93"/>
      <c r="H466" s="93"/>
      <c r="I466" s="93"/>
      <c r="J466" s="94"/>
      <c r="K466" s="94"/>
      <c r="L466" s="94"/>
      <c r="M466" s="94"/>
      <c r="N466" s="95"/>
    </row>
    <row r="467">
      <c r="A467" s="93"/>
      <c r="B467" s="93"/>
      <c r="C467" s="93"/>
      <c r="D467" s="94"/>
      <c r="E467" s="95"/>
      <c r="F467" s="93"/>
      <c r="G467" s="93"/>
      <c r="H467" s="93"/>
      <c r="I467" s="93"/>
      <c r="J467" s="94"/>
      <c r="K467" s="94"/>
      <c r="L467" s="94"/>
      <c r="M467" s="94"/>
      <c r="N467" s="95"/>
    </row>
    <row r="468">
      <c r="A468" s="93"/>
      <c r="B468" s="93"/>
      <c r="C468" s="93"/>
      <c r="D468" s="94"/>
      <c r="E468" s="95"/>
      <c r="F468" s="93"/>
      <c r="G468" s="93"/>
      <c r="H468" s="93"/>
      <c r="I468" s="93"/>
      <c r="J468" s="94"/>
      <c r="K468" s="94"/>
      <c r="L468" s="94"/>
      <c r="M468" s="94"/>
      <c r="N468" s="95"/>
    </row>
    <row r="469">
      <c r="A469" s="93"/>
      <c r="B469" s="93"/>
      <c r="C469" s="93"/>
      <c r="D469" s="94"/>
      <c r="E469" s="95"/>
      <c r="F469" s="93"/>
      <c r="G469" s="93"/>
      <c r="H469" s="93"/>
      <c r="I469" s="93"/>
      <c r="J469" s="94"/>
      <c r="K469" s="94"/>
      <c r="L469" s="94"/>
      <c r="M469" s="94"/>
      <c r="N469" s="95"/>
    </row>
    <row r="470">
      <c r="A470" s="93"/>
      <c r="B470" s="93"/>
      <c r="C470" s="93"/>
      <c r="D470" s="94"/>
      <c r="E470" s="95"/>
      <c r="F470" s="93"/>
      <c r="G470" s="93"/>
      <c r="H470" s="93"/>
      <c r="I470" s="93"/>
      <c r="J470" s="94"/>
      <c r="K470" s="94"/>
      <c r="L470" s="94"/>
      <c r="M470" s="94"/>
      <c r="N470" s="95"/>
    </row>
    <row r="471">
      <c r="A471" s="93"/>
      <c r="B471" s="93"/>
      <c r="C471" s="93"/>
      <c r="D471" s="94"/>
      <c r="E471" s="95"/>
      <c r="F471" s="93"/>
      <c r="G471" s="93"/>
      <c r="H471" s="93"/>
      <c r="I471" s="93"/>
      <c r="J471" s="94"/>
      <c r="K471" s="94"/>
      <c r="L471" s="94"/>
      <c r="M471" s="94"/>
      <c r="N471" s="95"/>
    </row>
    <row r="472">
      <c r="A472" s="93"/>
      <c r="B472" s="93"/>
      <c r="C472" s="93"/>
      <c r="D472" s="94"/>
      <c r="E472" s="95"/>
      <c r="F472" s="93"/>
      <c r="G472" s="93"/>
      <c r="H472" s="93"/>
      <c r="I472" s="93"/>
      <c r="J472" s="94"/>
      <c r="K472" s="94"/>
      <c r="L472" s="94"/>
      <c r="M472" s="94"/>
      <c r="N472" s="95"/>
    </row>
    <row r="473">
      <c r="A473" s="93"/>
      <c r="B473" s="93"/>
      <c r="C473" s="93"/>
      <c r="D473" s="94"/>
      <c r="E473" s="95"/>
      <c r="F473" s="93"/>
      <c r="G473" s="93"/>
      <c r="H473" s="93"/>
      <c r="I473" s="93"/>
      <c r="J473" s="94"/>
      <c r="K473" s="94"/>
      <c r="L473" s="94"/>
      <c r="M473" s="94"/>
      <c r="N473" s="95"/>
    </row>
    <row r="474">
      <c r="A474" s="93"/>
      <c r="B474" s="93"/>
      <c r="C474" s="93"/>
      <c r="D474" s="94"/>
      <c r="E474" s="95"/>
      <c r="F474" s="93"/>
      <c r="G474" s="93"/>
      <c r="H474" s="93"/>
      <c r="I474" s="93"/>
      <c r="J474" s="94"/>
      <c r="K474" s="94"/>
      <c r="L474" s="94"/>
      <c r="M474" s="94"/>
      <c r="N474" s="95"/>
    </row>
    <row r="475">
      <c r="A475" s="93"/>
      <c r="B475" s="93"/>
      <c r="C475" s="93"/>
      <c r="D475" s="94"/>
      <c r="E475" s="95"/>
      <c r="F475" s="93"/>
      <c r="G475" s="93"/>
      <c r="H475" s="93"/>
      <c r="I475" s="93"/>
      <c r="J475" s="94"/>
      <c r="K475" s="94"/>
      <c r="L475" s="94"/>
      <c r="M475" s="94"/>
      <c r="N475" s="95"/>
    </row>
    <row r="476">
      <c r="A476" s="93"/>
      <c r="B476" s="93"/>
      <c r="C476" s="93"/>
      <c r="D476" s="94"/>
      <c r="E476" s="95"/>
      <c r="F476" s="93"/>
      <c r="G476" s="93"/>
      <c r="H476" s="93"/>
      <c r="I476" s="93"/>
      <c r="J476" s="94"/>
      <c r="K476" s="94"/>
      <c r="L476" s="94"/>
      <c r="M476" s="94"/>
      <c r="N476" s="95"/>
    </row>
    <row r="477">
      <c r="A477" s="93"/>
      <c r="B477" s="93"/>
      <c r="C477" s="93"/>
      <c r="D477" s="94"/>
      <c r="E477" s="95"/>
      <c r="F477" s="93"/>
      <c r="G477" s="93"/>
      <c r="H477" s="93"/>
      <c r="I477" s="93"/>
      <c r="J477" s="94"/>
      <c r="K477" s="94"/>
      <c r="L477" s="94"/>
      <c r="M477" s="94"/>
      <c r="N477" s="95"/>
    </row>
    <row r="478">
      <c r="A478" s="93"/>
      <c r="B478" s="93"/>
      <c r="C478" s="93"/>
      <c r="D478" s="94"/>
      <c r="E478" s="95"/>
      <c r="F478" s="93"/>
      <c r="G478" s="93"/>
      <c r="H478" s="93"/>
      <c r="I478" s="93"/>
      <c r="J478" s="94"/>
      <c r="K478" s="94"/>
      <c r="L478" s="94"/>
      <c r="M478" s="94"/>
      <c r="N478" s="95"/>
    </row>
    <row r="479">
      <c r="A479" s="93"/>
      <c r="B479" s="93"/>
      <c r="C479" s="93"/>
      <c r="D479" s="94"/>
      <c r="E479" s="95"/>
      <c r="F479" s="93"/>
      <c r="G479" s="93"/>
      <c r="H479" s="93"/>
      <c r="I479" s="93"/>
      <c r="J479" s="94"/>
      <c r="K479" s="94"/>
      <c r="L479" s="94"/>
      <c r="M479" s="94"/>
      <c r="N479" s="95"/>
    </row>
    <row r="480">
      <c r="A480" s="93"/>
      <c r="B480" s="93"/>
      <c r="C480" s="93"/>
      <c r="D480" s="94"/>
      <c r="E480" s="95"/>
      <c r="F480" s="93"/>
      <c r="G480" s="93"/>
      <c r="H480" s="93"/>
      <c r="I480" s="93"/>
      <c r="J480" s="94"/>
      <c r="K480" s="94"/>
      <c r="L480" s="94"/>
      <c r="M480" s="94"/>
      <c r="N480" s="95"/>
    </row>
    <row r="481">
      <c r="A481" s="93"/>
      <c r="B481" s="93"/>
      <c r="C481" s="93"/>
      <c r="D481" s="94"/>
      <c r="E481" s="95"/>
      <c r="F481" s="93"/>
      <c r="G481" s="93"/>
      <c r="H481" s="93"/>
      <c r="I481" s="93"/>
      <c r="J481" s="94"/>
      <c r="K481" s="94"/>
      <c r="L481" s="94"/>
      <c r="M481" s="94"/>
      <c r="N481" s="95"/>
    </row>
    <row r="482">
      <c r="A482" s="93"/>
      <c r="B482" s="93"/>
      <c r="C482" s="93"/>
      <c r="D482" s="94"/>
      <c r="E482" s="95"/>
      <c r="F482" s="93"/>
      <c r="G482" s="93"/>
      <c r="H482" s="93"/>
      <c r="I482" s="93"/>
      <c r="J482" s="94"/>
      <c r="K482" s="94"/>
      <c r="L482" s="94"/>
      <c r="M482" s="94"/>
      <c r="N482" s="95"/>
    </row>
    <row r="483">
      <c r="A483" s="93"/>
      <c r="B483" s="93"/>
      <c r="C483" s="93"/>
      <c r="D483" s="94"/>
      <c r="E483" s="95"/>
      <c r="F483" s="93"/>
      <c r="G483" s="93"/>
      <c r="H483" s="93"/>
      <c r="I483" s="93"/>
      <c r="J483" s="94"/>
      <c r="K483" s="94"/>
      <c r="L483" s="94"/>
      <c r="M483" s="94"/>
      <c r="N483" s="95"/>
    </row>
    <row r="484">
      <c r="A484" s="93"/>
      <c r="B484" s="93"/>
      <c r="C484" s="93"/>
      <c r="D484" s="94"/>
      <c r="E484" s="95"/>
      <c r="F484" s="93"/>
      <c r="G484" s="93"/>
      <c r="H484" s="93"/>
      <c r="I484" s="93"/>
      <c r="J484" s="94"/>
      <c r="K484" s="94"/>
      <c r="L484" s="94"/>
      <c r="M484" s="94"/>
      <c r="N484" s="95"/>
    </row>
    <row r="485">
      <c r="A485" s="93"/>
      <c r="B485" s="93"/>
      <c r="C485" s="93"/>
      <c r="D485" s="94"/>
      <c r="E485" s="95"/>
      <c r="F485" s="93"/>
      <c r="G485" s="93"/>
      <c r="H485" s="93"/>
      <c r="I485" s="93"/>
      <c r="J485" s="94"/>
      <c r="K485" s="94"/>
      <c r="L485" s="94"/>
      <c r="M485" s="94"/>
      <c r="N485" s="95"/>
    </row>
    <row r="486">
      <c r="A486" s="93"/>
      <c r="B486" s="93"/>
      <c r="C486" s="93"/>
      <c r="D486" s="94"/>
      <c r="E486" s="95"/>
      <c r="F486" s="93"/>
      <c r="G486" s="93"/>
      <c r="H486" s="93"/>
      <c r="I486" s="93"/>
      <c r="J486" s="94"/>
      <c r="K486" s="94"/>
      <c r="L486" s="94"/>
      <c r="M486" s="94"/>
      <c r="N486" s="95"/>
    </row>
    <row r="487">
      <c r="A487" s="93"/>
      <c r="B487" s="93"/>
      <c r="C487" s="93"/>
      <c r="D487" s="94"/>
      <c r="E487" s="95"/>
      <c r="F487" s="93"/>
      <c r="G487" s="93"/>
      <c r="H487" s="93"/>
      <c r="I487" s="93"/>
      <c r="J487" s="94"/>
      <c r="K487" s="94"/>
      <c r="L487" s="94"/>
      <c r="M487" s="94"/>
      <c r="N487" s="95"/>
    </row>
    <row r="488">
      <c r="A488" s="93"/>
      <c r="B488" s="93"/>
      <c r="C488" s="93"/>
      <c r="D488" s="94"/>
      <c r="E488" s="95"/>
      <c r="F488" s="93"/>
      <c r="G488" s="93"/>
      <c r="H488" s="93"/>
      <c r="I488" s="93"/>
      <c r="J488" s="94"/>
      <c r="K488" s="94"/>
      <c r="L488" s="94"/>
      <c r="M488" s="94"/>
      <c r="N488" s="95"/>
    </row>
    <row r="489">
      <c r="A489" s="93"/>
      <c r="B489" s="93"/>
      <c r="C489" s="93"/>
      <c r="D489" s="94"/>
      <c r="E489" s="95"/>
      <c r="F489" s="93"/>
      <c r="G489" s="93"/>
      <c r="H489" s="93"/>
      <c r="I489" s="93"/>
      <c r="J489" s="94"/>
      <c r="K489" s="94"/>
      <c r="L489" s="94"/>
      <c r="M489" s="94"/>
      <c r="N489" s="95"/>
    </row>
    <row r="490">
      <c r="A490" s="93"/>
      <c r="B490" s="93"/>
      <c r="C490" s="93"/>
      <c r="D490" s="94"/>
      <c r="E490" s="95"/>
      <c r="F490" s="93"/>
      <c r="G490" s="93"/>
      <c r="H490" s="93"/>
      <c r="I490" s="93"/>
      <c r="J490" s="94"/>
      <c r="K490" s="94"/>
      <c r="L490" s="94"/>
      <c r="M490" s="94"/>
      <c r="N490" s="95"/>
    </row>
    <row r="491">
      <c r="A491" s="93"/>
      <c r="B491" s="93"/>
      <c r="C491" s="93"/>
      <c r="D491" s="94"/>
      <c r="E491" s="95"/>
      <c r="F491" s="93"/>
      <c r="G491" s="93"/>
      <c r="H491" s="93"/>
      <c r="I491" s="93"/>
      <c r="J491" s="94"/>
      <c r="K491" s="94"/>
      <c r="L491" s="94"/>
      <c r="M491" s="94"/>
      <c r="N491" s="95"/>
    </row>
    <row r="492">
      <c r="A492" s="93"/>
      <c r="B492" s="93"/>
      <c r="C492" s="93"/>
      <c r="D492" s="94"/>
      <c r="E492" s="95"/>
      <c r="F492" s="93"/>
      <c r="G492" s="93"/>
      <c r="H492" s="93"/>
      <c r="I492" s="93"/>
      <c r="J492" s="94"/>
      <c r="K492" s="94"/>
      <c r="L492" s="94"/>
      <c r="M492" s="94"/>
      <c r="N492" s="95"/>
    </row>
    <row r="493">
      <c r="A493" s="93"/>
      <c r="B493" s="93"/>
      <c r="C493" s="93"/>
      <c r="D493" s="94"/>
      <c r="E493" s="95"/>
      <c r="F493" s="93"/>
      <c r="G493" s="93"/>
      <c r="H493" s="93"/>
      <c r="I493" s="93"/>
      <c r="J493" s="94"/>
      <c r="K493" s="94"/>
      <c r="L493" s="94"/>
      <c r="M493" s="94"/>
      <c r="N493" s="95"/>
    </row>
    <row r="494">
      <c r="A494" s="93"/>
      <c r="B494" s="93"/>
      <c r="C494" s="93"/>
      <c r="D494" s="94"/>
      <c r="E494" s="95"/>
      <c r="F494" s="93"/>
      <c r="G494" s="93"/>
      <c r="H494" s="93"/>
      <c r="I494" s="93"/>
      <c r="J494" s="94"/>
      <c r="K494" s="94"/>
      <c r="L494" s="94"/>
      <c r="M494" s="94"/>
      <c r="N494" s="95"/>
    </row>
    <row r="495">
      <c r="A495" s="93"/>
      <c r="B495" s="93"/>
      <c r="C495" s="93"/>
      <c r="D495" s="94"/>
      <c r="E495" s="95"/>
      <c r="F495" s="93"/>
      <c r="G495" s="93"/>
      <c r="H495" s="93"/>
      <c r="I495" s="93"/>
      <c r="J495" s="94"/>
      <c r="K495" s="94"/>
      <c r="L495" s="94"/>
      <c r="M495" s="94"/>
      <c r="N495" s="95"/>
    </row>
    <row r="496">
      <c r="A496" s="93"/>
      <c r="B496" s="93"/>
      <c r="C496" s="93"/>
      <c r="D496" s="94"/>
      <c r="E496" s="95"/>
      <c r="F496" s="93"/>
      <c r="G496" s="93"/>
      <c r="H496" s="93"/>
      <c r="I496" s="93"/>
      <c r="J496" s="94"/>
      <c r="K496" s="94"/>
      <c r="L496" s="94"/>
      <c r="M496" s="94"/>
      <c r="N496" s="95"/>
    </row>
    <row r="497">
      <c r="A497" s="93"/>
      <c r="B497" s="93"/>
      <c r="C497" s="93"/>
      <c r="D497" s="94"/>
      <c r="E497" s="95"/>
      <c r="F497" s="93"/>
      <c r="G497" s="93"/>
      <c r="H497" s="93"/>
      <c r="I497" s="93"/>
      <c r="J497" s="94"/>
      <c r="K497" s="94"/>
      <c r="L497" s="94"/>
      <c r="M497" s="94"/>
      <c r="N497" s="95"/>
    </row>
    <row r="498">
      <c r="A498" s="93"/>
      <c r="B498" s="93"/>
      <c r="C498" s="93"/>
      <c r="D498" s="94"/>
      <c r="E498" s="95"/>
      <c r="F498" s="93"/>
      <c r="G498" s="93"/>
      <c r="H498" s="93"/>
      <c r="I498" s="93"/>
      <c r="J498" s="94"/>
      <c r="K498" s="94"/>
      <c r="L498" s="94"/>
      <c r="M498" s="94"/>
      <c r="N498" s="95"/>
    </row>
    <row r="499">
      <c r="A499" s="93"/>
      <c r="B499" s="93"/>
      <c r="C499" s="93"/>
      <c r="D499" s="94"/>
      <c r="E499" s="95"/>
      <c r="F499" s="93"/>
      <c r="G499" s="93"/>
      <c r="H499" s="93"/>
      <c r="I499" s="93"/>
      <c r="J499" s="94"/>
      <c r="K499" s="94"/>
      <c r="L499" s="94"/>
      <c r="M499" s="94"/>
      <c r="N499" s="95"/>
    </row>
    <row r="500">
      <c r="A500" s="93"/>
      <c r="B500" s="93"/>
      <c r="C500" s="93"/>
      <c r="D500" s="94"/>
      <c r="E500" s="95"/>
      <c r="F500" s="93"/>
      <c r="G500" s="93"/>
      <c r="H500" s="93"/>
      <c r="I500" s="93"/>
      <c r="J500" s="94"/>
      <c r="K500" s="94"/>
      <c r="L500" s="94"/>
      <c r="M500" s="94"/>
      <c r="N500" s="95"/>
    </row>
    <row r="501">
      <c r="A501" s="93"/>
      <c r="B501" s="93"/>
      <c r="C501" s="93"/>
      <c r="D501" s="94"/>
      <c r="E501" s="95"/>
      <c r="F501" s="93"/>
      <c r="G501" s="93"/>
      <c r="H501" s="93"/>
      <c r="I501" s="93"/>
      <c r="J501" s="94"/>
      <c r="K501" s="94"/>
      <c r="L501" s="94"/>
      <c r="M501" s="94"/>
      <c r="N501" s="95"/>
    </row>
    <row r="502">
      <c r="A502" s="93"/>
      <c r="B502" s="93"/>
      <c r="C502" s="93"/>
      <c r="D502" s="94"/>
      <c r="E502" s="95"/>
      <c r="F502" s="93"/>
      <c r="G502" s="93"/>
      <c r="H502" s="93"/>
      <c r="I502" s="93"/>
      <c r="J502" s="94"/>
      <c r="K502" s="94"/>
      <c r="L502" s="94"/>
      <c r="M502" s="94"/>
      <c r="N502" s="95"/>
    </row>
    <row r="503">
      <c r="A503" s="93"/>
      <c r="B503" s="93"/>
      <c r="C503" s="93"/>
      <c r="D503" s="94"/>
      <c r="E503" s="95"/>
      <c r="F503" s="93"/>
      <c r="G503" s="93"/>
      <c r="H503" s="93"/>
      <c r="I503" s="93"/>
      <c r="J503" s="94"/>
      <c r="K503" s="94"/>
      <c r="L503" s="94"/>
      <c r="M503" s="94"/>
      <c r="N503" s="95"/>
    </row>
    <row r="504">
      <c r="A504" s="93"/>
      <c r="B504" s="93"/>
      <c r="C504" s="93"/>
      <c r="D504" s="94"/>
      <c r="E504" s="95"/>
      <c r="F504" s="93"/>
      <c r="G504" s="93"/>
      <c r="H504" s="93"/>
      <c r="I504" s="93"/>
      <c r="J504" s="94"/>
      <c r="K504" s="94"/>
      <c r="L504" s="94"/>
      <c r="M504" s="94"/>
      <c r="N504" s="95"/>
    </row>
    <row r="505">
      <c r="A505" s="93"/>
      <c r="B505" s="93"/>
      <c r="C505" s="93"/>
      <c r="D505" s="94"/>
      <c r="E505" s="95"/>
      <c r="F505" s="93"/>
      <c r="G505" s="93"/>
      <c r="H505" s="93"/>
      <c r="I505" s="93"/>
      <c r="J505" s="94"/>
      <c r="K505" s="94"/>
      <c r="L505" s="94"/>
      <c r="M505" s="94"/>
      <c r="N505" s="95"/>
    </row>
    <row r="506">
      <c r="A506" s="93"/>
      <c r="B506" s="93"/>
      <c r="C506" s="93"/>
      <c r="D506" s="94"/>
      <c r="E506" s="95"/>
      <c r="F506" s="93"/>
      <c r="G506" s="93"/>
      <c r="H506" s="93"/>
      <c r="I506" s="93"/>
      <c r="J506" s="94"/>
      <c r="K506" s="94"/>
      <c r="L506" s="94"/>
      <c r="M506" s="94"/>
      <c r="N506" s="95"/>
    </row>
    <row r="507">
      <c r="A507" s="93"/>
      <c r="B507" s="93"/>
      <c r="C507" s="93"/>
      <c r="D507" s="94"/>
      <c r="E507" s="95"/>
      <c r="F507" s="93"/>
      <c r="G507" s="93"/>
      <c r="H507" s="93"/>
      <c r="I507" s="93"/>
      <c r="J507" s="94"/>
      <c r="K507" s="94"/>
      <c r="L507" s="94"/>
      <c r="M507" s="94"/>
      <c r="N507" s="95"/>
    </row>
    <row r="508">
      <c r="A508" s="93"/>
      <c r="B508" s="93"/>
      <c r="C508" s="93"/>
      <c r="D508" s="94"/>
      <c r="E508" s="95"/>
      <c r="F508" s="93"/>
      <c r="G508" s="93"/>
      <c r="H508" s="93"/>
      <c r="I508" s="93"/>
      <c r="J508" s="94"/>
      <c r="K508" s="94"/>
      <c r="L508" s="94"/>
      <c r="M508" s="94"/>
      <c r="N508" s="95"/>
    </row>
    <row r="509">
      <c r="A509" s="93"/>
      <c r="B509" s="93"/>
      <c r="C509" s="93"/>
      <c r="D509" s="94"/>
      <c r="E509" s="95"/>
      <c r="F509" s="93"/>
      <c r="G509" s="93"/>
      <c r="H509" s="93"/>
      <c r="I509" s="93"/>
      <c r="J509" s="94"/>
      <c r="K509" s="94"/>
      <c r="L509" s="94"/>
      <c r="M509" s="94"/>
      <c r="N509" s="95"/>
    </row>
    <row r="510">
      <c r="A510" s="93"/>
      <c r="B510" s="93"/>
      <c r="C510" s="93"/>
      <c r="D510" s="94"/>
      <c r="E510" s="95"/>
      <c r="F510" s="93"/>
      <c r="G510" s="93"/>
      <c r="H510" s="93"/>
      <c r="I510" s="93"/>
      <c r="J510" s="94"/>
      <c r="K510" s="94"/>
      <c r="L510" s="94"/>
      <c r="M510" s="94"/>
      <c r="N510" s="95"/>
    </row>
    <row r="511">
      <c r="A511" s="93"/>
      <c r="B511" s="93"/>
      <c r="C511" s="93"/>
      <c r="D511" s="94"/>
      <c r="E511" s="95"/>
      <c r="F511" s="93"/>
      <c r="G511" s="93"/>
      <c r="H511" s="93"/>
      <c r="I511" s="93"/>
      <c r="J511" s="94"/>
      <c r="K511" s="94"/>
      <c r="L511" s="94"/>
      <c r="M511" s="94"/>
      <c r="N511" s="95"/>
    </row>
    <row r="512">
      <c r="A512" s="93"/>
      <c r="B512" s="93"/>
      <c r="C512" s="93"/>
      <c r="D512" s="94"/>
      <c r="E512" s="95"/>
      <c r="F512" s="93"/>
      <c r="G512" s="93"/>
      <c r="H512" s="93"/>
      <c r="I512" s="93"/>
      <c r="J512" s="94"/>
      <c r="K512" s="94"/>
      <c r="L512" s="94"/>
      <c r="M512" s="94"/>
      <c r="N512" s="95"/>
    </row>
    <row r="513">
      <c r="A513" s="93"/>
      <c r="B513" s="93"/>
      <c r="C513" s="93"/>
      <c r="D513" s="94"/>
      <c r="E513" s="95"/>
      <c r="F513" s="93"/>
      <c r="G513" s="93"/>
      <c r="H513" s="93"/>
      <c r="I513" s="93"/>
      <c r="J513" s="94"/>
      <c r="K513" s="94"/>
      <c r="L513" s="94"/>
      <c r="M513" s="94"/>
      <c r="N513" s="95"/>
    </row>
    <row r="514">
      <c r="A514" s="93"/>
      <c r="B514" s="93"/>
      <c r="C514" s="93"/>
      <c r="D514" s="94"/>
      <c r="E514" s="95"/>
      <c r="F514" s="93"/>
      <c r="G514" s="93"/>
      <c r="H514" s="93"/>
      <c r="I514" s="93"/>
      <c r="J514" s="94"/>
      <c r="K514" s="94"/>
      <c r="L514" s="94"/>
      <c r="M514" s="94"/>
      <c r="N514" s="95"/>
    </row>
    <row r="515">
      <c r="A515" s="93"/>
      <c r="B515" s="93"/>
      <c r="C515" s="93"/>
      <c r="D515" s="94"/>
      <c r="E515" s="95"/>
      <c r="F515" s="93"/>
      <c r="G515" s="93"/>
      <c r="H515" s="93"/>
      <c r="I515" s="93"/>
      <c r="J515" s="94"/>
      <c r="K515" s="94"/>
      <c r="L515" s="94"/>
      <c r="M515" s="94"/>
      <c r="N515" s="95"/>
    </row>
    <row r="516">
      <c r="A516" s="93"/>
      <c r="B516" s="93"/>
      <c r="C516" s="93"/>
      <c r="D516" s="94"/>
      <c r="E516" s="95"/>
      <c r="F516" s="93"/>
      <c r="G516" s="93"/>
      <c r="H516" s="93"/>
      <c r="I516" s="93"/>
      <c r="J516" s="94"/>
      <c r="K516" s="94"/>
      <c r="L516" s="94"/>
      <c r="M516" s="94"/>
      <c r="N516" s="95"/>
    </row>
    <row r="517">
      <c r="A517" s="93"/>
      <c r="B517" s="93"/>
      <c r="C517" s="93"/>
      <c r="D517" s="94"/>
      <c r="E517" s="95"/>
      <c r="F517" s="93"/>
      <c r="G517" s="93"/>
      <c r="H517" s="93"/>
      <c r="I517" s="93"/>
      <c r="J517" s="94"/>
      <c r="K517" s="94"/>
      <c r="L517" s="94"/>
      <c r="M517" s="94"/>
      <c r="N517" s="95"/>
    </row>
    <row r="518">
      <c r="A518" s="93"/>
      <c r="B518" s="93"/>
      <c r="C518" s="93"/>
      <c r="D518" s="94"/>
      <c r="E518" s="95"/>
      <c r="F518" s="93"/>
      <c r="G518" s="93"/>
      <c r="H518" s="93"/>
      <c r="I518" s="93"/>
      <c r="J518" s="94"/>
      <c r="K518" s="94"/>
      <c r="L518" s="94"/>
      <c r="M518" s="94"/>
      <c r="N518" s="95"/>
    </row>
    <row r="519">
      <c r="A519" s="93"/>
      <c r="B519" s="93"/>
      <c r="C519" s="93"/>
      <c r="D519" s="94"/>
      <c r="E519" s="95"/>
      <c r="F519" s="93"/>
      <c r="G519" s="93"/>
      <c r="H519" s="93"/>
      <c r="I519" s="93"/>
      <c r="J519" s="94"/>
      <c r="K519" s="94"/>
      <c r="L519" s="94"/>
      <c r="M519" s="94"/>
      <c r="N519" s="95"/>
    </row>
    <row r="520">
      <c r="A520" s="93"/>
      <c r="B520" s="93"/>
      <c r="C520" s="93"/>
      <c r="D520" s="94"/>
      <c r="E520" s="95"/>
      <c r="F520" s="93"/>
      <c r="G520" s="93"/>
      <c r="H520" s="93"/>
      <c r="I520" s="93"/>
      <c r="J520" s="94"/>
      <c r="K520" s="94"/>
      <c r="L520" s="94"/>
      <c r="M520" s="94"/>
      <c r="N520" s="95"/>
    </row>
    <row r="521">
      <c r="A521" s="93"/>
      <c r="B521" s="93"/>
      <c r="C521" s="93"/>
      <c r="D521" s="94"/>
      <c r="E521" s="95"/>
      <c r="F521" s="93"/>
      <c r="G521" s="93"/>
      <c r="H521" s="93"/>
      <c r="I521" s="93"/>
      <c r="J521" s="94"/>
      <c r="K521" s="94"/>
      <c r="L521" s="94"/>
      <c r="M521" s="94"/>
      <c r="N521" s="95"/>
    </row>
    <row r="522">
      <c r="A522" s="93"/>
      <c r="B522" s="93"/>
      <c r="C522" s="93"/>
      <c r="D522" s="94"/>
      <c r="E522" s="95"/>
      <c r="F522" s="93"/>
      <c r="G522" s="93"/>
      <c r="H522" s="93"/>
      <c r="I522" s="93"/>
      <c r="J522" s="94"/>
      <c r="K522" s="94"/>
      <c r="L522" s="94"/>
      <c r="M522" s="94"/>
      <c r="N522" s="95"/>
    </row>
    <row r="523">
      <c r="A523" s="93"/>
      <c r="B523" s="93"/>
      <c r="C523" s="93"/>
      <c r="D523" s="94"/>
      <c r="E523" s="95"/>
      <c r="F523" s="93"/>
      <c r="G523" s="93"/>
      <c r="H523" s="93"/>
      <c r="I523" s="93"/>
      <c r="J523" s="94"/>
      <c r="K523" s="94"/>
      <c r="L523" s="94"/>
      <c r="M523" s="94"/>
      <c r="N523" s="95"/>
    </row>
    <row r="524">
      <c r="A524" s="93"/>
      <c r="B524" s="93"/>
      <c r="C524" s="93"/>
      <c r="D524" s="94"/>
      <c r="E524" s="95"/>
      <c r="F524" s="93"/>
      <c r="G524" s="93"/>
      <c r="H524" s="93"/>
      <c r="I524" s="93"/>
      <c r="J524" s="94"/>
      <c r="K524" s="94"/>
      <c r="L524" s="94"/>
      <c r="M524" s="94"/>
      <c r="N524" s="95"/>
    </row>
    <row r="525">
      <c r="A525" s="93"/>
      <c r="B525" s="93"/>
      <c r="C525" s="93"/>
      <c r="D525" s="94"/>
      <c r="E525" s="95"/>
      <c r="F525" s="93"/>
      <c r="G525" s="93"/>
      <c r="H525" s="93"/>
      <c r="I525" s="93"/>
      <c r="J525" s="94"/>
      <c r="K525" s="94"/>
      <c r="L525" s="94"/>
      <c r="M525" s="94"/>
      <c r="N525" s="95"/>
    </row>
    <row r="526">
      <c r="A526" s="93"/>
      <c r="B526" s="93"/>
      <c r="C526" s="93"/>
      <c r="D526" s="94"/>
      <c r="E526" s="95"/>
      <c r="F526" s="93"/>
      <c r="G526" s="93"/>
      <c r="H526" s="93"/>
      <c r="I526" s="93"/>
      <c r="J526" s="94"/>
      <c r="K526" s="94"/>
      <c r="L526" s="94"/>
      <c r="M526" s="94"/>
      <c r="N526" s="95"/>
    </row>
    <row r="527">
      <c r="A527" s="93"/>
      <c r="B527" s="93"/>
      <c r="C527" s="93"/>
      <c r="D527" s="94"/>
      <c r="E527" s="95"/>
      <c r="F527" s="93"/>
      <c r="G527" s="93"/>
      <c r="H527" s="93"/>
      <c r="I527" s="93"/>
      <c r="J527" s="94"/>
      <c r="K527" s="94"/>
      <c r="L527" s="94"/>
      <c r="M527" s="94"/>
      <c r="N527" s="95"/>
    </row>
    <row r="528">
      <c r="A528" s="93"/>
      <c r="B528" s="93"/>
      <c r="C528" s="93"/>
      <c r="D528" s="94"/>
      <c r="E528" s="95"/>
      <c r="F528" s="93"/>
      <c r="G528" s="93"/>
      <c r="H528" s="93"/>
      <c r="I528" s="93"/>
      <c r="J528" s="94"/>
      <c r="K528" s="94"/>
      <c r="L528" s="94"/>
      <c r="M528" s="94"/>
      <c r="N528" s="95"/>
    </row>
    <row r="529">
      <c r="A529" s="93"/>
      <c r="B529" s="93"/>
      <c r="C529" s="93"/>
      <c r="D529" s="94"/>
      <c r="E529" s="95"/>
      <c r="F529" s="93"/>
      <c r="G529" s="93"/>
      <c r="H529" s="93"/>
      <c r="I529" s="93"/>
      <c r="J529" s="94"/>
      <c r="K529" s="94"/>
      <c r="L529" s="94"/>
      <c r="M529" s="94"/>
      <c r="N529" s="95"/>
    </row>
    <row r="530">
      <c r="A530" s="93"/>
      <c r="B530" s="93"/>
      <c r="C530" s="93"/>
      <c r="D530" s="94"/>
      <c r="E530" s="95"/>
      <c r="F530" s="93"/>
      <c r="G530" s="93"/>
      <c r="H530" s="93"/>
      <c r="I530" s="93"/>
      <c r="J530" s="94"/>
      <c r="K530" s="94"/>
      <c r="L530" s="94"/>
      <c r="M530" s="94"/>
      <c r="N530" s="95"/>
    </row>
    <row r="531">
      <c r="A531" s="93"/>
      <c r="B531" s="93"/>
      <c r="C531" s="93"/>
      <c r="D531" s="94"/>
      <c r="E531" s="95"/>
      <c r="F531" s="93"/>
      <c r="G531" s="93"/>
      <c r="H531" s="93"/>
      <c r="I531" s="93"/>
      <c r="J531" s="94"/>
      <c r="K531" s="94"/>
      <c r="L531" s="94"/>
      <c r="M531" s="94"/>
      <c r="N531" s="95"/>
    </row>
    <row r="532">
      <c r="A532" s="93"/>
      <c r="B532" s="93"/>
      <c r="C532" s="93"/>
      <c r="D532" s="94"/>
      <c r="E532" s="95"/>
      <c r="F532" s="93"/>
      <c r="G532" s="93"/>
      <c r="H532" s="93"/>
      <c r="I532" s="93"/>
      <c r="J532" s="94"/>
      <c r="K532" s="94"/>
      <c r="L532" s="94"/>
      <c r="M532" s="94"/>
      <c r="N532" s="95"/>
    </row>
    <row r="533">
      <c r="A533" s="93"/>
      <c r="B533" s="93"/>
      <c r="C533" s="93"/>
      <c r="D533" s="94"/>
      <c r="E533" s="95"/>
      <c r="F533" s="93"/>
      <c r="G533" s="93"/>
      <c r="H533" s="93"/>
      <c r="I533" s="93"/>
      <c r="J533" s="94"/>
      <c r="K533" s="94"/>
      <c r="L533" s="94"/>
      <c r="M533" s="94"/>
      <c r="N533" s="95"/>
    </row>
    <row r="534">
      <c r="A534" s="93"/>
      <c r="B534" s="93"/>
      <c r="C534" s="93"/>
      <c r="D534" s="94"/>
      <c r="E534" s="95"/>
      <c r="F534" s="93"/>
      <c r="G534" s="93"/>
      <c r="H534" s="93"/>
      <c r="I534" s="93"/>
      <c r="J534" s="94"/>
      <c r="K534" s="94"/>
      <c r="L534" s="94"/>
      <c r="M534" s="94"/>
      <c r="N534" s="95"/>
    </row>
    <row r="535">
      <c r="A535" s="93"/>
      <c r="B535" s="93"/>
      <c r="C535" s="93"/>
      <c r="D535" s="94"/>
      <c r="E535" s="95"/>
      <c r="F535" s="93"/>
      <c r="G535" s="93"/>
      <c r="H535" s="93"/>
      <c r="I535" s="93"/>
      <c r="J535" s="94"/>
      <c r="K535" s="94"/>
      <c r="L535" s="94"/>
      <c r="M535" s="94"/>
      <c r="N535" s="95"/>
    </row>
    <row r="536">
      <c r="A536" s="93"/>
      <c r="B536" s="93"/>
      <c r="C536" s="93"/>
      <c r="D536" s="94"/>
      <c r="E536" s="95"/>
      <c r="F536" s="93"/>
      <c r="G536" s="93"/>
      <c r="H536" s="93"/>
      <c r="I536" s="93"/>
      <c r="J536" s="94"/>
      <c r="K536" s="94"/>
      <c r="L536" s="94"/>
      <c r="M536" s="94"/>
      <c r="N536" s="95"/>
    </row>
    <row r="537">
      <c r="A537" s="93"/>
      <c r="B537" s="93"/>
      <c r="C537" s="93"/>
      <c r="D537" s="94"/>
      <c r="E537" s="95"/>
      <c r="F537" s="93"/>
      <c r="G537" s="93"/>
      <c r="H537" s="93"/>
      <c r="I537" s="93"/>
      <c r="J537" s="94"/>
      <c r="K537" s="94"/>
      <c r="L537" s="94"/>
      <c r="M537" s="94"/>
      <c r="N537" s="95"/>
    </row>
    <row r="538">
      <c r="A538" s="93"/>
      <c r="B538" s="93"/>
      <c r="C538" s="93"/>
      <c r="D538" s="94"/>
      <c r="E538" s="95"/>
      <c r="F538" s="93"/>
      <c r="G538" s="93"/>
      <c r="H538" s="93"/>
      <c r="I538" s="93"/>
      <c r="J538" s="94"/>
      <c r="K538" s="94"/>
      <c r="L538" s="94"/>
      <c r="M538" s="94"/>
      <c r="N538" s="95"/>
    </row>
    <row r="539">
      <c r="A539" s="93"/>
      <c r="B539" s="93"/>
      <c r="C539" s="93"/>
      <c r="D539" s="94"/>
      <c r="E539" s="95"/>
      <c r="F539" s="93"/>
      <c r="G539" s="93"/>
      <c r="H539" s="93"/>
      <c r="I539" s="93"/>
      <c r="J539" s="94"/>
      <c r="K539" s="94"/>
      <c r="L539" s="94"/>
      <c r="M539" s="94"/>
      <c r="N539" s="95"/>
    </row>
    <row r="540">
      <c r="A540" s="93"/>
      <c r="B540" s="93"/>
      <c r="C540" s="93"/>
      <c r="D540" s="94"/>
      <c r="E540" s="95"/>
      <c r="F540" s="93"/>
      <c r="G540" s="93"/>
      <c r="H540" s="93"/>
      <c r="I540" s="93"/>
      <c r="J540" s="94"/>
      <c r="K540" s="94"/>
      <c r="L540" s="94"/>
      <c r="M540" s="94"/>
      <c r="N540" s="95"/>
    </row>
    <row r="541">
      <c r="A541" s="93"/>
      <c r="B541" s="93"/>
      <c r="C541" s="93"/>
      <c r="D541" s="94"/>
      <c r="E541" s="95"/>
      <c r="F541" s="93"/>
      <c r="G541" s="93"/>
      <c r="H541" s="93"/>
      <c r="I541" s="93"/>
      <c r="J541" s="94"/>
      <c r="K541" s="94"/>
      <c r="L541" s="94"/>
      <c r="M541" s="94"/>
      <c r="N541" s="95"/>
    </row>
    <row r="542">
      <c r="A542" s="93"/>
      <c r="B542" s="93"/>
      <c r="C542" s="93"/>
      <c r="D542" s="94"/>
      <c r="E542" s="95"/>
      <c r="F542" s="93"/>
      <c r="G542" s="93"/>
      <c r="H542" s="93"/>
      <c r="I542" s="93"/>
      <c r="J542" s="94"/>
      <c r="K542" s="94"/>
      <c r="L542" s="94"/>
      <c r="M542" s="94"/>
      <c r="N542" s="95"/>
    </row>
    <row r="543">
      <c r="A543" s="93"/>
      <c r="B543" s="93"/>
      <c r="C543" s="93"/>
      <c r="D543" s="94"/>
      <c r="E543" s="95"/>
      <c r="F543" s="93"/>
      <c r="G543" s="93"/>
      <c r="H543" s="93"/>
      <c r="I543" s="93"/>
      <c r="J543" s="94"/>
      <c r="K543" s="94"/>
      <c r="L543" s="94"/>
      <c r="M543" s="94"/>
      <c r="N543" s="95"/>
    </row>
    <row r="544">
      <c r="A544" s="93"/>
      <c r="B544" s="93"/>
      <c r="C544" s="93"/>
      <c r="D544" s="94"/>
      <c r="E544" s="95"/>
      <c r="F544" s="93"/>
      <c r="G544" s="93"/>
      <c r="H544" s="93"/>
      <c r="I544" s="93"/>
      <c r="J544" s="94"/>
      <c r="K544" s="94"/>
      <c r="L544" s="94"/>
      <c r="M544" s="94"/>
      <c r="N544" s="95"/>
    </row>
    <row r="545">
      <c r="A545" s="93"/>
      <c r="B545" s="93"/>
      <c r="C545" s="93"/>
      <c r="D545" s="94"/>
      <c r="E545" s="95"/>
      <c r="F545" s="93"/>
      <c r="G545" s="93"/>
      <c r="H545" s="93"/>
      <c r="I545" s="93"/>
      <c r="J545" s="94"/>
      <c r="K545" s="94"/>
      <c r="L545" s="94"/>
      <c r="M545" s="94"/>
      <c r="N545" s="95"/>
    </row>
    <row r="546">
      <c r="A546" s="93"/>
      <c r="B546" s="93"/>
      <c r="C546" s="93"/>
      <c r="D546" s="94"/>
      <c r="E546" s="95"/>
      <c r="F546" s="93"/>
      <c r="G546" s="93"/>
      <c r="H546" s="93"/>
      <c r="I546" s="93"/>
      <c r="J546" s="94"/>
      <c r="K546" s="94"/>
      <c r="L546" s="94"/>
      <c r="M546" s="94"/>
      <c r="N546" s="95"/>
    </row>
    <row r="547">
      <c r="A547" s="93"/>
      <c r="B547" s="93"/>
      <c r="C547" s="93"/>
      <c r="D547" s="94"/>
      <c r="E547" s="95"/>
      <c r="F547" s="93"/>
      <c r="G547" s="93"/>
      <c r="H547" s="93"/>
      <c r="I547" s="93"/>
      <c r="J547" s="94"/>
      <c r="K547" s="94"/>
      <c r="L547" s="94"/>
      <c r="M547" s="94"/>
      <c r="N547" s="95"/>
    </row>
    <row r="548">
      <c r="A548" s="93"/>
      <c r="B548" s="93"/>
      <c r="C548" s="93"/>
      <c r="D548" s="94"/>
      <c r="E548" s="95"/>
      <c r="F548" s="93"/>
      <c r="G548" s="93"/>
      <c r="H548" s="93"/>
      <c r="I548" s="93"/>
      <c r="J548" s="94"/>
      <c r="K548" s="94"/>
      <c r="L548" s="94"/>
      <c r="M548" s="94"/>
      <c r="N548" s="95"/>
    </row>
    <row r="549">
      <c r="A549" s="93"/>
      <c r="B549" s="93"/>
      <c r="C549" s="93"/>
      <c r="D549" s="94"/>
      <c r="E549" s="95"/>
      <c r="F549" s="93"/>
      <c r="G549" s="93"/>
      <c r="H549" s="93"/>
      <c r="I549" s="93"/>
      <c r="J549" s="94"/>
      <c r="K549" s="94"/>
      <c r="L549" s="94"/>
      <c r="M549" s="94"/>
      <c r="N549" s="95"/>
    </row>
    <row r="550">
      <c r="A550" s="93"/>
      <c r="B550" s="93"/>
      <c r="C550" s="93"/>
      <c r="D550" s="94"/>
      <c r="E550" s="95"/>
      <c r="F550" s="93"/>
      <c r="G550" s="93"/>
      <c r="H550" s="93"/>
      <c r="I550" s="93"/>
      <c r="J550" s="94"/>
      <c r="K550" s="94"/>
      <c r="L550" s="94"/>
      <c r="M550" s="94"/>
      <c r="N550" s="95"/>
    </row>
    <row r="551">
      <c r="A551" s="93"/>
      <c r="B551" s="93"/>
      <c r="C551" s="93"/>
      <c r="D551" s="94"/>
      <c r="E551" s="95"/>
      <c r="F551" s="93"/>
      <c r="G551" s="93"/>
      <c r="H551" s="93"/>
      <c r="I551" s="93"/>
      <c r="J551" s="94"/>
      <c r="K551" s="94"/>
      <c r="L551" s="94"/>
      <c r="M551" s="94"/>
      <c r="N551" s="95"/>
    </row>
    <row r="552">
      <c r="A552" s="93"/>
      <c r="B552" s="93"/>
      <c r="C552" s="93"/>
      <c r="D552" s="94"/>
      <c r="E552" s="95"/>
      <c r="F552" s="93"/>
      <c r="G552" s="93"/>
      <c r="H552" s="93"/>
      <c r="I552" s="93"/>
      <c r="J552" s="94"/>
      <c r="K552" s="94"/>
      <c r="L552" s="94"/>
      <c r="M552" s="94"/>
      <c r="N552" s="95"/>
    </row>
    <row r="553">
      <c r="A553" s="93"/>
      <c r="B553" s="93"/>
      <c r="C553" s="93"/>
      <c r="D553" s="94"/>
      <c r="E553" s="95"/>
      <c r="F553" s="93"/>
      <c r="G553" s="93"/>
      <c r="H553" s="93"/>
      <c r="I553" s="93"/>
      <c r="J553" s="94"/>
      <c r="K553" s="94"/>
      <c r="L553" s="94"/>
      <c r="M553" s="94"/>
      <c r="N553" s="95"/>
    </row>
    <row r="554">
      <c r="A554" s="93"/>
      <c r="B554" s="93"/>
      <c r="C554" s="93"/>
      <c r="D554" s="94"/>
      <c r="E554" s="95"/>
      <c r="F554" s="93"/>
      <c r="G554" s="93"/>
      <c r="H554" s="93"/>
      <c r="I554" s="93"/>
      <c r="J554" s="94"/>
      <c r="K554" s="94"/>
      <c r="L554" s="94"/>
      <c r="M554" s="94"/>
      <c r="N554" s="95"/>
    </row>
    <row r="555">
      <c r="A555" s="93"/>
      <c r="B555" s="93"/>
      <c r="C555" s="93"/>
      <c r="D555" s="94"/>
      <c r="E555" s="95"/>
      <c r="F555" s="93"/>
      <c r="G555" s="93"/>
      <c r="H555" s="93"/>
      <c r="I555" s="93"/>
      <c r="J555" s="94"/>
      <c r="K555" s="94"/>
      <c r="L555" s="94"/>
      <c r="M555" s="94"/>
      <c r="N555" s="95"/>
    </row>
    <row r="556">
      <c r="A556" s="93"/>
      <c r="B556" s="93"/>
      <c r="C556" s="93"/>
      <c r="D556" s="94"/>
      <c r="E556" s="95"/>
      <c r="F556" s="93"/>
      <c r="G556" s="93"/>
      <c r="H556" s="93"/>
      <c r="I556" s="93"/>
      <c r="J556" s="94"/>
      <c r="K556" s="94"/>
      <c r="L556" s="94"/>
      <c r="M556" s="94"/>
      <c r="N556" s="95"/>
    </row>
    <row r="557">
      <c r="A557" s="93"/>
      <c r="B557" s="93"/>
      <c r="C557" s="93"/>
      <c r="D557" s="94"/>
      <c r="E557" s="95"/>
      <c r="F557" s="93"/>
      <c r="G557" s="93"/>
      <c r="H557" s="93"/>
      <c r="I557" s="93"/>
      <c r="J557" s="94"/>
      <c r="K557" s="94"/>
      <c r="L557" s="94"/>
      <c r="M557" s="94"/>
      <c r="N557" s="95"/>
    </row>
    <row r="558">
      <c r="A558" s="93"/>
      <c r="B558" s="93"/>
      <c r="C558" s="93"/>
      <c r="D558" s="94"/>
      <c r="E558" s="95"/>
      <c r="F558" s="93"/>
      <c r="G558" s="93"/>
      <c r="H558" s="93"/>
      <c r="I558" s="93"/>
      <c r="J558" s="94"/>
      <c r="K558" s="94"/>
      <c r="L558" s="94"/>
      <c r="M558" s="94"/>
      <c r="N558" s="95"/>
    </row>
    <row r="559">
      <c r="A559" s="93"/>
      <c r="B559" s="93"/>
      <c r="C559" s="93"/>
      <c r="D559" s="94"/>
      <c r="E559" s="95"/>
      <c r="F559" s="93"/>
      <c r="G559" s="93"/>
      <c r="H559" s="93"/>
      <c r="I559" s="93"/>
      <c r="J559" s="94"/>
      <c r="K559" s="94"/>
      <c r="L559" s="94"/>
      <c r="M559" s="94"/>
      <c r="N559" s="95"/>
    </row>
    <row r="560">
      <c r="A560" s="93"/>
      <c r="B560" s="93"/>
      <c r="C560" s="93"/>
      <c r="D560" s="94"/>
      <c r="E560" s="95"/>
      <c r="F560" s="93"/>
      <c r="G560" s="93"/>
      <c r="H560" s="93"/>
      <c r="I560" s="93"/>
      <c r="J560" s="94"/>
      <c r="K560" s="94"/>
      <c r="L560" s="94"/>
      <c r="M560" s="94"/>
      <c r="N560" s="95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0.38" outlineLevel="1"/>
    <col customWidth="1" min="2" max="2" width="2.63"/>
    <col customWidth="1" min="3" max="3" width="11.5"/>
    <col customWidth="1" min="4" max="4" width="20.5"/>
    <col customWidth="1" min="5" max="5" width="14.63"/>
    <col customWidth="1" min="6" max="6" width="15.63"/>
    <col customWidth="1" min="7" max="7" width="16.0"/>
    <col customWidth="1" min="8" max="8" width="18.0"/>
    <col customWidth="1" min="9" max="9" width="17.38"/>
    <col customWidth="1" min="10" max="10" width="17.25"/>
    <col customWidth="1" min="11" max="11" width="17.38"/>
    <col customWidth="1" min="12" max="12" width="17.25"/>
    <col customWidth="1" min="13" max="14" width="15.75"/>
  </cols>
  <sheetData>
    <row r="1">
      <c r="A1" s="109" t="s">
        <v>806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>
      <c r="A2" s="111"/>
      <c r="B2" s="110"/>
      <c r="C2" s="112" t="s">
        <v>807</v>
      </c>
      <c r="D2" s="113" t="s">
        <v>35</v>
      </c>
      <c r="E2" s="113" t="s">
        <v>44</v>
      </c>
      <c r="F2" s="113" t="s">
        <v>48</v>
      </c>
      <c r="G2" s="113" t="s">
        <v>51</v>
      </c>
      <c r="H2" s="113" t="s">
        <v>54</v>
      </c>
      <c r="I2" s="113" t="s">
        <v>57</v>
      </c>
      <c r="J2" s="113" t="s">
        <v>62</v>
      </c>
      <c r="K2" s="110"/>
      <c r="L2" s="110"/>
      <c r="M2" s="110"/>
      <c r="N2" s="110"/>
    </row>
    <row r="3">
      <c r="A3" s="111"/>
      <c r="B3" s="110"/>
      <c r="C3" s="114" t="s">
        <v>21</v>
      </c>
      <c r="D3" s="115" t="s">
        <v>535</v>
      </c>
      <c r="E3" s="114" t="s">
        <v>702</v>
      </c>
      <c r="F3" s="116" t="s">
        <v>302</v>
      </c>
      <c r="G3" s="114" t="s">
        <v>526</v>
      </c>
      <c r="H3" s="114" t="s">
        <v>221</v>
      </c>
      <c r="I3" s="114" t="s">
        <v>575</v>
      </c>
      <c r="J3" s="116" t="s">
        <v>348</v>
      </c>
      <c r="K3" s="117"/>
      <c r="L3" s="110"/>
      <c r="M3" s="110"/>
      <c r="N3" s="110"/>
    </row>
    <row r="4">
      <c r="A4" s="111"/>
      <c r="B4" s="110"/>
      <c r="C4" s="114" t="s">
        <v>28</v>
      </c>
      <c r="D4" s="118" t="s">
        <v>234</v>
      </c>
      <c r="E4" s="116" t="s">
        <v>688</v>
      </c>
      <c r="F4" s="116" t="s">
        <v>302</v>
      </c>
      <c r="G4" s="119" t="s">
        <v>526</v>
      </c>
      <c r="H4" s="119" t="s">
        <v>214</v>
      </c>
      <c r="I4" s="119" t="s">
        <v>576</v>
      </c>
      <c r="J4" s="119" t="s">
        <v>621</v>
      </c>
      <c r="K4" s="117"/>
      <c r="L4" s="110"/>
      <c r="M4" s="110"/>
      <c r="N4" s="110"/>
    </row>
    <row r="5">
      <c r="A5" s="111"/>
      <c r="B5" s="110"/>
      <c r="C5" s="114" t="s">
        <v>13</v>
      </c>
      <c r="D5" s="120" t="s">
        <v>385</v>
      </c>
      <c r="E5" s="116" t="s">
        <v>688</v>
      </c>
      <c r="F5" s="114" t="s">
        <v>307</v>
      </c>
      <c r="G5" s="114" t="s">
        <v>526</v>
      </c>
      <c r="H5" s="116" t="s">
        <v>220</v>
      </c>
      <c r="I5" s="121" t="s">
        <v>375</v>
      </c>
      <c r="J5" s="114" t="s">
        <v>621</v>
      </c>
      <c r="K5" s="117"/>
      <c r="L5" s="110"/>
      <c r="M5" s="110"/>
      <c r="N5" s="110"/>
    </row>
    <row r="6">
      <c r="A6" s="111"/>
      <c r="B6" s="110"/>
      <c r="C6" s="114" t="s">
        <v>23</v>
      </c>
      <c r="D6" s="118" t="s">
        <v>419</v>
      </c>
      <c r="E6" s="119" t="s">
        <v>702</v>
      </c>
      <c r="F6" s="119" t="s">
        <v>287</v>
      </c>
      <c r="G6" s="119" t="s">
        <v>489</v>
      </c>
      <c r="H6" s="119" t="s">
        <v>647</v>
      </c>
      <c r="I6" s="116" t="s">
        <v>128</v>
      </c>
      <c r="J6" s="116" t="s">
        <v>638</v>
      </c>
      <c r="K6" s="117"/>
      <c r="L6" s="110"/>
      <c r="M6" s="110"/>
      <c r="N6" s="110"/>
    </row>
    <row r="7">
      <c r="A7" s="111"/>
      <c r="B7" s="110"/>
      <c r="C7" s="114" t="s">
        <v>18</v>
      </c>
      <c r="D7" s="120" t="s">
        <v>385</v>
      </c>
      <c r="E7" s="114" t="s">
        <v>702</v>
      </c>
      <c r="F7" s="116" t="s">
        <v>292</v>
      </c>
      <c r="G7" s="121" t="s">
        <v>489</v>
      </c>
      <c r="H7" s="114" t="s">
        <v>214</v>
      </c>
      <c r="I7" s="121" t="s">
        <v>375</v>
      </c>
      <c r="J7" s="114" t="s">
        <v>621</v>
      </c>
      <c r="K7" s="117"/>
      <c r="L7" s="110"/>
      <c r="M7" s="110"/>
      <c r="N7" s="110"/>
    </row>
    <row r="8">
      <c r="A8" s="111"/>
      <c r="B8" s="110"/>
      <c r="C8" s="114" t="s">
        <v>7</v>
      </c>
      <c r="D8" s="118" t="s">
        <v>255</v>
      </c>
      <c r="E8" s="119" t="s">
        <v>702</v>
      </c>
      <c r="F8" s="116" t="s">
        <v>292</v>
      </c>
      <c r="G8" s="119" t="s">
        <v>489</v>
      </c>
      <c r="H8" s="119" t="s">
        <v>648</v>
      </c>
      <c r="I8" s="119" t="s">
        <v>443</v>
      </c>
      <c r="J8" s="119" t="s">
        <v>621</v>
      </c>
      <c r="K8" s="117"/>
      <c r="L8" s="110"/>
      <c r="M8" s="110"/>
      <c r="N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>
      <c r="A10" s="111"/>
      <c r="B10" s="110"/>
      <c r="C10" s="122" t="s">
        <v>808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10"/>
    </row>
    <row r="11">
      <c r="A11" s="111"/>
      <c r="B11" s="110"/>
      <c r="C11" s="125" t="str">
        <f t="shared" ref="C11:C16" si="1">C3</f>
        <v>Kurul</v>
      </c>
      <c r="D11" s="126" t="str">
        <f>IFERROR(__xludf.DUMMYFUNCTION("FILTER('Armas do jogo'!E4:E658,'Armas do jogo'!B4:B658=D3)"),"Energético 1")</f>
        <v>Energético 1</v>
      </c>
      <c r="E11" s="126" t="str">
        <f>IFERROR(__xludf.DUMMYFUNCTION("FILTER('Armas do jogo'!E3:E70,'Armas do jogo'!B3:B70=E3)"),"Encontrar mágica")</f>
        <v>Encontrar mágica</v>
      </c>
      <c r="F11" s="126" t="str">
        <f>IFERROR(__xludf.DUMMYFUNCTION("FILTER('Armas do jogo'!E3:E70,'Armas do jogo'!B3:B70=F3)"),"Reviver 2")</f>
        <v>Reviver 2</v>
      </c>
      <c r="G11" s="126" t="str">
        <f>IFERROR(__xludf.DUMMYFUNCTION("FILTER('Armas do jogo'!E3:E70,'Armas do jogo'!B3:B70=G3)"),"Encontrar mágica")</f>
        <v>Encontrar mágica</v>
      </c>
      <c r="H11" s="126" t="str">
        <f>IFERROR(__xludf.DUMMYFUNCTION("FILTER('Armas do jogo'!E3:E70,'Armas do jogo'!B3:B70=H3)"),"Velocista 3")</f>
        <v>Velocista 3</v>
      </c>
      <c r="I11" s="126" t="str">
        <f>IFERROR(__xludf.DUMMYFUNCTION("FILTER('Armas do jogo'!E3:E70,'Armas do jogo'!B3:B70=I3)"),"Velocista 3")</f>
        <v>Velocista 3</v>
      </c>
      <c r="J11" s="126" t="str">
        <f>IFERROR(__xludf.DUMMYFUNCTION("FILTER('Armas do jogo'!E3:E70,'Armas do jogo'!B3:B70=J3)"),"Encontrar mágica")</f>
        <v>Encontrar mágica</v>
      </c>
      <c r="K11" s="126" t="str">
        <f>'Heróis'!A$1</f>
        <v>Energético 2</v>
      </c>
      <c r="L11" s="126" t="str">
        <f>'Heróis'!$A$2</f>
        <v>Catador 2</v>
      </c>
      <c r="M11" s="127" t="str">
        <f>'Heróis'!$A$3</f>
        <v>Líder 2</v>
      </c>
      <c r="N11" s="110"/>
    </row>
    <row r="12">
      <c r="A12" s="111"/>
      <c r="B12" s="110"/>
      <c r="C12" s="125" t="str">
        <f t="shared" si="1"/>
        <v>Mojian</v>
      </c>
      <c r="D12" s="126" t="str">
        <f>IFERROR(__xludf.DUMMYFUNCTION("FILTER('Armas do jogo'!E4:E658,'Armas do jogo'!B4:B658=D4)"),"Energético 3")</f>
        <v>Energético 3</v>
      </c>
      <c r="E12" s="126" t="str">
        <f>IFERROR(__xludf.DUMMYFUNCTION("FILTER('Armas do jogo'!E4:E658,'Armas do jogo'!B4:B658=E4)"),"Reviver 3")</f>
        <v>Reviver 3</v>
      </c>
      <c r="F12" s="126" t="str">
        <f>IFERROR(__xludf.DUMMYFUNCTION("FILTER('Armas do jogo'!E4:E658,'Armas do jogo'!B4:B658=F4)"),"Reviver 2")</f>
        <v>Reviver 2</v>
      </c>
      <c r="G12" s="126" t="str">
        <f>IFERROR(__xludf.DUMMYFUNCTION("FILTER('Armas do jogo'!E4:E658,'Armas do jogo'!B4:B658=G4)"),"Encontrar mágica")</f>
        <v>Encontrar mágica</v>
      </c>
      <c r="H12" s="126" t="str">
        <f>IFERROR(__xludf.DUMMYFUNCTION("FILTER('Armas do jogo'!E4:E658,'Armas do jogo'!B4:B658=H4)"),"Reviver 2")</f>
        <v>Reviver 2</v>
      </c>
      <c r="I12" s="126" t="str">
        <f>IFERROR(__xludf.DUMMYFUNCTION("FILTER('Armas do jogo'!E4:E658,'Armas do jogo'!B4:B658=I4)"),"Engenhoso 3")</f>
        <v>Engenhoso 3</v>
      </c>
      <c r="J12" s="126" t="str">
        <f>IFERROR(__xludf.DUMMYFUNCTION("FILTER('Armas do jogo'!E4:E658,'Armas do jogo'!B4:B658=J4)"),"Encontrar mágica")</f>
        <v>Encontrar mágica</v>
      </c>
      <c r="K12" s="126" t="str">
        <f>'Heróis'!B$1</f>
        <v>Raio elétrico</v>
      </c>
      <c r="L12" s="126" t="str">
        <f>'Heróis'!$B$2</f>
        <v>Arquimago 3</v>
      </c>
      <c r="M12" s="126" t="str">
        <f>'Heróis'!$B$3</f>
        <v>Comandante 3</v>
      </c>
      <c r="N12" s="110"/>
    </row>
    <row r="13">
      <c r="A13" s="111"/>
      <c r="B13" s="110"/>
      <c r="C13" s="125" t="str">
        <f t="shared" si="1"/>
        <v>Edward</v>
      </c>
      <c r="D13" s="126" t="str">
        <f>IFERROR(__xludf.DUMMYFUNCTION("FILTER('Armas do jogo'!E5:E659,'Armas do jogo'!B5:B659=D5)"),"Energético 3")</f>
        <v>Energético 3</v>
      </c>
      <c r="E13" s="126" t="str">
        <f>IFERROR(__xludf.DUMMYFUNCTION("FILTER('Armas do jogo'!E5:E659,'Armas do jogo'!B5:B659=E5)"),"Reviver 3")</f>
        <v>Reviver 3</v>
      </c>
      <c r="F13" s="126" t="str">
        <f>IFERROR(__xludf.DUMMYFUNCTION("FILTER('Armas do jogo'!E5:E659,'Armas do jogo'!B5:B659=F5)"),"Suporte 2")</f>
        <v>Suporte 2</v>
      </c>
      <c r="G13" s="126" t="str">
        <f>IFERROR(__xludf.DUMMYFUNCTION("FILTER('Armas do jogo'!E5:E659,'Armas do jogo'!B5:B659=G5)"),"Encontrar mágica")</f>
        <v>Encontrar mágica</v>
      </c>
      <c r="H13" s="126" t="str">
        <f>IFERROR(__xludf.DUMMYFUNCTION("FILTER('Armas do jogo'!E5:E659,'Armas do jogo'!B5:B659=H5)"),"Encontrar mágica")</f>
        <v>Encontrar mágica</v>
      </c>
      <c r="I13" s="126" t="str">
        <f>IFERROR(__xludf.DUMMYFUNCTION("FILTER('Armas do jogo'!E5:E659,'Armas do jogo'!B5:B659=I5)"),"Encontrar mágica")</f>
        <v>Encontrar mágica</v>
      </c>
      <c r="J13" s="126" t="str">
        <f>IFERROR(__xludf.DUMMYFUNCTION("FILTER('Armas do jogo'!E5:E659,'Armas do jogo'!B5:B659=J5)"),"Encontrar mágica")</f>
        <v>Encontrar mágica</v>
      </c>
      <c r="K13" s="126" t="str">
        <f>'Heróis'!C$1</f>
        <v>Protetor 3</v>
      </c>
      <c r="L13" s="126" t="str">
        <f>'Heróis'!$C$2</f>
        <v>Reviver 3</v>
      </c>
      <c r="M13" s="126" t="str">
        <f>'Heróis'!$C$3</f>
        <v>Líder 3</v>
      </c>
      <c r="N13" s="110"/>
    </row>
    <row r="14">
      <c r="A14" s="111"/>
      <c r="B14" s="110"/>
      <c r="C14" s="125" t="str">
        <f t="shared" si="1"/>
        <v>Lorelei</v>
      </c>
      <c r="D14" s="126" t="str">
        <f>IFERROR(__xludf.DUMMYFUNCTION("FILTER('Armas do jogo'!E6:E660,'Armas do jogo'!B6:B660=D6)"),"Energético 2")</f>
        <v>Energético 2</v>
      </c>
      <c r="E14" s="126" t="str">
        <f>IFERROR(__xludf.DUMMYFUNCTION("FILTER('Armas do jogo'!E6:E660,'Armas do jogo'!B6:B660=E6)"),"Encontrar mágica")</f>
        <v>Encontrar mágica</v>
      </c>
      <c r="F14" s="126" t="str">
        <f>IFERROR(__xludf.DUMMYFUNCTION("FILTER('Armas do jogo'!E6:E660,'Armas do jogo'!B6:B660=F6)"),"Reviver 3")</f>
        <v>Reviver 3</v>
      </c>
      <c r="G14" s="126" t="str">
        <f>IFERROR(__xludf.DUMMYFUNCTION("FILTER('Armas do jogo'!E6:E660,'Armas do jogo'!B6:B660=G6)"),"Encontrar mágica")</f>
        <v>Encontrar mágica</v>
      </c>
      <c r="H14" s="126" t="str">
        <f>IFERROR(__xludf.DUMMYFUNCTION("FILTER('Armas do jogo'!E6:E660,'Armas do jogo'!B6:B660=H6)"),"Energético 1")</f>
        <v>Energético 1</v>
      </c>
      <c r="I14" s="126" t="str">
        <f>IFERROR(__xludf.DUMMYFUNCTION("FILTER('Armas do jogo'!E6:E660,'Armas do jogo'!B6:B660=I6)"),"Encontrar mágica")</f>
        <v>Encontrar mágica</v>
      </c>
      <c r="J14" s="126" t="str">
        <f>IFERROR(__xludf.DUMMYFUNCTION("FILTER('Armas do jogo'!E6:E660,'Armas do jogo'!B6:B660=J6)"),"Encontrar mágica")</f>
        <v>Encontrar mágica</v>
      </c>
      <c r="K14" s="126" t="str">
        <f>'Heróis'!D$1</f>
        <v>Emboscada</v>
      </c>
      <c r="L14" s="126" t="str">
        <f>'Heróis'!$D$2</f>
        <v>Sortudo 3</v>
      </c>
      <c r="M14" s="126" t="str">
        <f>'Heróis'!$D$3</f>
        <v>Catador 3</v>
      </c>
      <c r="N14" s="110"/>
    </row>
    <row r="15">
      <c r="A15" s="111"/>
      <c r="B15" s="110"/>
      <c r="C15" s="125" t="str">
        <f t="shared" si="1"/>
        <v>Irene</v>
      </c>
      <c r="D15" s="126" t="str">
        <f>IFERROR(__xludf.DUMMYFUNCTION("FILTER('Armas do jogo'!E7:E661,'Armas do jogo'!B7:B661=D7)"),"Energético 3")</f>
        <v>Energético 3</v>
      </c>
      <c r="E15" s="126" t="str">
        <f>IFERROR(__xludf.DUMMYFUNCTION("FILTER('Armas do jogo'!E7:E661,'Armas do jogo'!B7:B661=E7)"),"Encontrar mágica")</f>
        <v>Encontrar mágica</v>
      </c>
      <c r="F15" s="126" t="str">
        <f>IFERROR(__xludf.DUMMYFUNCTION("FILTER('Armas do jogo'!E7:E661,'Armas do jogo'!B7:B661=F7)"),"Encontrar mágica")</f>
        <v>Encontrar mágica</v>
      </c>
      <c r="G15" s="126" t="str">
        <f>IFERROR(__xludf.DUMMYFUNCTION("FILTER('Armas do jogo'!E7:E661,'Armas do jogo'!B7:B661=G7)"),"Encontrar mágica")</f>
        <v>Encontrar mágica</v>
      </c>
      <c r="H15" s="126" t="str">
        <f>IFERROR(__xludf.DUMMYFUNCTION("FILTER('Armas do jogo'!E7:E661,'Armas do jogo'!B7:B661=H7)"),"Reviver 2")</f>
        <v>Reviver 2</v>
      </c>
      <c r="I15" s="126" t="str">
        <f>IFERROR(__xludf.DUMMYFUNCTION("FILTER('Armas do jogo'!E7:E661,'Armas do jogo'!B7:B661=I7)"),"Encontrar mágica")</f>
        <v>Encontrar mágica</v>
      </c>
      <c r="J15" s="126" t="str">
        <f>IFERROR(__xludf.DUMMYFUNCTION("FILTER('Armas do jogo'!E7:E661,'Armas do jogo'!B7:B661=J7)"),"Encontrar mágica")</f>
        <v>Encontrar mágica</v>
      </c>
      <c r="K15" s="126" t="str">
        <f>'Heróis'!E$1</f>
        <v>Engenhoso 1</v>
      </c>
      <c r="L15" s="126" t="str">
        <f>'Heróis'!$E$2</f>
        <v>Fornecedor 2</v>
      </c>
      <c r="M15" s="126" t="str">
        <f>'Heróis'!$E$3</f>
        <v>Gangster 1</v>
      </c>
      <c r="N15" s="110"/>
    </row>
    <row r="16">
      <c r="A16" s="111"/>
      <c r="B16" s="110"/>
      <c r="C16" s="125" t="str">
        <f t="shared" si="1"/>
        <v>Albert</v>
      </c>
      <c r="D16" s="126" t="str">
        <f>IFERROR(__xludf.DUMMYFUNCTION("FILTER('Armas do jogo'!E8:E662,'Armas do jogo'!B8:B662=D8)"),"Encontrar mágica")</f>
        <v>Encontrar mágica</v>
      </c>
      <c r="E16" s="126" t="str">
        <f>IFERROR(__xludf.DUMMYFUNCTION("FILTER('Armas do jogo'!E8:E662,'Armas do jogo'!B8:B662=E8)"),"Encontrar mágica")</f>
        <v>Encontrar mágica</v>
      </c>
      <c r="F16" s="126" t="str">
        <f>IFERROR(__xludf.DUMMYFUNCTION("FILTER('Armas do jogo'!E8:E662,'Armas do jogo'!B8:B662=F8)"),"Encontrar mágica")</f>
        <v>Encontrar mágica</v>
      </c>
      <c r="G16" s="126" t="str">
        <f>IFERROR(__xludf.DUMMYFUNCTION("FILTER('Armas do jogo'!E8:E662,'Armas do jogo'!B8:B662=G8)"),"Encontrar mágica")</f>
        <v>Encontrar mágica</v>
      </c>
      <c r="H16" s="126" t="str">
        <f>IFERROR(__xludf.DUMMYFUNCTION("FILTER('Armas do jogo'!E8:E662,'Armas do jogo'!B8:B662=H8)"),"Detectar segredo")</f>
        <v>Detectar segredo</v>
      </c>
      <c r="I16" s="126" t="str">
        <f>IFERROR(__xludf.DUMMYFUNCTION("FILTER('Armas do jogo'!E8:E662,'Armas do jogo'!B8:B662=I8)"),"Energético 3")</f>
        <v>Energético 3</v>
      </c>
      <c r="J16" s="126" t="str">
        <f>IFERROR(__xludf.DUMMYFUNCTION("FILTER('Armas do jogo'!E8:E662,'Armas do jogo'!B8:B662=J8)"),"Encontrar mágica")</f>
        <v>Encontrar mágica</v>
      </c>
      <c r="K16" s="126" t="str">
        <f>'Heróis'!F$1</f>
        <v>Cuidadoso 1</v>
      </c>
      <c r="L16" s="126" t="str">
        <f>'Heróis'!$F$2</f>
        <v>Fornecedor 1</v>
      </c>
      <c r="M16" s="126" t="str">
        <f>'Heróis'!$F$3</f>
        <v>Suporte 1</v>
      </c>
      <c r="N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>
      <c r="A18" s="111"/>
      <c r="B18" s="110"/>
      <c r="C18" s="114" t="s">
        <v>809</v>
      </c>
      <c r="D18" s="114" t="s">
        <v>810</v>
      </c>
      <c r="E18" s="120" t="s">
        <v>811</v>
      </c>
      <c r="F18" s="110"/>
      <c r="G18" s="110"/>
      <c r="H18" s="110"/>
      <c r="I18" s="110"/>
      <c r="J18" s="110"/>
      <c r="K18" s="110"/>
      <c r="L18" s="110"/>
      <c r="M18" s="110"/>
      <c r="N18" s="110"/>
    </row>
    <row r="19">
      <c r="A19" s="111"/>
      <c r="B19" s="110"/>
      <c r="C19" s="128" t="str">
        <f>IFERROR(__xludf.DUMMYFUNCTION("UNIQUE(sort(filter(Skills!A:A,Skills!A:A&lt;&gt;""""),1,true))"),"Arquimago 3")</f>
        <v>Arquimago 3</v>
      </c>
      <c r="D19" s="129">
        <f t="shared" ref="D19:D60" si="2">COUNTIF($D$11:$M$16,C19)</f>
        <v>1</v>
      </c>
      <c r="E19" s="130" t="str">
        <f>if(C19="Detectar Segredo", SUMIF(C19,Habilidades!$A$11,D19) * SUMIF(C19,Habilidades!$A$11,Habilidades!$B$11), if(C19="Encontrar mágica", SUMIF(C19,Habilidades!$A$12,D19) * SUMIF(C19,Habilidades!$A$12,Habilidades!$B$12), if(C19="Cuidadoso 1", SUMIF(C19,Habilidades!$A$22,D19) * SUMIF(C19,Habilidades!$A$22,Habilidades!$B$22), if(C19="Cuidadoso 2", SUMIF(C19,Habilidades!$A$23,D33) * SUMIF(C19,Habilidades!$A$23,Habilidades!$B$23), if(C19="Cuidadoso 3", SUMIF(C19,Habilidades!$A$24,D19) * SUMIF(C19,Habilidades!$A$24,Habilidades!$B$24), if(C19="Ganancioso 1", SUMIF(C19,Habilidades!$A$25,D19) * SUMIF(C19,Habilidades!$A$25,Habilidades!$B$25), if(C19="Ganancioso 2", SUMIF(C19,Habilidades!$A$26,D19) * SUMIF(C19,Habilidades!$A$26,Habilidades!$B$26), if(C19="Ganancioso 3", SUMIF(C19,Habilidades!$A$27,D19) * SUMIF(C19,Habilidades!$A$27,Habilidades!$B$27), if(C19="Curandeiro 1", SUMIF(C19,Habilidades!$A$28,D19) * SUMIF(C19,Habilidades!$A$28,Habilidades!$B$28), if(C19="Curandeiro 2", SUMIF(C19,Habilidades!$A$29,D19) * SUMIF(C19,Habilidades!$A$29,Habilidades!$B$29), if(C19="Curandeiro 3", SUMIF(C19,Habilidades!$A$30,D19) * SUMIF(C19,Habilidades!$A$30,Habilidades!$B$30), if(C19="Sortudo 1", SUMIF(C19,Habilidades!$A$31,D19) * SUMIF(C19,Habilidades!$A$31,Habilidades!$B$31), if(C19="Sortudo 2", SUMIF(C19,Habilidades!$A$32,D19) * SUMIF(C19,Habilidades!$A$32,Habilidades!$B$32), if(C19="Sortudo 3", SUMIF(C19,Habilidades!$A$33,D19) * SUMIF(C19,Habilidades!$A$33,Habilidades!$B$33), if(C19="Protetor 1", SUMIF(C19,Habilidades!$A$34,D19) * SUMIF(C19,Habilidades!$A$34,Habilidades!$B$34), if(C19="Protetor 2", SUMIF(C19,Habilidades!$A$35,D19) * SUMIF(C19,Habilidades!$A$35,Habilidades!$B$35), if(C19="Protetor 3", SUMIF(C19,Habilidades!$A$36,D19) * SUMIF(C19,Habilidades!$A$36,Habilidades!$B$36), if(C19="Engenhoso 1", SUMIF(C19,Habilidades!$A$40,D19) * SUMIF(C19,Habilidades!$A$40,Habilidades!$B$40), if(C19="Engenhoso 2", SUMIF(C19,Habilidades!$A$41,D19) * SUMIF(C19,Habilidades!$A$41,Habilidades!$B$41), if(C19="Engenhoso 3", SUMIF(C19,Habilidades!$A$42,D19) * SUMIF(C19,Habilidades!$A$42,Habilidades!$B$42), if(C19="Reviver 1", SUMIF(C19,Habilidades!$A$43,D19) * SUMIF(C19,Habilidades!$A$43,Habilidades!$B$43), if(C19="Reviver 2", SUMIF(C19,Habilidades!$A$44,D19) * SUMIF(C19,Habilidades!$A$44,Habilidades!$B$44), if(C19="Reviver 3", SUMIF(C19,Habilidades!$A$45,D19) * SUMIF(C19,Habilidades!$A$45,Habilidades!$B$45), if(C19="Catador 1", SUMIF(C19,Habilidades!$A$46,D19) * SUMIF(C19,Habilidades!$A$46,Habilidades!$B$46), if(C19="Catador 2", SUMIF(C19,Habilidades!$A$47,D19) * SUMIF(C19,Habilidades!$A$47,Habilidades!$B$47), if(C19="Catador 3", SUMIF(C19,Habilidades!$A$48,D19) * SUMIF(C19,Habilidades!$A$48,Habilidades!$B$48), if(C19="Fornecedor 1", SUMIF(C19,Habilidades!$A$49,D19) * SUMIF(C19,Habilidades!$A$49,Habilidades!$B$49), if(C19="Fornecedor 2", SUMIF(C19,Habilidades!$A$50,D19) * SUMIF(C19,Habilidades!$A$50,Habilidades!$B$50), if(C19="Fornecedor 3", SUMIF(C19,Habilidades!$A$51,D19) * SUMIF(C19,Habilidades!$A$51,Habilidades!$B$51), if(C19="Suporte 1", SUMIF(C19,Habilidades!$A$52,D19) * SUMIF(C19,Habilidades!$A$52,Habilidades!$B$52), if(C19="Suporte 2", SUMIF(C19,Habilidades!$A$53,D19) * SUMIF(C19,Habilidades!$A$53,Habilidades!$B$53), if(C19="Suporte 3", SUMIF(C19,Habilidades!$A$54,D19) * SUMIF(C19,Habilidades!$A$54,Habilidades!$B$54), if(C19="Caça-tesouros 1", SUMIF(C19,Habilidades!$A$55,D19) * SUMIF(C19,Habilidades!$A$55,Habilidades!$B$55), if(C19="Caça-tesouros 2", SUMIF(C19,Habilidades!$A$56,D19) * SUMIF(C19,Habilidades!$A$56,Habilidades!$B$56), if(C19="Caça-tesouros 3", SUMIF(C19,Habilidades!$A$57,D19) * SUMIF(C19,Habilidades!$A$57,Habilidades!$B$57), if(C19="Velocista 1", SUMIF(C19,Habilidades!$A$77,D19) * SUMIF(C19,Habilidades!$A$77,Habilidades!$B$77), if(C19="Velocista 2", SUMIF(C19,Habilidades!$A$78,D19) * SUMIF(C19,Habilidades!$A$78,Habilidades!$B$78), if(C19="Velocista 3", SUMIF(C19,Habilidades!$A$79,D19) * SUMIF(C19,Habilidades!$A$79,Habilidades!$B$79), "-"))))))))))))))))))))))))))))))))))))))</f>
        <v>-</v>
      </c>
      <c r="F19" s="110"/>
      <c r="G19" s="131" t="s">
        <v>812</v>
      </c>
      <c r="H19" s="131" t="s">
        <v>813</v>
      </c>
      <c r="I19" s="131" t="s">
        <v>814</v>
      </c>
      <c r="J19" s="131" t="s">
        <v>815</v>
      </c>
      <c r="K19" s="132" t="s">
        <v>816</v>
      </c>
      <c r="L19" s="124"/>
      <c r="M19" s="110"/>
      <c r="N19" s="110"/>
    </row>
    <row r="20">
      <c r="A20" s="111"/>
      <c r="B20" s="110"/>
      <c r="C20" s="133" t="str">
        <f>IFERROR(__xludf.DUMMYFUNCTION("""COMPUTED_VALUE"""),"Catador 2")</f>
        <v>Catador 2</v>
      </c>
      <c r="D20" s="129">
        <f t="shared" si="2"/>
        <v>1</v>
      </c>
      <c r="E20" s="130">
        <f>if(C20="Detectar Segredo", SUMIF(C20,Habilidades!$A$11,D20) * SUMIF(C20,Habilidades!$A$11,Habilidades!$B$11), if(C20="Encontrar mágica", SUMIF(C20,Habilidades!$A$12,D20) * SUMIF(C20,Habilidades!$A$12,Habilidades!$B$12), if(C20="Cuidadoso 1", SUMIF(C20,Habilidades!$A$22,D20) * SUMIF(C20,Habilidades!$A$22,Habilidades!$B$22), if(C20="Cuidadoso 2", SUMIF(C20,Habilidades!$A$23,D34) * SUMIF(C20,Habilidades!$A$23,Habilidades!$B$23), if(C20="Cuidadoso 3", SUMIF(C20,Habilidades!$A$24,D20) * SUMIF(C20,Habilidades!$A$24,Habilidades!$B$24), if(C20="Ganancioso 1", SUMIF(C20,Habilidades!$A$25,D20) * SUMIF(C20,Habilidades!$A$25,Habilidades!$B$25), if(C20="Ganancioso 2", SUMIF(C20,Habilidades!$A$26,D20) * SUMIF(C20,Habilidades!$A$26,Habilidades!$B$26), if(C20="Ganancioso 3", SUMIF(C20,Habilidades!$A$27,D20) * SUMIF(C20,Habilidades!$A$27,Habilidades!$B$27), if(C20="Curandeiro 1", SUMIF(C20,Habilidades!$A$28,D20) * SUMIF(C20,Habilidades!$A$28,Habilidades!$B$28), if(C20="Curandeiro 2", SUMIF(C20,Habilidades!$A$29,D20) * SUMIF(C20,Habilidades!$A$29,Habilidades!$B$29), if(C20="Curandeiro 3", SUMIF(C20,Habilidades!$A$30,D20) * SUMIF(C20,Habilidades!$A$30,Habilidades!$B$30), if(C20="Sortudo 1", SUMIF(C20,Habilidades!$A$31,D20) * SUMIF(C20,Habilidades!$A$31,Habilidades!$B$31), if(C20="Sortudo 2", SUMIF(C20,Habilidades!$A$32,D20) * SUMIF(C20,Habilidades!$A$32,Habilidades!$B$32), if(C20="Sortudo 3", SUMIF(C20,Habilidades!$A$33,D20) * SUMIF(C20,Habilidades!$A$33,Habilidades!$B$33), if(C20="Protetor 1", SUMIF(C20,Habilidades!$A$34,D20) * SUMIF(C20,Habilidades!$A$34,Habilidades!$B$34), if(C20="Protetor 2", SUMIF(C20,Habilidades!$A$35,D20) * SUMIF(C20,Habilidades!$A$35,Habilidades!$B$35), if(C20="Protetor 3", SUMIF(C20,Habilidades!$A$36,D20) * SUMIF(C20,Habilidades!$A$36,Habilidades!$B$36), if(C20="Engenhoso 1", SUMIF(C20,Habilidades!$A$40,D20) * SUMIF(C20,Habilidades!$A$40,Habilidades!$B$40), if(C20="Engenhoso 2", SUMIF(C20,Habilidades!$A$41,D20) * SUMIF(C20,Habilidades!$A$41,Habilidades!$B$41), if(C20="Engenhoso 3", SUMIF(C20,Habilidades!$A$42,D20) * SUMIF(C20,Habilidades!$A$42,Habilidades!$B$42), if(C20="Reviver 1", SUMIF(C20,Habilidades!$A$43,D20) * SUMIF(C20,Habilidades!$A$43,Habilidades!$B$43), if(C20="Reviver 2", SUMIF(C20,Habilidades!$A$44,D20) * SUMIF(C20,Habilidades!$A$44,Habilidades!$B$44), if(C20="Reviver 3", SUMIF(C20,Habilidades!$A$45,D20) * SUMIF(C20,Habilidades!$A$45,Habilidades!$B$45), if(C20="Catador 1", SUMIF(C20,Habilidades!$A$46,D20) * SUMIF(C20,Habilidades!$A$46,Habilidades!$B$46), if(C20="Catador 2", SUMIF(C20,Habilidades!$A$47,D20) * SUMIF(C20,Habilidades!$A$47,Habilidades!$B$47), if(C20="Catador 3", SUMIF(C20,Habilidades!$A$48,D20) * SUMIF(C20,Habilidades!$A$48,Habilidades!$B$48), if(C20="Fornecedor 1", SUMIF(C20,Habilidades!$A$49,D20) * SUMIF(C20,Habilidades!$A$49,Habilidades!$B$49), if(C20="Fornecedor 2", SUMIF(C20,Habilidades!$A$50,D20) * SUMIF(C20,Habilidades!$A$50,Habilidades!$B$50), if(C20="Fornecedor 3", SUMIF(C20,Habilidades!$A$51,D20) * SUMIF(C20,Habilidades!$A$51,Habilidades!$B$51), if(C20="Suporte 1", SUMIF(C20,Habilidades!$A$52,D20) * SUMIF(C20,Habilidades!$A$52,Habilidades!$B$52), if(C20="Suporte 2", SUMIF(C20,Habilidades!$A$53,D20) * SUMIF(C20,Habilidades!$A$53,Habilidades!$B$53), if(C20="Suporte 3", SUMIF(C20,Habilidades!$A$54,D20) * SUMIF(C20,Habilidades!$A$54,Habilidades!$B$54), if(C20="Caça-tesouros 1", SUMIF(C20,Habilidades!$A$55,D20) * SUMIF(C20,Habilidades!$A$55,Habilidades!$B$55), if(C20="Caça-tesouros 2", SUMIF(C20,Habilidades!$A$56,D20) * SUMIF(C20,Habilidades!$A$56,Habilidades!$B$56), if(C20="Caça-tesouros 3", SUMIF(C20,Habilidades!$A$57,D20) * SUMIF(C20,Habilidades!$A$57,Habilidades!$B$57), if(C20="Velocista 1", SUMIF(C20,Habilidades!$A$77,D20) * SUMIF(C20,Habilidades!$A$77,Habilidades!$B$77), if(C20="Velocista 2", SUMIF(C20,Habilidades!$A$78,D20) * SUMIF(C20,Habilidades!$A$78,Habilidades!$B$78), if(C20="Velocista 3", SUMIF(C20,Habilidades!$A$79,D20) * SUMIF(C20,Habilidades!$A$79,Habilidades!$B$79), "-"))))))))))))))))))))))))))))))))))))))</f>
        <v>2</v>
      </c>
      <c r="F20" s="110"/>
      <c r="G20" s="130">
        <f>SUMIF(C19:C70, "*Detectar*", E19:E52) + SUMIF(C19:C52, "*Encontrar*", E19:E52)</f>
        <v>282</v>
      </c>
      <c r="H20" s="130">
        <f>SUMIF(C19:C70, "*Velocista*", E19:E60)</f>
        <v>100</v>
      </c>
      <c r="I20" s="130">
        <f>SUMIF(C19:C70, "*Reviver*", E19:E46)</f>
        <v>100</v>
      </c>
      <c r="J20" s="131">
        <f>SUMIF(C19:C70, "*Suporte*", E19:E60) + SUMIF(C19:C60, "*Engenhoso*", E19:E60)</f>
        <v>7</v>
      </c>
      <c r="K20" s="134">
        <f>if(G20 &gt; 0, sum(10+G20), 0)</f>
        <v>292</v>
      </c>
      <c r="L20" s="124"/>
      <c r="M20" s="110"/>
      <c r="N20" s="110"/>
    </row>
    <row r="21">
      <c r="A21" s="111"/>
      <c r="B21" s="110"/>
      <c r="C21" s="133" t="str">
        <f>IFERROR(__xludf.DUMMYFUNCTION("""COMPUTED_VALUE"""),"Catador 3")</f>
        <v>Catador 3</v>
      </c>
      <c r="D21" s="129">
        <f t="shared" si="2"/>
        <v>1</v>
      </c>
      <c r="E21" s="130">
        <f>if(C21="Detectar Segredo", SUMIF(C21,Habilidades!$A$11,D21) * SUMIF(C21,Habilidades!$A$11,Habilidades!$B$11), if(C21="Encontrar mágica", SUMIF(C21,Habilidades!$A$12,D21) * SUMIF(C21,Habilidades!$A$12,Habilidades!$B$12), if(C21="Cuidadoso 1", SUMIF(C21,Habilidades!$A$22,D21) * SUMIF(C21,Habilidades!$A$22,Habilidades!$B$22), if(C21="Cuidadoso 2", SUMIF(C21,Habilidades!$A$23,D35) * SUMIF(C21,Habilidades!$A$23,Habilidades!$B$23), if(C21="Cuidadoso 3", SUMIF(C21,Habilidades!$A$24,D21) * SUMIF(C21,Habilidades!$A$24,Habilidades!$B$24), if(C21="Ganancioso 1", SUMIF(C21,Habilidades!$A$25,D21) * SUMIF(C21,Habilidades!$A$25,Habilidades!$B$25), if(C21="Ganancioso 2", SUMIF(C21,Habilidades!$A$26,D21) * SUMIF(C21,Habilidades!$A$26,Habilidades!$B$26), if(C21="Ganancioso 3", SUMIF(C21,Habilidades!$A$27,D21) * SUMIF(C21,Habilidades!$A$27,Habilidades!$B$27), if(C21="Curandeiro 1", SUMIF(C21,Habilidades!$A$28,D21) * SUMIF(C21,Habilidades!$A$28,Habilidades!$B$28), if(C21="Curandeiro 2", SUMIF(C21,Habilidades!$A$29,D21) * SUMIF(C21,Habilidades!$A$29,Habilidades!$B$29), if(C21="Curandeiro 3", SUMIF(C21,Habilidades!$A$30,D21) * SUMIF(C21,Habilidades!$A$30,Habilidades!$B$30), if(C21="Sortudo 1", SUMIF(C21,Habilidades!$A$31,D21) * SUMIF(C21,Habilidades!$A$31,Habilidades!$B$31), if(C21="Sortudo 2", SUMIF(C21,Habilidades!$A$32,D21) * SUMIF(C21,Habilidades!$A$32,Habilidades!$B$32), if(C21="Sortudo 3", SUMIF(C21,Habilidades!$A$33,D21) * SUMIF(C21,Habilidades!$A$33,Habilidades!$B$33), if(C21="Protetor 1", SUMIF(C21,Habilidades!$A$34,D21) * SUMIF(C21,Habilidades!$A$34,Habilidades!$B$34), if(C21="Protetor 2", SUMIF(C21,Habilidades!$A$35,D21) * SUMIF(C21,Habilidades!$A$35,Habilidades!$B$35), if(C21="Protetor 3", SUMIF(C21,Habilidades!$A$36,D21) * SUMIF(C21,Habilidades!$A$36,Habilidades!$B$36), if(C21="Engenhoso 1", SUMIF(C21,Habilidades!$A$40,D21) * SUMIF(C21,Habilidades!$A$40,Habilidades!$B$40), if(C21="Engenhoso 2", SUMIF(C21,Habilidades!$A$41,D21) * SUMIF(C21,Habilidades!$A$41,Habilidades!$B$41), if(C21="Engenhoso 3", SUMIF(C21,Habilidades!$A$42,D21) * SUMIF(C21,Habilidades!$A$42,Habilidades!$B$42), if(C21="Reviver 1", SUMIF(C21,Habilidades!$A$43,D21) * SUMIF(C21,Habilidades!$A$43,Habilidades!$B$43), if(C21="Reviver 2", SUMIF(C21,Habilidades!$A$44,D21) * SUMIF(C21,Habilidades!$A$44,Habilidades!$B$44), if(C21="Reviver 3", SUMIF(C21,Habilidades!$A$45,D21) * SUMIF(C21,Habilidades!$A$45,Habilidades!$B$45), if(C21="Catador 1", SUMIF(C21,Habilidades!$A$46,D21) * SUMIF(C21,Habilidades!$A$46,Habilidades!$B$46), if(C21="Catador 2", SUMIF(C21,Habilidades!$A$47,D21) * SUMIF(C21,Habilidades!$A$47,Habilidades!$B$47), if(C21="Catador 3", SUMIF(C21,Habilidades!$A$48,D21) * SUMIF(C21,Habilidades!$A$48,Habilidades!$B$48), if(C21="Fornecedor 1", SUMIF(C21,Habilidades!$A$49,D21) * SUMIF(C21,Habilidades!$A$49,Habilidades!$B$49), if(C21="Fornecedor 2", SUMIF(C21,Habilidades!$A$50,D21) * SUMIF(C21,Habilidades!$A$50,Habilidades!$B$50), if(C21="Fornecedor 3", SUMIF(C21,Habilidades!$A$51,D21) * SUMIF(C21,Habilidades!$A$51,Habilidades!$B$51), if(C21="Suporte 1", SUMIF(C21,Habilidades!$A$52,D21) * SUMIF(C21,Habilidades!$A$52,Habilidades!$B$52), if(C21="Suporte 2", SUMIF(C21,Habilidades!$A$53,D21) * SUMIF(C21,Habilidades!$A$53,Habilidades!$B$53), if(C21="Suporte 3", SUMIF(C21,Habilidades!$A$54,D21) * SUMIF(C21,Habilidades!$A$54,Habilidades!$B$54), if(C21="Caça-tesouros 1", SUMIF(C21,Habilidades!$A$55,D21) * SUMIF(C21,Habilidades!$A$55,Habilidades!$B$55), if(C21="Caça-tesouros 2", SUMIF(C21,Habilidades!$A$56,D21) * SUMIF(C21,Habilidades!$A$56,Habilidades!$B$56), if(C21="Caça-tesouros 3", SUMIF(C21,Habilidades!$A$57,D21) * SUMIF(C21,Habilidades!$A$57,Habilidades!$B$57), if(C21="Velocista 1", SUMIF(C21,Habilidades!$A$77,D21) * SUMIF(C21,Habilidades!$A$77,Habilidades!$B$77), if(C21="Velocista 2", SUMIF(C21,Habilidades!$A$78,D21) * SUMIF(C21,Habilidades!$A$78,Habilidades!$B$78), if(C21="Velocista 3", SUMIF(C21,Habilidades!$A$79,D21) * SUMIF(C21,Habilidades!$A$79,Habilidades!$B$79), "-"))))))))))))))))))))))))))))))))))))))</f>
        <v>3</v>
      </c>
      <c r="F21" s="135"/>
      <c r="G21" s="136"/>
      <c r="H21" s="136"/>
      <c r="I21" s="136"/>
      <c r="J21" s="136"/>
      <c r="K21" s="137"/>
      <c r="L21" s="137"/>
      <c r="M21" s="110"/>
      <c r="N21" s="110"/>
    </row>
    <row r="22">
      <c r="A22" s="111"/>
      <c r="B22" s="110"/>
      <c r="C22" s="133" t="str">
        <f>IFERROR(__xludf.DUMMYFUNCTION("""COMPUTED_VALUE"""),"Comandante 3")</f>
        <v>Comandante 3</v>
      </c>
      <c r="D22" s="129">
        <f t="shared" si="2"/>
        <v>1</v>
      </c>
      <c r="E22" s="130" t="str">
        <f>if(C22="Detectar Segredo", SUMIF(C22,Habilidades!$A$11,D22) * SUMIF(C22,Habilidades!$A$11,Habilidades!$B$11), if(C22="Encontrar mágica", SUMIF(C22,Habilidades!$A$12,D22) * SUMIF(C22,Habilidades!$A$12,Habilidades!$B$12), if(C22="Cuidadoso 1", SUMIF(C22,Habilidades!$A$22,D22) * SUMIF(C22,Habilidades!$A$22,Habilidades!$B$22), if(C22="Cuidadoso 2", SUMIF(C22,Habilidades!$A$23,D36) * SUMIF(C22,Habilidades!$A$23,Habilidades!$B$23), if(C22="Cuidadoso 3", SUMIF(C22,Habilidades!$A$24,D22) * SUMIF(C22,Habilidades!$A$24,Habilidades!$B$24), if(C22="Ganancioso 1", SUMIF(C22,Habilidades!$A$25,D22) * SUMIF(C22,Habilidades!$A$25,Habilidades!$B$25), if(C22="Ganancioso 2", SUMIF(C22,Habilidades!$A$26,D22) * SUMIF(C22,Habilidades!$A$26,Habilidades!$B$26), if(C22="Ganancioso 3", SUMIF(C22,Habilidades!$A$27,D22) * SUMIF(C22,Habilidades!$A$27,Habilidades!$B$27), if(C22="Curandeiro 1", SUMIF(C22,Habilidades!$A$28,D22) * SUMIF(C22,Habilidades!$A$28,Habilidades!$B$28), if(C22="Curandeiro 2", SUMIF(C22,Habilidades!$A$29,D22) * SUMIF(C22,Habilidades!$A$29,Habilidades!$B$29), if(C22="Curandeiro 3", SUMIF(C22,Habilidades!$A$30,D22) * SUMIF(C22,Habilidades!$A$30,Habilidades!$B$30), if(C22="Sortudo 1", SUMIF(C22,Habilidades!$A$31,D22) * SUMIF(C22,Habilidades!$A$31,Habilidades!$B$31), if(C22="Sortudo 2", SUMIF(C22,Habilidades!$A$32,D22) * SUMIF(C22,Habilidades!$A$32,Habilidades!$B$32), if(C22="Sortudo 3", SUMIF(C22,Habilidades!$A$33,D22) * SUMIF(C22,Habilidades!$A$33,Habilidades!$B$33), if(C22="Protetor 1", SUMIF(C22,Habilidades!$A$34,D22) * SUMIF(C22,Habilidades!$A$34,Habilidades!$B$34), if(C22="Protetor 2", SUMIF(C22,Habilidades!$A$35,D22) * SUMIF(C22,Habilidades!$A$35,Habilidades!$B$35), if(C22="Protetor 3", SUMIF(C22,Habilidades!$A$36,D22) * SUMIF(C22,Habilidades!$A$36,Habilidades!$B$36), if(C22="Engenhoso 1", SUMIF(C22,Habilidades!$A$40,D22) * SUMIF(C22,Habilidades!$A$40,Habilidades!$B$40), if(C22="Engenhoso 2", SUMIF(C22,Habilidades!$A$41,D22) * SUMIF(C22,Habilidades!$A$41,Habilidades!$B$41), if(C22="Engenhoso 3", SUMIF(C22,Habilidades!$A$42,D22) * SUMIF(C22,Habilidades!$A$42,Habilidades!$B$42), if(C22="Reviver 1", SUMIF(C22,Habilidades!$A$43,D22) * SUMIF(C22,Habilidades!$A$43,Habilidades!$B$43), if(C22="Reviver 2", SUMIF(C22,Habilidades!$A$44,D22) * SUMIF(C22,Habilidades!$A$44,Habilidades!$B$44), if(C22="Reviver 3", SUMIF(C22,Habilidades!$A$45,D22) * SUMIF(C22,Habilidades!$A$45,Habilidades!$B$45), if(C22="Catador 1", SUMIF(C22,Habilidades!$A$46,D22) * SUMIF(C22,Habilidades!$A$46,Habilidades!$B$46), if(C22="Catador 2", SUMIF(C22,Habilidades!$A$47,D22) * SUMIF(C22,Habilidades!$A$47,Habilidades!$B$47), if(C22="Catador 3", SUMIF(C22,Habilidades!$A$48,D22) * SUMIF(C22,Habilidades!$A$48,Habilidades!$B$48), if(C22="Fornecedor 1", SUMIF(C22,Habilidades!$A$49,D22) * SUMIF(C22,Habilidades!$A$49,Habilidades!$B$49), if(C22="Fornecedor 2", SUMIF(C22,Habilidades!$A$50,D22) * SUMIF(C22,Habilidades!$A$50,Habilidades!$B$50), if(C22="Fornecedor 3", SUMIF(C22,Habilidades!$A$51,D22) * SUMIF(C22,Habilidades!$A$51,Habilidades!$B$51), if(C22="Suporte 1", SUMIF(C22,Habilidades!$A$52,D22) * SUMIF(C22,Habilidades!$A$52,Habilidades!$B$52), if(C22="Suporte 2", SUMIF(C22,Habilidades!$A$53,D22) * SUMIF(C22,Habilidades!$A$53,Habilidades!$B$53), if(C22="Suporte 3", SUMIF(C22,Habilidades!$A$54,D22) * SUMIF(C22,Habilidades!$A$54,Habilidades!$B$54), if(C22="Caça-tesouros 1", SUMIF(C22,Habilidades!$A$55,D22) * SUMIF(C22,Habilidades!$A$55,Habilidades!$B$55), if(C22="Caça-tesouros 2", SUMIF(C22,Habilidades!$A$56,D22) * SUMIF(C22,Habilidades!$A$56,Habilidades!$B$56), if(C22="Caça-tesouros 3", SUMIF(C22,Habilidades!$A$57,D22) * SUMIF(C22,Habilidades!$A$57,Habilidades!$B$57), if(C22="Velocista 1", SUMIF(C22,Habilidades!$A$77,D22) * SUMIF(C22,Habilidades!$A$77,Habilidades!$B$77), if(C22="Velocista 2", SUMIF(C22,Habilidades!$A$78,D22) * SUMIF(C22,Habilidades!$A$78,Habilidades!$B$78), if(C22="Velocista 3", SUMIF(C22,Habilidades!$A$79,D22) * SUMIF(C22,Habilidades!$A$79,Habilidades!$B$79), "-"))))))))))))))))))))))))))))))))))))))</f>
        <v>-</v>
      </c>
      <c r="F22" s="110"/>
      <c r="G22" s="138"/>
      <c r="H22" s="139"/>
      <c r="I22" s="139"/>
      <c r="J22" s="139"/>
      <c r="K22" s="137"/>
      <c r="L22" s="137"/>
      <c r="M22" s="110"/>
      <c r="N22" s="110"/>
    </row>
    <row r="23">
      <c r="A23" s="111"/>
      <c r="B23" s="110"/>
      <c r="C23" s="133" t="str">
        <f>IFERROR(__xludf.DUMMYFUNCTION("""COMPUTED_VALUE"""),"Cuidadoso 1")</f>
        <v>Cuidadoso 1</v>
      </c>
      <c r="D23" s="129">
        <f t="shared" si="2"/>
        <v>1</v>
      </c>
      <c r="E23" s="130">
        <f>if(C23="Detectar Segredo", SUMIF(C23,Habilidades!$A$11,D23) * SUMIF(C23,Habilidades!$A$11,Habilidades!$B$11), if(C23="Encontrar mágica", SUMIF(C23,Habilidades!$A$12,D23) * SUMIF(C23,Habilidades!$A$12,Habilidades!$B$12), if(C23="Cuidadoso 1", SUMIF(C23,Habilidades!$A$22,D23) * SUMIF(C23,Habilidades!$A$22,Habilidades!$B$22), if(C23="Cuidadoso 2", SUMIF(C23,Habilidades!$A$23,D37) * SUMIF(C23,Habilidades!$A$23,Habilidades!$B$23), if(C23="Cuidadoso 3", SUMIF(C23,Habilidades!$A$24,D23) * SUMIF(C23,Habilidades!$A$24,Habilidades!$B$24), if(C23="Ganancioso 1", SUMIF(C23,Habilidades!$A$25,D23) * SUMIF(C23,Habilidades!$A$25,Habilidades!$B$25), if(C23="Ganancioso 2", SUMIF(C23,Habilidades!$A$26,D23) * SUMIF(C23,Habilidades!$A$26,Habilidades!$B$26), if(C23="Ganancioso 3", SUMIF(C23,Habilidades!$A$27,D23) * SUMIF(C23,Habilidades!$A$27,Habilidades!$B$27), if(C23="Curandeiro 1", SUMIF(C23,Habilidades!$A$28,D23) * SUMIF(C23,Habilidades!$A$28,Habilidades!$B$28), if(C23="Curandeiro 2", SUMIF(C23,Habilidades!$A$29,D23) * SUMIF(C23,Habilidades!$A$29,Habilidades!$B$29), if(C23="Curandeiro 3", SUMIF(C23,Habilidades!$A$30,D23) * SUMIF(C23,Habilidades!$A$30,Habilidades!$B$30), if(C23="Sortudo 1", SUMIF(C23,Habilidades!$A$31,D23) * SUMIF(C23,Habilidades!$A$31,Habilidades!$B$31), if(C23="Sortudo 2", SUMIF(C23,Habilidades!$A$32,D23) * SUMIF(C23,Habilidades!$A$32,Habilidades!$B$32), if(C23="Sortudo 3", SUMIF(C23,Habilidades!$A$33,D23) * SUMIF(C23,Habilidades!$A$33,Habilidades!$B$33), if(C23="Protetor 1", SUMIF(C23,Habilidades!$A$34,D23) * SUMIF(C23,Habilidades!$A$34,Habilidades!$B$34), if(C23="Protetor 2", SUMIF(C23,Habilidades!$A$35,D23) * SUMIF(C23,Habilidades!$A$35,Habilidades!$B$35), if(C23="Protetor 3", SUMIF(C23,Habilidades!$A$36,D23) * SUMIF(C23,Habilidades!$A$36,Habilidades!$B$36), if(C23="Engenhoso 1", SUMIF(C23,Habilidades!$A$40,D23) * SUMIF(C23,Habilidades!$A$40,Habilidades!$B$40), if(C23="Engenhoso 2", SUMIF(C23,Habilidades!$A$41,D23) * SUMIF(C23,Habilidades!$A$41,Habilidades!$B$41), if(C23="Engenhoso 3", SUMIF(C23,Habilidades!$A$42,D23) * SUMIF(C23,Habilidades!$A$42,Habilidades!$B$42), if(C23="Reviver 1", SUMIF(C23,Habilidades!$A$43,D23) * SUMIF(C23,Habilidades!$A$43,Habilidades!$B$43), if(C23="Reviver 2", SUMIF(C23,Habilidades!$A$44,D23) * SUMIF(C23,Habilidades!$A$44,Habilidades!$B$44), if(C23="Reviver 3", SUMIF(C23,Habilidades!$A$45,D23) * SUMIF(C23,Habilidades!$A$45,Habilidades!$B$45), if(C23="Catador 1", SUMIF(C23,Habilidades!$A$46,D23) * SUMIF(C23,Habilidades!$A$46,Habilidades!$B$46), if(C23="Catador 2", SUMIF(C23,Habilidades!$A$47,D23) * SUMIF(C23,Habilidades!$A$47,Habilidades!$B$47), if(C23="Catador 3", SUMIF(C23,Habilidades!$A$48,D23) * SUMIF(C23,Habilidades!$A$48,Habilidades!$B$48), if(C23="Fornecedor 1", SUMIF(C23,Habilidades!$A$49,D23) * SUMIF(C23,Habilidades!$A$49,Habilidades!$B$49), if(C23="Fornecedor 2", SUMIF(C23,Habilidades!$A$50,D23) * SUMIF(C23,Habilidades!$A$50,Habilidades!$B$50), if(C23="Fornecedor 3", SUMIF(C23,Habilidades!$A$51,D23) * SUMIF(C23,Habilidades!$A$51,Habilidades!$B$51), if(C23="Suporte 1", SUMIF(C23,Habilidades!$A$52,D23) * SUMIF(C23,Habilidades!$A$52,Habilidades!$B$52), if(C23="Suporte 2", SUMIF(C23,Habilidades!$A$53,D23) * SUMIF(C23,Habilidades!$A$53,Habilidades!$B$53), if(C23="Suporte 3", SUMIF(C23,Habilidades!$A$54,D23) * SUMIF(C23,Habilidades!$A$54,Habilidades!$B$54), if(C23="Caça-tesouros 1", SUMIF(C23,Habilidades!$A$55,D23) * SUMIF(C23,Habilidades!$A$55,Habilidades!$B$55), if(C23="Caça-tesouros 2", SUMIF(C23,Habilidades!$A$56,D23) * SUMIF(C23,Habilidades!$A$56,Habilidades!$B$56), if(C23="Caça-tesouros 3", SUMIF(C23,Habilidades!$A$57,D23) * SUMIF(C23,Habilidades!$A$57,Habilidades!$B$57), if(C23="Velocista 1", SUMIF(C23,Habilidades!$A$77,D23) * SUMIF(C23,Habilidades!$A$77,Habilidades!$B$77), if(C23="Velocista 2", SUMIF(C23,Habilidades!$A$78,D23) * SUMIF(C23,Habilidades!$A$78,Habilidades!$B$78), if(C23="Velocista 3", SUMIF(C23,Habilidades!$A$79,D23) * SUMIF(C23,Habilidades!$A$79,Habilidades!$B$79), "-"))))))))))))))))))))))))))))))))))))))</f>
        <v>15</v>
      </c>
      <c r="F23" s="110"/>
      <c r="G23" s="140"/>
      <c r="H23" s="139"/>
      <c r="I23" s="139"/>
      <c r="J23" s="139"/>
      <c r="K23" s="137"/>
      <c r="L23" s="137"/>
      <c r="M23" s="110"/>
      <c r="N23" s="110"/>
    </row>
    <row r="24">
      <c r="A24" s="111"/>
      <c r="B24" s="110"/>
      <c r="C24" s="133" t="str">
        <f>IFERROR(__xludf.DUMMYFUNCTION("""COMPUTED_VALUE"""),"Detectar segredo")</f>
        <v>Detectar segredo</v>
      </c>
      <c r="D24" s="129">
        <f t="shared" si="2"/>
        <v>1</v>
      </c>
      <c r="E24" s="130">
        <f>if(C24="Detectar Segredo", SUMIF(C24,Habilidades!$A$11,D24) * SUMIF(C24,Habilidades!$A$11,Habilidades!$B$11), if(C24="Encontrar mágica", SUMIF(C24,Habilidades!$A$12,D24) * SUMIF(C24,Habilidades!$A$12,Habilidades!$B$12), if(C24="Cuidadoso 1", SUMIF(C24,Habilidades!$A$22,D24) * SUMIF(C24,Habilidades!$A$22,Habilidades!$B$22), if(C24="Cuidadoso 2", SUMIF(C24,Habilidades!$A$23,D38) * SUMIF(C24,Habilidades!$A$23,Habilidades!$B$23), if(C24="Cuidadoso 3", SUMIF(C24,Habilidades!$A$24,D24) * SUMIF(C24,Habilidades!$A$24,Habilidades!$B$24), if(C24="Ganancioso 1", SUMIF(C24,Habilidades!$A$25,D24) * SUMIF(C24,Habilidades!$A$25,Habilidades!$B$25), if(C24="Ganancioso 2", SUMIF(C24,Habilidades!$A$26,D24) * SUMIF(C24,Habilidades!$A$26,Habilidades!$B$26), if(C24="Ganancioso 3", SUMIF(C24,Habilidades!$A$27,D24) * SUMIF(C24,Habilidades!$A$27,Habilidades!$B$27), if(C24="Curandeiro 1", SUMIF(C24,Habilidades!$A$28,D24) * SUMIF(C24,Habilidades!$A$28,Habilidades!$B$28), if(C24="Curandeiro 2", SUMIF(C24,Habilidades!$A$29,D24) * SUMIF(C24,Habilidades!$A$29,Habilidades!$B$29), if(C24="Curandeiro 3", SUMIF(C24,Habilidades!$A$30,D24) * SUMIF(C24,Habilidades!$A$30,Habilidades!$B$30), if(C24="Sortudo 1", SUMIF(C24,Habilidades!$A$31,D24) * SUMIF(C24,Habilidades!$A$31,Habilidades!$B$31), if(C24="Sortudo 2", SUMIF(C24,Habilidades!$A$32,D24) * SUMIF(C24,Habilidades!$A$32,Habilidades!$B$32), if(C24="Sortudo 3", SUMIF(C24,Habilidades!$A$33,D24) * SUMIF(C24,Habilidades!$A$33,Habilidades!$B$33), if(C24="Protetor 1", SUMIF(C24,Habilidades!$A$34,D24) * SUMIF(C24,Habilidades!$A$34,Habilidades!$B$34), if(C24="Protetor 2", SUMIF(C24,Habilidades!$A$35,D24) * SUMIF(C24,Habilidades!$A$35,Habilidades!$B$35), if(C24="Protetor 3", SUMIF(C24,Habilidades!$A$36,D24) * SUMIF(C24,Habilidades!$A$36,Habilidades!$B$36), if(C24="Engenhoso 1", SUMIF(C24,Habilidades!$A$40,D24) * SUMIF(C24,Habilidades!$A$40,Habilidades!$B$40), if(C24="Engenhoso 2", SUMIF(C24,Habilidades!$A$41,D24) * SUMIF(C24,Habilidades!$A$41,Habilidades!$B$41), if(C24="Engenhoso 3", SUMIF(C24,Habilidades!$A$42,D24) * SUMIF(C24,Habilidades!$A$42,Habilidades!$B$42), if(C24="Reviver 1", SUMIF(C24,Habilidades!$A$43,D24) * SUMIF(C24,Habilidades!$A$43,Habilidades!$B$43), if(C24="Reviver 2", SUMIF(C24,Habilidades!$A$44,D24) * SUMIF(C24,Habilidades!$A$44,Habilidades!$B$44), if(C24="Reviver 3", SUMIF(C24,Habilidades!$A$45,D24) * SUMIF(C24,Habilidades!$A$45,Habilidades!$B$45), if(C24="Catador 1", SUMIF(C24,Habilidades!$A$46,D24) * SUMIF(C24,Habilidades!$A$46,Habilidades!$B$46), if(C24="Catador 2", SUMIF(C24,Habilidades!$A$47,D24) * SUMIF(C24,Habilidades!$A$47,Habilidades!$B$47), if(C24="Catador 3", SUMIF(C24,Habilidades!$A$48,D24) * SUMIF(C24,Habilidades!$A$48,Habilidades!$B$48), if(C24="Fornecedor 1", SUMIF(C24,Habilidades!$A$49,D24) * SUMIF(C24,Habilidades!$A$49,Habilidades!$B$49), if(C24="Fornecedor 2", SUMIF(C24,Habilidades!$A$50,D24) * SUMIF(C24,Habilidades!$A$50,Habilidades!$B$50), if(C24="Fornecedor 3", SUMIF(C24,Habilidades!$A$51,D24) * SUMIF(C24,Habilidades!$A$51,Habilidades!$B$51), if(C24="Suporte 1", SUMIF(C24,Habilidades!$A$52,D24) * SUMIF(C24,Habilidades!$A$52,Habilidades!$B$52), if(C24="Suporte 2", SUMIF(C24,Habilidades!$A$53,D24) * SUMIF(C24,Habilidades!$A$53,Habilidades!$B$53), if(C24="Suporte 3", SUMIF(C24,Habilidades!$A$54,D24) * SUMIF(C24,Habilidades!$A$54,Habilidades!$B$54), if(C24="Caça-tesouros 1", SUMIF(C24,Habilidades!$A$55,D24) * SUMIF(C24,Habilidades!$A$55,Habilidades!$B$55), if(C24="Caça-tesouros 2", SUMIF(C24,Habilidades!$A$56,D24) * SUMIF(C24,Habilidades!$A$56,Habilidades!$B$56), if(C24="Caça-tesouros 3", SUMIF(C24,Habilidades!$A$57,D24) * SUMIF(C24,Habilidades!$A$57,Habilidades!$B$57), if(C24="Velocista 1", SUMIF(C24,Habilidades!$A$77,D24) * SUMIF(C24,Habilidades!$A$77,Habilidades!$B$77), if(C24="Velocista 2", SUMIF(C24,Habilidades!$A$78,D24) * SUMIF(C24,Habilidades!$A$78,Habilidades!$B$78), if(C24="Velocista 3", SUMIF(C24,Habilidades!$A$79,D24) * SUMIF(C24,Habilidades!$A$79,Habilidades!$B$79), "-"))))))))))))))))))))))))))))))))))))))</f>
        <v>6</v>
      </c>
      <c r="F24" s="110"/>
      <c r="G24" s="137"/>
      <c r="H24" s="137"/>
      <c r="I24" s="137"/>
      <c r="J24" s="137"/>
      <c r="K24" s="137"/>
      <c r="L24" s="137"/>
      <c r="M24" s="110"/>
      <c r="N24" s="110"/>
    </row>
    <row r="25">
      <c r="A25" s="111"/>
      <c r="B25" s="110"/>
      <c r="C25" s="133" t="str">
        <f>IFERROR(__xludf.DUMMYFUNCTION("""COMPUTED_VALUE"""),"Emboscada")</f>
        <v>Emboscada</v>
      </c>
      <c r="D25" s="129">
        <f t="shared" si="2"/>
        <v>1</v>
      </c>
      <c r="E25" s="130" t="str">
        <f>if(C25="Detectar Segredo", SUMIF(C25,Habilidades!$A$11,D25) * SUMIF(C25,Habilidades!$A$11,Habilidades!$B$11), if(C25="Encontrar mágica", SUMIF(C25,Habilidades!$A$12,D25) * SUMIF(C25,Habilidades!$A$12,Habilidades!$B$12), if(C25="Cuidadoso 1", SUMIF(C25,Habilidades!$A$22,D25) * SUMIF(C25,Habilidades!$A$22,Habilidades!$B$22), if(C25="Cuidadoso 2", SUMIF(C25,Habilidades!$A$23,D39) * SUMIF(C25,Habilidades!$A$23,Habilidades!$B$23), if(C25="Cuidadoso 3", SUMIF(C25,Habilidades!$A$24,D25) * SUMIF(C25,Habilidades!$A$24,Habilidades!$B$24), if(C25="Ganancioso 1", SUMIF(C25,Habilidades!$A$25,D25) * SUMIF(C25,Habilidades!$A$25,Habilidades!$B$25), if(C25="Ganancioso 2", SUMIF(C25,Habilidades!$A$26,D25) * SUMIF(C25,Habilidades!$A$26,Habilidades!$B$26), if(C25="Ganancioso 3", SUMIF(C25,Habilidades!$A$27,D25) * SUMIF(C25,Habilidades!$A$27,Habilidades!$B$27), if(C25="Curandeiro 1", SUMIF(C25,Habilidades!$A$28,D25) * SUMIF(C25,Habilidades!$A$28,Habilidades!$B$28), if(C25="Curandeiro 2", SUMIF(C25,Habilidades!$A$29,D25) * SUMIF(C25,Habilidades!$A$29,Habilidades!$B$29), if(C25="Curandeiro 3", SUMIF(C25,Habilidades!$A$30,D25) * SUMIF(C25,Habilidades!$A$30,Habilidades!$B$30), if(C25="Sortudo 1", SUMIF(C25,Habilidades!$A$31,D25) * SUMIF(C25,Habilidades!$A$31,Habilidades!$B$31), if(C25="Sortudo 2", SUMIF(C25,Habilidades!$A$32,D25) * SUMIF(C25,Habilidades!$A$32,Habilidades!$B$32), if(C25="Sortudo 3", SUMIF(C25,Habilidades!$A$33,D25) * SUMIF(C25,Habilidades!$A$33,Habilidades!$B$33), if(C25="Protetor 1", SUMIF(C25,Habilidades!$A$34,D25) * SUMIF(C25,Habilidades!$A$34,Habilidades!$B$34), if(C25="Protetor 2", SUMIF(C25,Habilidades!$A$35,D25) * SUMIF(C25,Habilidades!$A$35,Habilidades!$B$35), if(C25="Protetor 3", SUMIF(C25,Habilidades!$A$36,D25) * SUMIF(C25,Habilidades!$A$36,Habilidades!$B$36), if(C25="Engenhoso 1", SUMIF(C25,Habilidades!$A$40,D25) * SUMIF(C25,Habilidades!$A$40,Habilidades!$B$40), if(C25="Engenhoso 2", SUMIF(C25,Habilidades!$A$41,D25) * SUMIF(C25,Habilidades!$A$41,Habilidades!$B$41), if(C25="Engenhoso 3", SUMIF(C25,Habilidades!$A$42,D25) * SUMIF(C25,Habilidades!$A$42,Habilidades!$B$42), if(C25="Reviver 1", SUMIF(C25,Habilidades!$A$43,D25) * SUMIF(C25,Habilidades!$A$43,Habilidades!$B$43), if(C25="Reviver 2", SUMIF(C25,Habilidades!$A$44,D25) * SUMIF(C25,Habilidades!$A$44,Habilidades!$B$44), if(C25="Reviver 3", SUMIF(C25,Habilidades!$A$45,D25) * SUMIF(C25,Habilidades!$A$45,Habilidades!$B$45), if(C25="Catador 1", SUMIF(C25,Habilidades!$A$46,D25) * SUMIF(C25,Habilidades!$A$46,Habilidades!$B$46), if(C25="Catador 2", SUMIF(C25,Habilidades!$A$47,D25) * SUMIF(C25,Habilidades!$A$47,Habilidades!$B$47), if(C25="Catador 3", SUMIF(C25,Habilidades!$A$48,D25) * SUMIF(C25,Habilidades!$A$48,Habilidades!$B$48), if(C25="Fornecedor 1", SUMIF(C25,Habilidades!$A$49,D25) * SUMIF(C25,Habilidades!$A$49,Habilidades!$B$49), if(C25="Fornecedor 2", SUMIF(C25,Habilidades!$A$50,D25) * SUMIF(C25,Habilidades!$A$50,Habilidades!$B$50), if(C25="Fornecedor 3", SUMIF(C25,Habilidades!$A$51,D25) * SUMIF(C25,Habilidades!$A$51,Habilidades!$B$51), if(C25="Suporte 1", SUMIF(C25,Habilidades!$A$52,D25) * SUMIF(C25,Habilidades!$A$52,Habilidades!$B$52), if(C25="Suporte 2", SUMIF(C25,Habilidades!$A$53,D25) * SUMIF(C25,Habilidades!$A$53,Habilidades!$B$53), if(C25="Suporte 3", SUMIF(C25,Habilidades!$A$54,D25) * SUMIF(C25,Habilidades!$A$54,Habilidades!$B$54), if(C25="Caça-tesouros 1", SUMIF(C25,Habilidades!$A$55,D25) * SUMIF(C25,Habilidades!$A$55,Habilidades!$B$55), if(C25="Caça-tesouros 2", SUMIF(C25,Habilidades!$A$56,D25) * SUMIF(C25,Habilidades!$A$56,Habilidades!$B$56), if(C25="Caça-tesouros 3", SUMIF(C25,Habilidades!$A$57,D25) * SUMIF(C25,Habilidades!$A$57,Habilidades!$B$57), if(C25="Velocista 1", SUMIF(C25,Habilidades!$A$77,D25) * SUMIF(C25,Habilidades!$A$77,Habilidades!$B$77), if(C25="Velocista 2", SUMIF(C25,Habilidades!$A$78,D25) * SUMIF(C25,Habilidades!$A$78,Habilidades!$B$78), if(C25="Velocista 3", SUMIF(C25,Habilidades!$A$79,D25) * SUMIF(C25,Habilidades!$A$79,Habilidades!$B$79), "-"))))))))))))))))))))))))))))))))))))))</f>
        <v>-</v>
      </c>
      <c r="F25" s="110"/>
      <c r="G25" s="137"/>
      <c r="H25" s="137"/>
      <c r="I25" s="137"/>
      <c r="J25" s="139"/>
      <c r="K25" s="137"/>
      <c r="L25" s="137"/>
      <c r="M25" s="110"/>
      <c r="N25" s="110"/>
    </row>
    <row r="26">
      <c r="A26" s="111"/>
      <c r="B26" s="110"/>
      <c r="C26" s="133" t="str">
        <f>IFERROR(__xludf.DUMMYFUNCTION("""COMPUTED_VALUE"""),"Encontrar mágica")</f>
        <v>Encontrar mágica</v>
      </c>
      <c r="D26" s="129">
        <f t="shared" si="2"/>
        <v>23</v>
      </c>
      <c r="E26" s="130">
        <f>if(C26="Detectar Segredo", SUMIF(C26,Habilidades!$A$11,D26) * SUMIF(C26,Habilidades!$A$11,Habilidades!$B$11), if(C26="Encontrar mágica", SUMIF(C26,Habilidades!$A$12,D26) * SUMIF(C26,Habilidades!$A$12,Habilidades!$B$12), if(C26="Cuidadoso 1", SUMIF(C26,Habilidades!$A$22,D26) * SUMIF(C26,Habilidades!$A$22,Habilidades!$B$22), if(C26="Cuidadoso 2", SUMIF(C26,Habilidades!$A$23,D40) * SUMIF(C26,Habilidades!$A$23,Habilidades!$B$23), if(C26="Cuidadoso 3", SUMIF(C26,Habilidades!$A$24,D26) * SUMIF(C26,Habilidades!$A$24,Habilidades!$B$24), if(C26="Ganancioso 1", SUMIF(C26,Habilidades!$A$25,D26) * SUMIF(C26,Habilidades!$A$25,Habilidades!$B$25), if(C26="Ganancioso 2", SUMIF(C26,Habilidades!$A$26,D26) * SUMIF(C26,Habilidades!$A$26,Habilidades!$B$26), if(C26="Ganancioso 3", SUMIF(C26,Habilidades!$A$27,D26) * SUMIF(C26,Habilidades!$A$27,Habilidades!$B$27), if(C26="Curandeiro 1", SUMIF(C26,Habilidades!$A$28,D26) * SUMIF(C26,Habilidades!$A$28,Habilidades!$B$28), if(C26="Curandeiro 2", SUMIF(C26,Habilidades!$A$29,D26) * SUMIF(C26,Habilidades!$A$29,Habilidades!$B$29), if(C26="Curandeiro 3", SUMIF(C26,Habilidades!$A$30,D26) * SUMIF(C26,Habilidades!$A$30,Habilidades!$B$30), if(C26="Sortudo 1", SUMIF(C26,Habilidades!$A$31,D26) * SUMIF(C26,Habilidades!$A$31,Habilidades!$B$31), if(C26="Sortudo 2", SUMIF(C26,Habilidades!$A$32,D26) * SUMIF(C26,Habilidades!$A$32,Habilidades!$B$32), if(C26="Sortudo 3", SUMIF(C26,Habilidades!$A$33,D26) * SUMIF(C26,Habilidades!$A$33,Habilidades!$B$33), if(C26="Protetor 1", SUMIF(C26,Habilidades!$A$34,D26) * SUMIF(C26,Habilidades!$A$34,Habilidades!$B$34), if(C26="Protetor 2", SUMIF(C26,Habilidades!$A$35,D26) * SUMIF(C26,Habilidades!$A$35,Habilidades!$B$35), if(C26="Protetor 3", SUMIF(C26,Habilidades!$A$36,D26) * SUMIF(C26,Habilidades!$A$36,Habilidades!$B$36), if(C26="Engenhoso 1", SUMIF(C26,Habilidades!$A$40,D26) * SUMIF(C26,Habilidades!$A$40,Habilidades!$B$40), if(C26="Engenhoso 2", SUMIF(C26,Habilidades!$A$41,D26) * SUMIF(C26,Habilidades!$A$41,Habilidades!$B$41), if(C26="Engenhoso 3", SUMIF(C26,Habilidades!$A$42,D26) * SUMIF(C26,Habilidades!$A$42,Habilidades!$B$42), if(C26="Reviver 1", SUMIF(C26,Habilidades!$A$43,D26) * SUMIF(C26,Habilidades!$A$43,Habilidades!$B$43), if(C26="Reviver 2", SUMIF(C26,Habilidades!$A$44,D26) * SUMIF(C26,Habilidades!$A$44,Habilidades!$B$44), if(C26="Reviver 3", SUMIF(C26,Habilidades!$A$45,D26) * SUMIF(C26,Habilidades!$A$45,Habilidades!$B$45), if(C26="Catador 1", SUMIF(C26,Habilidades!$A$46,D26) * SUMIF(C26,Habilidades!$A$46,Habilidades!$B$46), if(C26="Catador 2", SUMIF(C26,Habilidades!$A$47,D26) * SUMIF(C26,Habilidades!$A$47,Habilidades!$B$47), if(C26="Catador 3", SUMIF(C26,Habilidades!$A$48,D26) * SUMIF(C26,Habilidades!$A$48,Habilidades!$B$48), if(C26="Fornecedor 1", SUMIF(C26,Habilidades!$A$49,D26) * SUMIF(C26,Habilidades!$A$49,Habilidades!$B$49), if(C26="Fornecedor 2", SUMIF(C26,Habilidades!$A$50,D26) * SUMIF(C26,Habilidades!$A$50,Habilidades!$B$50), if(C26="Fornecedor 3", SUMIF(C26,Habilidades!$A$51,D26) * SUMIF(C26,Habilidades!$A$51,Habilidades!$B$51), if(C26="Suporte 1", SUMIF(C26,Habilidades!$A$52,D26) * SUMIF(C26,Habilidades!$A$52,Habilidades!$B$52), if(C26="Suporte 2", SUMIF(C26,Habilidades!$A$53,D26) * SUMIF(C26,Habilidades!$A$53,Habilidades!$B$53), if(C26="Suporte 3", SUMIF(C26,Habilidades!$A$54,D26) * SUMIF(C26,Habilidades!$A$54,Habilidades!$B$54), if(C26="Caça-tesouros 1", SUMIF(C26,Habilidades!$A$55,D26) * SUMIF(C26,Habilidades!$A$55,Habilidades!$B$55), if(C26="Caça-tesouros 2", SUMIF(C26,Habilidades!$A$56,D26) * SUMIF(C26,Habilidades!$A$56,Habilidades!$B$56), if(C26="Caça-tesouros 3", SUMIF(C26,Habilidades!$A$57,D26) * SUMIF(C26,Habilidades!$A$57,Habilidades!$B$57), if(C26="Velocista 1", SUMIF(C26,Habilidades!$A$77,D26) * SUMIF(C26,Habilidades!$A$77,Habilidades!$B$77), if(C26="Velocista 2", SUMIF(C26,Habilidades!$A$78,D26) * SUMIF(C26,Habilidades!$A$78,Habilidades!$B$78), if(C26="Velocista 3", SUMIF(C26,Habilidades!$A$79,D26) * SUMIF(C26,Habilidades!$A$79,Habilidades!$B$79), "-"))))))))))))))))))))))))))))))))))))))</f>
        <v>276</v>
      </c>
      <c r="F26" s="110"/>
      <c r="G26" s="139"/>
      <c r="H26" s="137"/>
      <c r="I26" s="137"/>
      <c r="J26" s="139"/>
      <c r="K26" s="137"/>
      <c r="L26" s="137"/>
      <c r="M26" s="110"/>
      <c r="N26" s="110"/>
    </row>
    <row r="27">
      <c r="A27" s="111"/>
      <c r="B27" s="110"/>
      <c r="C27" s="133" t="str">
        <f>IFERROR(__xludf.DUMMYFUNCTION("""COMPUTED_VALUE"""),"Energético 1")</f>
        <v>Energético 1</v>
      </c>
      <c r="D27" s="129">
        <f t="shared" si="2"/>
        <v>2</v>
      </c>
      <c r="E27" s="130" t="str">
        <f>if(C27="Detectar Segredo", SUMIF(C27,Habilidades!$A$11,D27) * SUMIF(C27,Habilidades!$A$11,Habilidades!$B$11), if(C27="Encontrar mágica", SUMIF(C27,Habilidades!$A$12,D27) * SUMIF(C27,Habilidades!$A$12,Habilidades!$B$12), if(C27="Cuidadoso 1", SUMIF(C27,Habilidades!$A$22,D27) * SUMIF(C27,Habilidades!$A$22,Habilidades!$B$22), if(C27="Cuidadoso 2", SUMIF(C27,Habilidades!$A$23,D41) * SUMIF(C27,Habilidades!$A$23,Habilidades!$B$23), if(C27="Cuidadoso 3", SUMIF(C27,Habilidades!$A$24,D27) * SUMIF(C27,Habilidades!$A$24,Habilidades!$B$24), if(C27="Ganancioso 1", SUMIF(C27,Habilidades!$A$25,D27) * SUMIF(C27,Habilidades!$A$25,Habilidades!$B$25), if(C27="Ganancioso 2", SUMIF(C27,Habilidades!$A$26,D27) * SUMIF(C27,Habilidades!$A$26,Habilidades!$B$26), if(C27="Ganancioso 3", SUMIF(C27,Habilidades!$A$27,D27) * SUMIF(C27,Habilidades!$A$27,Habilidades!$B$27), if(C27="Curandeiro 1", SUMIF(C27,Habilidades!$A$28,D27) * SUMIF(C27,Habilidades!$A$28,Habilidades!$B$28), if(C27="Curandeiro 2", SUMIF(C27,Habilidades!$A$29,D27) * SUMIF(C27,Habilidades!$A$29,Habilidades!$B$29), if(C27="Curandeiro 3", SUMIF(C27,Habilidades!$A$30,D27) * SUMIF(C27,Habilidades!$A$30,Habilidades!$B$30), if(C27="Sortudo 1", SUMIF(C27,Habilidades!$A$31,D27) * SUMIF(C27,Habilidades!$A$31,Habilidades!$B$31), if(C27="Sortudo 2", SUMIF(C27,Habilidades!$A$32,D27) * SUMIF(C27,Habilidades!$A$32,Habilidades!$B$32), if(C27="Sortudo 3", SUMIF(C27,Habilidades!$A$33,D27) * SUMIF(C27,Habilidades!$A$33,Habilidades!$B$33), if(C27="Protetor 1", SUMIF(C27,Habilidades!$A$34,D27) * SUMIF(C27,Habilidades!$A$34,Habilidades!$B$34), if(C27="Protetor 2", SUMIF(C27,Habilidades!$A$35,D27) * SUMIF(C27,Habilidades!$A$35,Habilidades!$B$35), if(C27="Protetor 3", SUMIF(C27,Habilidades!$A$36,D27) * SUMIF(C27,Habilidades!$A$36,Habilidades!$B$36), if(C27="Engenhoso 1", SUMIF(C27,Habilidades!$A$40,D27) * SUMIF(C27,Habilidades!$A$40,Habilidades!$B$40), if(C27="Engenhoso 2", SUMIF(C27,Habilidades!$A$41,D27) * SUMIF(C27,Habilidades!$A$41,Habilidades!$B$41), if(C27="Engenhoso 3", SUMIF(C27,Habilidades!$A$42,D27) * SUMIF(C27,Habilidades!$A$42,Habilidades!$B$42), if(C27="Reviver 1", SUMIF(C27,Habilidades!$A$43,D27) * SUMIF(C27,Habilidades!$A$43,Habilidades!$B$43), if(C27="Reviver 2", SUMIF(C27,Habilidades!$A$44,D27) * SUMIF(C27,Habilidades!$A$44,Habilidades!$B$44), if(C27="Reviver 3", SUMIF(C27,Habilidades!$A$45,D27) * SUMIF(C27,Habilidades!$A$45,Habilidades!$B$45), if(C27="Catador 1", SUMIF(C27,Habilidades!$A$46,D27) * SUMIF(C27,Habilidades!$A$46,Habilidades!$B$46), if(C27="Catador 2", SUMIF(C27,Habilidades!$A$47,D27) * SUMIF(C27,Habilidades!$A$47,Habilidades!$B$47), if(C27="Catador 3", SUMIF(C27,Habilidades!$A$48,D27) * SUMIF(C27,Habilidades!$A$48,Habilidades!$B$48), if(C27="Fornecedor 1", SUMIF(C27,Habilidades!$A$49,D27) * SUMIF(C27,Habilidades!$A$49,Habilidades!$B$49), if(C27="Fornecedor 2", SUMIF(C27,Habilidades!$A$50,D27) * SUMIF(C27,Habilidades!$A$50,Habilidades!$B$50), if(C27="Fornecedor 3", SUMIF(C27,Habilidades!$A$51,D27) * SUMIF(C27,Habilidades!$A$51,Habilidades!$B$51), if(C27="Suporte 1", SUMIF(C27,Habilidades!$A$52,D27) * SUMIF(C27,Habilidades!$A$52,Habilidades!$B$52), if(C27="Suporte 2", SUMIF(C27,Habilidades!$A$53,D27) * SUMIF(C27,Habilidades!$A$53,Habilidades!$B$53), if(C27="Suporte 3", SUMIF(C27,Habilidades!$A$54,D27) * SUMIF(C27,Habilidades!$A$54,Habilidades!$B$54), if(C27="Caça-tesouros 1", SUMIF(C27,Habilidades!$A$55,D27) * SUMIF(C27,Habilidades!$A$55,Habilidades!$B$55), if(C27="Caça-tesouros 2", SUMIF(C27,Habilidades!$A$56,D27) * SUMIF(C27,Habilidades!$A$56,Habilidades!$B$56), if(C27="Caça-tesouros 3", SUMIF(C27,Habilidades!$A$57,D27) * SUMIF(C27,Habilidades!$A$57,Habilidades!$B$57), if(C27="Velocista 1", SUMIF(C27,Habilidades!$A$77,D27) * SUMIF(C27,Habilidades!$A$77,Habilidades!$B$77), if(C27="Velocista 2", SUMIF(C27,Habilidades!$A$78,D27) * SUMIF(C27,Habilidades!$A$78,Habilidades!$B$78), if(C27="Velocista 3", SUMIF(C27,Habilidades!$A$79,D27) * SUMIF(C27,Habilidades!$A$79,Habilidades!$B$79), "-"))))))))))))))))))))))))))))))))))))))</f>
        <v>-</v>
      </c>
      <c r="F27" s="110"/>
      <c r="G27" s="139"/>
      <c r="H27" s="137"/>
      <c r="I27" s="137"/>
      <c r="J27" s="137"/>
      <c r="K27" s="137"/>
      <c r="L27" s="137"/>
      <c r="M27" s="110"/>
      <c r="N27" s="110"/>
    </row>
    <row r="28">
      <c r="A28" s="111"/>
      <c r="B28" s="110"/>
      <c r="C28" s="133" t="str">
        <f>IFERROR(__xludf.DUMMYFUNCTION("""COMPUTED_VALUE"""),"Energético 2")</f>
        <v>Energético 2</v>
      </c>
      <c r="D28" s="129">
        <f t="shared" si="2"/>
        <v>2</v>
      </c>
      <c r="E28" s="130" t="str">
        <f>if(C28="Detectar Segredo", SUMIF(C28,Habilidades!$A$11,D28) * SUMIF(C28,Habilidades!$A$11,Habilidades!$B$11), if(C28="Encontrar mágica", SUMIF(C28,Habilidades!$A$12,D28) * SUMIF(C28,Habilidades!$A$12,Habilidades!$B$12), if(C28="Cuidadoso 1", SUMIF(C28,Habilidades!$A$22,D28) * SUMIF(C28,Habilidades!$A$22,Habilidades!$B$22), if(C28="Cuidadoso 2", SUMIF(C28,Habilidades!$A$23,D42) * SUMIF(C28,Habilidades!$A$23,Habilidades!$B$23), if(C28="Cuidadoso 3", SUMIF(C28,Habilidades!$A$24,D28) * SUMIF(C28,Habilidades!$A$24,Habilidades!$B$24), if(C28="Ganancioso 1", SUMIF(C28,Habilidades!$A$25,D28) * SUMIF(C28,Habilidades!$A$25,Habilidades!$B$25), if(C28="Ganancioso 2", SUMIF(C28,Habilidades!$A$26,D28) * SUMIF(C28,Habilidades!$A$26,Habilidades!$B$26), if(C28="Ganancioso 3", SUMIF(C28,Habilidades!$A$27,D28) * SUMIF(C28,Habilidades!$A$27,Habilidades!$B$27), if(C28="Curandeiro 1", SUMIF(C28,Habilidades!$A$28,D28) * SUMIF(C28,Habilidades!$A$28,Habilidades!$B$28), if(C28="Curandeiro 2", SUMIF(C28,Habilidades!$A$29,D28) * SUMIF(C28,Habilidades!$A$29,Habilidades!$B$29), if(C28="Curandeiro 3", SUMIF(C28,Habilidades!$A$30,D28) * SUMIF(C28,Habilidades!$A$30,Habilidades!$B$30), if(C28="Sortudo 1", SUMIF(C28,Habilidades!$A$31,D28) * SUMIF(C28,Habilidades!$A$31,Habilidades!$B$31), if(C28="Sortudo 2", SUMIF(C28,Habilidades!$A$32,D28) * SUMIF(C28,Habilidades!$A$32,Habilidades!$B$32), if(C28="Sortudo 3", SUMIF(C28,Habilidades!$A$33,D28) * SUMIF(C28,Habilidades!$A$33,Habilidades!$B$33), if(C28="Protetor 1", SUMIF(C28,Habilidades!$A$34,D28) * SUMIF(C28,Habilidades!$A$34,Habilidades!$B$34), if(C28="Protetor 2", SUMIF(C28,Habilidades!$A$35,D28) * SUMIF(C28,Habilidades!$A$35,Habilidades!$B$35), if(C28="Protetor 3", SUMIF(C28,Habilidades!$A$36,D28) * SUMIF(C28,Habilidades!$A$36,Habilidades!$B$36), if(C28="Engenhoso 1", SUMIF(C28,Habilidades!$A$40,D28) * SUMIF(C28,Habilidades!$A$40,Habilidades!$B$40), if(C28="Engenhoso 2", SUMIF(C28,Habilidades!$A$41,D28) * SUMIF(C28,Habilidades!$A$41,Habilidades!$B$41), if(C28="Engenhoso 3", SUMIF(C28,Habilidades!$A$42,D28) * SUMIF(C28,Habilidades!$A$42,Habilidades!$B$42), if(C28="Reviver 1", SUMIF(C28,Habilidades!$A$43,D28) * SUMIF(C28,Habilidades!$A$43,Habilidades!$B$43), if(C28="Reviver 2", SUMIF(C28,Habilidades!$A$44,D28) * SUMIF(C28,Habilidades!$A$44,Habilidades!$B$44), if(C28="Reviver 3", SUMIF(C28,Habilidades!$A$45,D28) * SUMIF(C28,Habilidades!$A$45,Habilidades!$B$45), if(C28="Catador 1", SUMIF(C28,Habilidades!$A$46,D28) * SUMIF(C28,Habilidades!$A$46,Habilidades!$B$46), if(C28="Catador 2", SUMIF(C28,Habilidades!$A$47,D28) * SUMIF(C28,Habilidades!$A$47,Habilidades!$B$47), if(C28="Catador 3", SUMIF(C28,Habilidades!$A$48,D28) * SUMIF(C28,Habilidades!$A$48,Habilidades!$B$48), if(C28="Fornecedor 1", SUMIF(C28,Habilidades!$A$49,D28) * SUMIF(C28,Habilidades!$A$49,Habilidades!$B$49), if(C28="Fornecedor 2", SUMIF(C28,Habilidades!$A$50,D28) * SUMIF(C28,Habilidades!$A$50,Habilidades!$B$50), if(C28="Fornecedor 3", SUMIF(C28,Habilidades!$A$51,D28) * SUMIF(C28,Habilidades!$A$51,Habilidades!$B$51), if(C28="Suporte 1", SUMIF(C28,Habilidades!$A$52,D28) * SUMIF(C28,Habilidades!$A$52,Habilidades!$B$52), if(C28="Suporte 2", SUMIF(C28,Habilidades!$A$53,D28) * SUMIF(C28,Habilidades!$A$53,Habilidades!$B$53), if(C28="Suporte 3", SUMIF(C28,Habilidades!$A$54,D28) * SUMIF(C28,Habilidades!$A$54,Habilidades!$B$54), if(C28="Caça-tesouros 1", SUMIF(C28,Habilidades!$A$55,D28) * SUMIF(C28,Habilidades!$A$55,Habilidades!$B$55), if(C28="Caça-tesouros 2", SUMIF(C28,Habilidades!$A$56,D28) * SUMIF(C28,Habilidades!$A$56,Habilidades!$B$56), if(C28="Caça-tesouros 3", SUMIF(C28,Habilidades!$A$57,D28) * SUMIF(C28,Habilidades!$A$57,Habilidades!$B$57), if(C28="Velocista 1", SUMIF(C28,Habilidades!$A$77,D28) * SUMIF(C28,Habilidades!$A$77,Habilidades!$B$77), if(C28="Velocista 2", SUMIF(C28,Habilidades!$A$78,D28) * SUMIF(C28,Habilidades!$A$78,Habilidades!$B$78), if(C28="Velocista 3", SUMIF(C28,Habilidades!$A$79,D28) * SUMIF(C28,Habilidades!$A$79,Habilidades!$B$79), "-"))))))))))))))))))))))))))))))))))))))</f>
        <v>-</v>
      </c>
      <c r="F28" s="110"/>
      <c r="G28" s="137"/>
      <c r="H28" s="137"/>
      <c r="I28" s="137"/>
      <c r="J28" s="137"/>
      <c r="K28" s="137"/>
      <c r="L28" s="137"/>
      <c r="M28" s="110"/>
      <c r="N28" s="110"/>
    </row>
    <row r="29">
      <c r="A29" s="111"/>
      <c r="B29" s="110"/>
      <c r="C29" s="133" t="str">
        <f>IFERROR(__xludf.DUMMYFUNCTION("""COMPUTED_VALUE"""),"Energético 3")</f>
        <v>Energético 3</v>
      </c>
      <c r="D29" s="129">
        <f t="shared" si="2"/>
        <v>4</v>
      </c>
      <c r="E29" s="130" t="str">
        <f>if(C29="Detectar Segredo", SUMIF(C29,Habilidades!$A$11,D29) * SUMIF(C29,Habilidades!$A$11,Habilidades!$B$11), if(C29="Encontrar mágica", SUMIF(C29,Habilidades!$A$12,D29) * SUMIF(C29,Habilidades!$A$12,Habilidades!$B$12), if(C29="Cuidadoso 1", SUMIF(C29,Habilidades!$A$22,D29) * SUMIF(C29,Habilidades!$A$22,Habilidades!$B$22), if(C29="Cuidadoso 2", SUMIF(C29,Habilidades!$A$23,D43) * SUMIF(C29,Habilidades!$A$23,Habilidades!$B$23), if(C29="Cuidadoso 3", SUMIF(C29,Habilidades!$A$24,D29) * SUMIF(C29,Habilidades!$A$24,Habilidades!$B$24), if(C29="Ganancioso 1", SUMIF(C29,Habilidades!$A$25,D29) * SUMIF(C29,Habilidades!$A$25,Habilidades!$B$25), if(C29="Ganancioso 2", SUMIF(C29,Habilidades!$A$26,D29) * SUMIF(C29,Habilidades!$A$26,Habilidades!$B$26), if(C29="Ganancioso 3", SUMIF(C29,Habilidades!$A$27,D29) * SUMIF(C29,Habilidades!$A$27,Habilidades!$B$27), if(C29="Curandeiro 1", SUMIF(C29,Habilidades!$A$28,D29) * SUMIF(C29,Habilidades!$A$28,Habilidades!$B$28), if(C29="Curandeiro 2", SUMIF(C29,Habilidades!$A$29,D29) * SUMIF(C29,Habilidades!$A$29,Habilidades!$B$29), if(C29="Curandeiro 3", SUMIF(C29,Habilidades!$A$30,D29) * SUMIF(C29,Habilidades!$A$30,Habilidades!$B$30), if(C29="Sortudo 1", SUMIF(C29,Habilidades!$A$31,D29) * SUMIF(C29,Habilidades!$A$31,Habilidades!$B$31), if(C29="Sortudo 2", SUMIF(C29,Habilidades!$A$32,D29) * SUMIF(C29,Habilidades!$A$32,Habilidades!$B$32), if(C29="Sortudo 3", SUMIF(C29,Habilidades!$A$33,D29) * SUMIF(C29,Habilidades!$A$33,Habilidades!$B$33), if(C29="Protetor 1", SUMIF(C29,Habilidades!$A$34,D29) * SUMIF(C29,Habilidades!$A$34,Habilidades!$B$34), if(C29="Protetor 2", SUMIF(C29,Habilidades!$A$35,D29) * SUMIF(C29,Habilidades!$A$35,Habilidades!$B$35), if(C29="Protetor 3", SUMIF(C29,Habilidades!$A$36,D29) * SUMIF(C29,Habilidades!$A$36,Habilidades!$B$36), if(C29="Engenhoso 1", SUMIF(C29,Habilidades!$A$40,D29) * SUMIF(C29,Habilidades!$A$40,Habilidades!$B$40), if(C29="Engenhoso 2", SUMIF(C29,Habilidades!$A$41,D29) * SUMIF(C29,Habilidades!$A$41,Habilidades!$B$41), if(C29="Engenhoso 3", SUMIF(C29,Habilidades!$A$42,D29) * SUMIF(C29,Habilidades!$A$42,Habilidades!$B$42), if(C29="Reviver 1", SUMIF(C29,Habilidades!$A$43,D29) * SUMIF(C29,Habilidades!$A$43,Habilidades!$B$43), if(C29="Reviver 2", SUMIF(C29,Habilidades!$A$44,D29) * SUMIF(C29,Habilidades!$A$44,Habilidades!$B$44), if(C29="Reviver 3", SUMIF(C29,Habilidades!$A$45,D29) * SUMIF(C29,Habilidades!$A$45,Habilidades!$B$45), if(C29="Catador 1", SUMIF(C29,Habilidades!$A$46,D29) * SUMIF(C29,Habilidades!$A$46,Habilidades!$B$46), if(C29="Catador 2", SUMIF(C29,Habilidades!$A$47,D29) * SUMIF(C29,Habilidades!$A$47,Habilidades!$B$47), if(C29="Catador 3", SUMIF(C29,Habilidades!$A$48,D29) * SUMIF(C29,Habilidades!$A$48,Habilidades!$B$48), if(C29="Fornecedor 1", SUMIF(C29,Habilidades!$A$49,D29) * SUMIF(C29,Habilidades!$A$49,Habilidades!$B$49), if(C29="Fornecedor 2", SUMIF(C29,Habilidades!$A$50,D29) * SUMIF(C29,Habilidades!$A$50,Habilidades!$B$50), if(C29="Fornecedor 3", SUMIF(C29,Habilidades!$A$51,D29) * SUMIF(C29,Habilidades!$A$51,Habilidades!$B$51), if(C29="Suporte 1", SUMIF(C29,Habilidades!$A$52,D29) * SUMIF(C29,Habilidades!$A$52,Habilidades!$B$52), if(C29="Suporte 2", SUMIF(C29,Habilidades!$A$53,D29) * SUMIF(C29,Habilidades!$A$53,Habilidades!$B$53), if(C29="Suporte 3", SUMIF(C29,Habilidades!$A$54,D29) * SUMIF(C29,Habilidades!$A$54,Habilidades!$B$54), if(C29="Caça-tesouros 1", SUMIF(C29,Habilidades!$A$55,D29) * SUMIF(C29,Habilidades!$A$55,Habilidades!$B$55), if(C29="Caça-tesouros 2", SUMIF(C29,Habilidades!$A$56,D29) * SUMIF(C29,Habilidades!$A$56,Habilidades!$B$56), if(C29="Caça-tesouros 3", SUMIF(C29,Habilidades!$A$57,D29) * SUMIF(C29,Habilidades!$A$57,Habilidades!$B$57), if(C29="Velocista 1", SUMIF(C29,Habilidades!$A$77,D29) * SUMIF(C29,Habilidades!$A$77,Habilidades!$B$77), if(C29="Velocista 2", SUMIF(C29,Habilidades!$A$78,D29) * SUMIF(C29,Habilidades!$A$78,Habilidades!$B$78), if(C29="Velocista 3", SUMIF(C29,Habilidades!$A$79,D29) * SUMIF(C29,Habilidades!$A$79,Habilidades!$B$79), "-"))))))))))))))))))))))))))))))))))))))</f>
        <v>-</v>
      </c>
      <c r="F29" s="110"/>
      <c r="G29" s="141"/>
      <c r="H29" s="141"/>
      <c r="I29" s="141"/>
      <c r="J29" s="141"/>
      <c r="K29" s="139"/>
      <c r="L29" s="139"/>
      <c r="M29" s="47"/>
      <c r="N29" s="47"/>
    </row>
    <row r="30">
      <c r="A30" s="111"/>
      <c r="B30" s="110"/>
      <c r="C30" s="133" t="str">
        <f>IFERROR(__xludf.DUMMYFUNCTION("""COMPUTED_VALUE"""),"Engenhoso 1")</f>
        <v>Engenhoso 1</v>
      </c>
      <c r="D30" s="129">
        <f t="shared" si="2"/>
        <v>1</v>
      </c>
      <c r="E30" s="130">
        <f>if(C30="Detectar Segredo", SUMIF(C30,Habilidades!$A$11,D30) * SUMIF(C30,Habilidades!$A$11,Habilidades!$B$11), if(C30="Encontrar mágica", SUMIF(C30,Habilidades!$A$12,D30) * SUMIF(C30,Habilidades!$A$12,Habilidades!$B$12), if(C30="Cuidadoso 1", SUMIF(C30,Habilidades!$A$22,D30) * SUMIF(C30,Habilidades!$A$22,Habilidades!$B$22), if(C30="Cuidadoso 2", SUMIF(C30,Habilidades!$A$23,D44) * SUMIF(C30,Habilidades!$A$23,Habilidades!$B$23), if(C30="Cuidadoso 3", SUMIF(C30,Habilidades!$A$24,D30) * SUMIF(C30,Habilidades!$A$24,Habilidades!$B$24), if(C30="Ganancioso 1", SUMIF(C30,Habilidades!$A$25,D30) * SUMIF(C30,Habilidades!$A$25,Habilidades!$B$25), if(C30="Ganancioso 2", SUMIF(C30,Habilidades!$A$26,D30) * SUMIF(C30,Habilidades!$A$26,Habilidades!$B$26), if(C30="Ganancioso 3", SUMIF(C30,Habilidades!$A$27,D30) * SUMIF(C30,Habilidades!$A$27,Habilidades!$B$27), if(C30="Curandeiro 1", SUMIF(C30,Habilidades!$A$28,D30) * SUMIF(C30,Habilidades!$A$28,Habilidades!$B$28), if(C30="Curandeiro 2", SUMIF(C30,Habilidades!$A$29,D30) * SUMIF(C30,Habilidades!$A$29,Habilidades!$B$29), if(C30="Curandeiro 3", SUMIF(C30,Habilidades!$A$30,D30) * SUMIF(C30,Habilidades!$A$30,Habilidades!$B$30), if(C30="Sortudo 1", SUMIF(C30,Habilidades!$A$31,D30) * SUMIF(C30,Habilidades!$A$31,Habilidades!$B$31), if(C30="Sortudo 2", SUMIF(C30,Habilidades!$A$32,D30) * SUMIF(C30,Habilidades!$A$32,Habilidades!$B$32), if(C30="Sortudo 3", SUMIF(C30,Habilidades!$A$33,D30) * SUMIF(C30,Habilidades!$A$33,Habilidades!$B$33), if(C30="Protetor 1", SUMIF(C30,Habilidades!$A$34,D30) * SUMIF(C30,Habilidades!$A$34,Habilidades!$B$34), if(C30="Protetor 2", SUMIF(C30,Habilidades!$A$35,D30) * SUMIF(C30,Habilidades!$A$35,Habilidades!$B$35), if(C30="Protetor 3", SUMIF(C30,Habilidades!$A$36,D30) * SUMIF(C30,Habilidades!$A$36,Habilidades!$B$36), if(C30="Engenhoso 1", SUMIF(C30,Habilidades!$A$40,D30) * SUMIF(C30,Habilidades!$A$40,Habilidades!$B$40), if(C30="Engenhoso 2", SUMIF(C30,Habilidades!$A$41,D30) * SUMIF(C30,Habilidades!$A$41,Habilidades!$B$41), if(C30="Engenhoso 3", SUMIF(C30,Habilidades!$A$42,D30) * SUMIF(C30,Habilidades!$A$42,Habilidades!$B$42), if(C30="Reviver 1", SUMIF(C30,Habilidades!$A$43,D30) * SUMIF(C30,Habilidades!$A$43,Habilidades!$B$43), if(C30="Reviver 2", SUMIF(C30,Habilidades!$A$44,D30) * SUMIF(C30,Habilidades!$A$44,Habilidades!$B$44), if(C30="Reviver 3", SUMIF(C30,Habilidades!$A$45,D30) * SUMIF(C30,Habilidades!$A$45,Habilidades!$B$45), if(C30="Catador 1", SUMIF(C30,Habilidades!$A$46,D30) * SUMIF(C30,Habilidades!$A$46,Habilidades!$B$46), if(C30="Catador 2", SUMIF(C30,Habilidades!$A$47,D30) * SUMIF(C30,Habilidades!$A$47,Habilidades!$B$47), if(C30="Catador 3", SUMIF(C30,Habilidades!$A$48,D30) * SUMIF(C30,Habilidades!$A$48,Habilidades!$B$48), if(C30="Fornecedor 1", SUMIF(C30,Habilidades!$A$49,D30) * SUMIF(C30,Habilidades!$A$49,Habilidades!$B$49), if(C30="Fornecedor 2", SUMIF(C30,Habilidades!$A$50,D30) * SUMIF(C30,Habilidades!$A$50,Habilidades!$B$50), if(C30="Fornecedor 3", SUMIF(C30,Habilidades!$A$51,D30) * SUMIF(C30,Habilidades!$A$51,Habilidades!$B$51), if(C30="Suporte 1", SUMIF(C30,Habilidades!$A$52,D30) * SUMIF(C30,Habilidades!$A$52,Habilidades!$B$52), if(C30="Suporte 2", SUMIF(C30,Habilidades!$A$53,D30) * SUMIF(C30,Habilidades!$A$53,Habilidades!$B$53), if(C30="Suporte 3", SUMIF(C30,Habilidades!$A$54,D30) * SUMIF(C30,Habilidades!$A$54,Habilidades!$B$54), if(C30="Caça-tesouros 1", SUMIF(C30,Habilidades!$A$55,D30) * SUMIF(C30,Habilidades!$A$55,Habilidades!$B$55), if(C30="Caça-tesouros 2", SUMIF(C30,Habilidades!$A$56,D30) * SUMIF(C30,Habilidades!$A$56,Habilidades!$B$56), if(C30="Caça-tesouros 3", SUMIF(C30,Habilidades!$A$57,D30) * SUMIF(C30,Habilidades!$A$57,Habilidades!$B$57), if(C30="Velocista 1", SUMIF(C30,Habilidades!$A$77,D30) * SUMIF(C30,Habilidades!$A$77,Habilidades!$B$77), if(C30="Velocista 2", SUMIF(C30,Habilidades!$A$78,D30) * SUMIF(C30,Habilidades!$A$78,Habilidades!$B$78), if(C30="Velocista 3", SUMIF(C30,Habilidades!$A$79,D30) * SUMIF(C30,Habilidades!$A$79,Habilidades!$B$79), "-"))))))))))))))))))))))))))))))))))))))</f>
        <v>1</v>
      </c>
      <c r="F30" s="110"/>
      <c r="G30" s="137"/>
      <c r="H30" s="137"/>
      <c r="I30" s="137"/>
      <c r="J30" s="137"/>
      <c r="K30" s="139"/>
      <c r="L30" s="139"/>
      <c r="M30" s="47"/>
      <c r="N30" s="47"/>
    </row>
    <row r="31">
      <c r="A31" s="111"/>
      <c r="B31" s="110"/>
      <c r="C31" s="133" t="str">
        <f>IFERROR(__xludf.DUMMYFUNCTION("""COMPUTED_VALUE"""),"Engenhoso 3")</f>
        <v>Engenhoso 3</v>
      </c>
      <c r="D31" s="129">
        <f t="shared" si="2"/>
        <v>1</v>
      </c>
      <c r="E31" s="130">
        <f>if(C31="Detectar Segredo", SUMIF(C31,Habilidades!$A$11,D31) * SUMIF(C31,Habilidades!$A$11,Habilidades!$B$11), if(C31="Encontrar mágica", SUMIF(C31,Habilidades!$A$12,D31) * SUMIF(C31,Habilidades!$A$12,Habilidades!$B$12), if(C31="Cuidadoso 1", SUMIF(C31,Habilidades!$A$22,D31) * SUMIF(C31,Habilidades!$A$22,Habilidades!$B$22), if(C31="Cuidadoso 2", SUMIF(C31,Habilidades!$A$23,D45) * SUMIF(C31,Habilidades!$A$23,Habilidades!$B$23), if(C31="Cuidadoso 3", SUMIF(C31,Habilidades!$A$24,D31) * SUMIF(C31,Habilidades!$A$24,Habilidades!$B$24), if(C31="Ganancioso 1", SUMIF(C31,Habilidades!$A$25,D31) * SUMIF(C31,Habilidades!$A$25,Habilidades!$B$25), if(C31="Ganancioso 2", SUMIF(C31,Habilidades!$A$26,D31) * SUMIF(C31,Habilidades!$A$26,Habilidades!$B$26), if(C31="Ganancioso 3", SUMIF(C31,Habilidades!$A$27,D31) * SUMIF(C31,Habilidades!$A$27,Habilidades!$B$27), if(C31="Curandeiro 1", SUMIF(C31,Habilidades!$A$28,D31) * SUMIF(C31,Habilidades!$A$28,Habilidades!$B$28), if(C31="Curandeiro 2", SUMIF(C31,Habilidades!$A$29,D31) * SUMIF(C31,Habilidades!$A$29,Habilidades!$B$29), if(C31="Curandeiro 3", SUMIF(C31,Habilidades!$A$30,D31) * SUMIF(C31,Habilidades!$A$30,Habilidades!$B$30), if(C31="Sortudo 1", SUMIF(C31,Habilidades!$A$31,D31) * SUMIF(C31,Habilidades!$A$31,Habilidades!$B$31), if(C31="Sortudo 2", SUMIF(C31,Habilidades!$A$32,D31) * SUMIF(C31,Habilidades!$A$32,Habilidades!$B$32), if(C31="Sortudo 3", SUMIF(C31,Habilidades!$A$33,D31) * SUMIF(C31,Habilidades!$A$33,Habilidades!$B$33), if(C31="Protetor 1", SUMIF(C31,Habilidades!$A$34,D31) * SUMIF(C31,Habilidades!$A$34,Habilidades!$B$34), if(C31="Protetor 2", SUMIF(C31,Habilidades!$A$35,D31) * SUMIF(C31,Habilidades!$A$35,Habilidades!$B$35), if(C31="Protetor 3", SUMIF(C31,Habilidades!$A$36,D31) * SUMIF(C31,Habilidades!$A$36,Habilidades!$B$36), if(C31="Engenhoso 1", SUMIF(C31,Habilidades!$A$40,D31) * SUMIF(C31,Habilidades!$A$40,Habilidades!$B$40), if(C31="Engenhoso 2", SUMIF(C31,Habilidades!$A$41,D31) * SUMIF(C31,Habilidades!$A$41,Habilidades!$B$41), if(C31="Engenhoso 3", SUMIF(C31,Habilidades!$A$42,D31) * SUMIF(C31,Habilidades!$A$42,Habilidades!$B$42), if(C31="Reviver 1", SUMIF(C31,Habilidades!$A$43,D31) * SUMIF(C31,Habilidades!$A$43,Habilidades!$B$43), if(C31="Reviver 2", SUMIF(C31,Habilidades!$A$44,D31) * SUMIF(C31,Habilidades!$A$44,Habilidades!$B$44), if(C31="Reviver 3", SUMIF(C31,Habilidades!$A$45,D31) * SUMIF(C31,Habilidades!$A$45,Habilidades!$B$45), if(C31="Catador 1", SUMIF(C31,Habilidades!$A$46,D31) * SUMIF(C31,Habilidades!$A$46,Habilidades!$B$46), if(C31="Catador 2", SUMIF(C31,Habilidades!$A$47,D31) * SUMIF(C31,Habilidades!$A$47,Habilidades!$B$47), if(C31="Catador 3", SUMIF(C31,Habilidades!$A$48,D31) * SUMIF(C31,Habilidades!$A$48,Habilidades!$B$48), if(C31="Fornecedor 1", SUMIF(C31,Habilidades!$A$49,D31) * SUMIF(C31,Habilidades!$A$49,Habilidades!$B$49), if(C31="Fornecedor 2", SUMIF(C31,Habilidades!$A$50,D31) * SUMIF(C31,Habilidades!$A$50,Habilidades!$B$50), if(C31="Fornecedor 3", SUMIF(C31,Habilidades!$A$51,D31) * SUMIF(C31,Habilidades!$A$51,Habilidades!$B$51), if(C31="Suporte 1", SUMIF(C31,Habilidades!$A$52,D31) * SUMIF(C31,Habilidades!$A$52,Habilidades!$B$52), if(C31="Suporte 2", SUMIF(C31,Habilidades!$A$53,D31) * SUMIF(C31,Habilidades!$A$53,Habilidades!$B$53), if(C31="Suporte 3", SUMIF(C31,Habilidades!$A$54,D31) * SUMIF(C31,Habilidades!$A$54,Habilidades!$B$54), if(C31="Caça-tesouros 1", SUMIF(C31,Habilidades!$A$55,D31) * SUMIF(C31,Habilidades!$A$55,Habilidades!$B$55), if(C31="Caça-tesouros 2", SUMIF(C31,Habilidades!$A$56,D31) * SUMIF(C31,Habilidades!$A$56,Habilidades!$B$56), if(C31="Caça-tesouros 3", SUMIF(C31,Habilidades!$A$57,D31) * SUMIF(C31,Habilidades!$A$57,Habilidades!$B$57), if(C31="Velocista 1", SUMIF(C31,Habilidades!$A$77,D31) * SUMIF(C31,Habilidades!$A$77,Habilidades!$B$77), if(C31="Velocista 2", SUMIF(C31,Habilidades!$A$78,D31) * SUMIF(C31,Habilidades!$A$78,Habilidades!$B$78), if(C31="Velocista 3", SUMIF(C31,Habilidades!$A$79,D31) * SUMIF(C31,Habilidades!$A$79,Habilidades!$B$79), "-"))))))))))))))))))))))))))))))))))))))</f>
        <v>3</v>
      </c>
      <c r="F31" s="110"/>
      <c r="G31" s="137"/>
      <c r="H31" s="137"/>
      <c r="I31" s="137"/>
      <c r="J31" s="137"/>
      <c r="K31" s="139"/>
      <c r="L31" s="139"/>
      <c r="M31" s="47"/>
      <c r="N31" s="47"/>
    </row>
    <row r="32">
      <c r="A32" s="111"/>
      <c r="B32" s="110"/>
      <c r="C32" s="133" t="str">
        <f>IFERROR(__xludf.DUMMYFUNCTION("""COMPUTED_VALUE"""),"Fornecedor 1")</f>
        <v>Fornecedor 1</v>
      </c>
      <c r="D32" s="129">
        <f t="shared" si="2"/>
        <v>1</v>
      </c>
      <c r="E32" s="130">
        <f>if(C32="Detectar Segredo", SUMIF(C32,Habilidades!$A$11,D32) * SUMIF(C32,Habilidades!$A$11,Habilidades!$B$11), if(C32="Encontrar mágica", SUMIF(C32,Habilidades!$A$12,D32) * SUMIF(C32,Habilidades!$A$12,Habilidades!$B$12), if(C32="Cuidadoso 1", SUMIF(C32,Habilidades!$A$22,D32) * SUMIF(C32,Habilidades!$A$22,Habilidades!$B$22), if(C32="Cuidadoso 2", SUMIF(C32,Habilidades!$A$23,D46) * SUMIF(C32,Habilidades!$A$23,Habilidades!$B$23), if(C32="Cuidadoso 3", SUMIF(C32,Habilidades!$A$24,D32) * SUMIF(C32,Habilidades!$A$24,Habilidades!$B$24), if(C32="Ganancioso 1", SUMIF(C32,Habilidades!$A$25,D32) * SUMIF(C32,Habilidades!$A$25,Habilidades!$B$25), if(C32="Ganancioso 2", SUMIF(C32,Habilidades!$A$26,D32) * SUMIF(C32,Habilidades!$A$26,Habilidades!$B$26), if(C32="Ganancioso 3", SUMIF(C32,Habilidades!$A$27,D32) * SUMIF(C32,Habilidades!$A$27,Habilidades!$B$27), if(C32="Curandeiro 1", SUMIF(C32,Habilidades!$A$28,D32) * SUMIF(C32,Habilidades!$A$28,Habilidades!$B$28), if(C32="Curandeiro 2", SUMIF(C32,Habilidades!$A$29,D32) * SUMIF(C32,Habilidades!$A$29,Habilidades!$B$29), if(C32="Curandeiro 3", SUMIF(C32,Habilidades!$A$30,D32) * SUMIF(C32,Habilidades!$A$30,Habilidades!$B$30), if(C32="Sortudo 1", SUMIF(C32,Habilidades!$A$31,D32) * SUMIF(C32,Habilidades!$A$31,Habilidades!$B$31), if(C32="Sortudo 2", SUMIF(C32,Habilidades!$A$32,D32) * SUMIF(C32,Habilidades!$A$32,Habilidades!$B$32), if(C32="Sortudo 3", SUMIF(C32,Habilidades!$A$33,D32) * SUMIF(C32,Habilidades!$A$33,Habilidades!$B$33), if(C32="Protetor 1", SUMIF(C32,Habilidades!$A$34,D32) * SUMIF(C32,Habilidades!$A$34,Habilidades!$B$34), if(C32="Protetor 2", SUMIF(C32,Habilidades!$A$35,D32) * SUMIF(C32,Habilidades!$A$35,Habilidades!$B$35), if(C32="Protetor 3", SUMIF(C32,Habilidades!$A$36,D32) * SUMIF(C32,Habilidades!$A$36,Habilidades!$B$36), if(C32="Engenhoso 1", SUMIF(C32,Habilidades!$A$40,D32) * SUMIF(C32,Habilidades!$A$40,Habilidades!$B$40), if(C32="Engenhoso 2", SUMIF(C32,Habilidades!$A$41,D32) * SUMIF(C32,Habilidades!$A$41,Habilidades!$B$41), if(C32="Engenhoso 3", SUMIF(C32,Habilidades!$A$42,D32) * SUMIF(C32,Habilidades!$A$42,Habilidades!$B$42), if(C32="Reviver 1", SUMIF(C32,Habilidades!$A$43,D32) * SUMIF(C32,Habilidades!$A$43,Habilidades!$B$43), if(C32="Reviver 2", SUMIF(C32,Habilidades!$A$44,D32) * SUMIF(C32,Habilidades!$A$44,Habilidades!$B$44), if(C32="Reviver 3", SUMIF(C32,Habilidades!$A$45,D32) * SUMIF(C32,Habilidades!$A$45,Habilidades!$B$45), if(C32="Catador 1", SUMIF(C32,Habilidades!$A$46,D32) * SUMIF(C32,Habilidades!$A$46,Habilidades!$B$46), if(C32="Catador 2", SUMIF(C32,Habilidades!$A$47,D32) * SUMIF(C32,Habilidades!$A$47,Habilidades!$B$47), if(C32="Catador 3", SUMIF(C32,Habilidades!$A$48,D32) * SUMIF(C32,Habilidades!$A$48,Habilidades!$B$48), if(C32="Fornecedor 1", SUMIF(C32,Habilidades!$A$49,D32) * SUMIF(C32,Habilidades!$A$49,Habilidades!$B$49), if(C32="Fornecedor 2", SUMIF(C32,Habilidades!$A$50,D32) * SUMIF(C32,Habilidades!$A$50,Habilidades!$B$50), if(C32="Fornecedor 3", SUMIF(C32,Habilidades!$A$51,D32) * SUMIF(C32,Habilidades!$A$51,Habilidades!$B$51), if(C32="Suporte 1", SUMIF(C32,Habilidades!$A$52,D32) * SUMIF(C32,Habilidades!$A$52,Habilidades!$B$52), if(C32="Suporte 2", SUMIF(C32,Habilidades!$A$53,D32) * SUMIF(C32,Habilidades!$A$53,Habilidades!$B$53), if(C32="Suporte 3", SUMIF(C32,Habilidades!$A$54,D32) * SUMIF(C32,Habilidades!$A$54,Habilidades!$B$54), if(C32="Caça-tesouros 1", SUMIF(C32,Habilidades!$A$55,D32) * SUMIF(C32,Habilidades!$A$55,Habilidades!$B$55), if(C32="Caça-tesouros 2", SUMIF(C32,Habilidades!$A$56,D32) * SUMIF(C32,Habilidades!$A$56,Habilidades!$B$56), if(C32="Caça-tesouros 3", SUMIF(C32,Habilidades!$A$57,D32) * SUMIF(C32,Habilidades!$A$57,Habilidades!$B$57), if(C32="Velocista 1", SUMIF(C32,Habilidades!$A$77,D32) * SUMIF(C32,Habilidades!$A$77,Habilidades!$B$77), if(C32="Velocista 2", SUMIF(C32,Habilidades!$A$78,D32) * SUMIF(C32,Habilidades!$A$78,Habilidades!$B$78), if(C32="Velocista 3", SUMIF(C32,Habilidades!$A$79,D32) * SUMIF(C32,Habilidades!$A$79,Habilidades!$B$79), "-"))))))))))))))))))))))))))))))))))))))</f>
        <v>5</v>
      </c>
      <c r="F32" s="110"/>
      <c r="G32" s="137"/>
      <c r="H32" s="137"/>
      <c r="I32" s="137"/>
      <c r="J32" s="137"/>
      <c r="K32" s="139"/>
      <c r="L32" s="139"/>
      <c r="M32" s="47"/>
      <c r="N32" s="47"/>
    </row>
    <row r="33">
      <c r="A33" s="111"/>
      <c r="B33" s="110"/>
      <c r="C33" s="142" t="str">
        <f>IFERROR(__xludf.DUMMYFUNCTION("""COMPUTED_VALUE"""),"Fornecedor 2")</f>
        <v>Fornecedor 2</v>
      </c>
      <c r="D33" s="129">
        <f t="shared" si="2"/>
        <v>1</v>
      </c>
      <c r="E33" s="130">
        <f>if(C33="Detectar Segredo", SUMIF(C33,Habilidades!$A$11,D33) * SUMIF(C33,Habilidades!$A$11,Habilidades!$B$11), if(C33="Encontrar mágica", SUMIF(C33,Habilidades!$A$12,D33) * SUMIF(C33,Habilidades!$A$12,Habilidades!$B$12), if(C33="Cuidadoso 1", SUMIF(C33,Habilidades!$A$22,D33) * SUMIF(C33,Habilidades!$A$22,Habilidades!$B$22), if(C33="Cuidadoso 2", SUMIF(C33,Habilidades!$A$23,D47) * SUMIF(C33,Habilidades!$A$23,Habilidades!$B$23), if(C33="Cuidadoso 3", SUMIF(C33,Habilidades!$A$24,D33) * SUMIF(C33,Habilidades!$A$24,Habilidades!$B$24), if(C33="Ganancioso 1", SUMIF(C33,Habilidades!$A$25,D33) * SUMIF(C33,Habilidades!$A$25,Habilidades!$B$25), if(C33="Ganancioso 2", SUMIF(C33,Habilidades!$A$26,D33) * SUMIF(C33,Habilidades!$A$26,Habilidades!$B$26), if(C33="Ganancioso 3", SUMIF(C33,Habilidades!$A$27,D33) * SUMIF(C33,Habilidades!$A$27,Habilidades!$B$27), if(C33="Curandeiro 1", SUMIF(C33,Habilidades!$A$28,D33) * SUMIF(C33,Habilidades!$A$28,Habilidades!$B$28), if(C33="Curandeiro 2", SUMIF(C33,Habilidades!$A$29,D33) * SUMIF(C33,Habilidades!$A$29,Habilidades!$B$29), if(C33="Curandeiro 3", SUMIF(C33,Habilidades!$A$30,D33) * SUMIF(C33,Habilidades!$A$30,Habilidades!$B$30), if(C33="Sortudo 1", SUMIF(C33,Habilidades!$A$31,D33) * SUMIF(C33,Habilidades!$A$31,Habilidades!$B$31), if(C33="Sortudo 2", SUMIF(C33,Habilidades!$A$32,D33) * SUMIF(C33,Habilidades!$A$32,Habilidades!$B$32), if(C33="Sortudo 3", SUMIF(C33,Habilidades!$A$33,D33) * SUMIF(C33,Habilidades!$A$33,Habilidades!$B$33), if(C33="Protetor 1", SUMIF(C33,Habilidades!$A$34,D33) * SUMIF(C33,Habilidades!$A$34,Habilidades!$B$34), if(C33="Protetor 2", SUMIF(C33,Habilidades!$A$35,D33) * SUMIF(C33,Habilidades!$A$35,Habilidades!$B$35), if(C33="Protetor 3", SUMIF(C33,Habilidades!$A$36,D33) * SUMIF(C33,Habilidades!$A$36,Habilidades!$B$36), if(C33="Engenhoso 1", SUMIF(C33,Habilidades!$A$40,D33) * SUMIF(C33,Habilidades!$A$40,Habilidades!$B$40), if(C33="Engenhoso 2", SUMIF(C33,Habilidades!$A$41,D33) * SUMIF(C33,Habilidades!$A$41,Habilidades!$B$41), if(C33="Engenhoso 3", SUMIF(C33,Habilidades!$A$42,D33) * SUMIF(C33,Habilidades!$A$42,Habilidades!$B$42), if(C33="Reviver 1", SUMIF(C33,Habilidades!$A$43,D33) * SUMIF(C33,Habilidades!$A$43,Habilidades!$B$43), if(C33="Reviver 2", SUMIF(C33,Habilidades!$A$44,D33) * SUMIF(C33,Habilidades!$A$44,Habilidades!$B$44), if(C33="Reviver 3", SUMIF(C33,Habilidades!$A$45,D33) * SUMIF(C33,Habilidades!$A$45,Habilidades!$B$45), if(C33="Catador 1", SUMIF(C33,Habilidades!$A$46,D33) * SUMIF(C33,Habilidades!$A$46,Habilidades!$B$46), if(C33="Catador 2", SUMIF(C33,Habilidades!$A$47,D33) * SUMIF(C33,Habilidades!$A$47,Habilidades!$B$47), if(C33="Catador 3", SUMIF(C33,Habilidades!$A$48,D33) * SUMIF(C33,Habilidades!$A$48,Habilidades!$B$48), if(C33="Fornecedor 1", SUMIF(C33,Habilidades!$A$49,D33) * SUMIF(C33,Habilidades!$A$49,Habilidades!$B$49), if(C33="Fornecedor 2", SUMIF(C33,Habilidades!$A$50,D33) * SUMIF(C33,Habilidades!$A$50,Habilidades!$B$50), if(C33="Fornecedor 3", SUMIF(C33,Habilidades!$A$51,D33) * SUMIF(C33,Habilidades!$A$51,Habilidades!$B$51), if(C33="Suporte 1", SUMIF(C33,Habilidades!$A$52,D33) * SUMIF(C33,Habilidades!$A$52,Habilidades!$B$52), if(C33="Suporte 2", SUMIF(C33,Habilidades!$A$53,D33) * SUMIF(C33,Habilidades!$A$53,Habilidades!$B$53), if(C33="Suporte 3", SUMIF(C33,Habilidades!$A$54,D33) * SUMIF(C33,Habilidades!$A$54,Habilidades!$B$54), if(C33="Caça-tesouros 1", SUMIF(C33,Habilidades!$A$55,D33) * SUMIF(C33,Habilidades!$A$55,Habilidades!$B$55), if(C33="Caça-tesouros 2", SUMIF(C33,Habilidades!$A$56,D33) * SUMIF(C33,Habilidades!$A$56,Habilidades!$B$56), if(C33="Caça-tesouros 3", SUMIF(C33,Habilidades!$A$57,D33) * SUMIF(C33,Habilidades!$A$57,Habilidades!$B$57), if(C33="Velocista 1", SUMIF(C33,Habilidades!$A$77,D33) * SUMIF(C33,Habilidades!$A$77,Habilidades!$B$77), if(C33="Velocista 2", SUMIF(C33,Habilidades!$A$78,D33) * SUMIF(C33,Habilidades!$A$78,Habilidades!$B$78), if(C33="Velocista 3", SUMIF(C33,Habilidades!$A$79,D33) * SUMIF(C33,Habilidades!$A$79,Habilidades!$B$79), "-"))))))))))))))))))))))))))))))))))))))</f>
        <v>10</v>
      </c>
      <c r="F33" s="110"/>
      <c r="G33" s="137"/>
      <c r="H33" s="137"/>
      <c r="I33" s="137"/>
      <c r="J33" s="137"/>
      <c r="K33" s="139"/>
      <c r="L33" s="139"/>
      <c r="M33" s="47"/>
      <c r="N33" s="47"/>
    </row>
    <row r="34">
      <c r="A34" s="111"/>
      <c r="B34" s="110"/>
      <c r="C34" s="142" t="str">
        <f>IFERROR(__xludf.DUMMYFUNCTION("""COMPUTED_VALUE"""),"Gangster 1")</f>
        <v>Gangster 1</v>
      </c>
      <c r="D34" s="129">
        <f t="shared" si="2"/>
        <v>1</v>
      </c>
      <c r="E34" s="130" t="str">
        <f>if(C34="Detectar Segredo", SUMIF(C34,Habilidades!$A$11,D34) * SUMIF(C34,Habilidades!$A$11,Habilidades!$B$11), if(C34="Encontrar mágica", SUMIF(C34,Habilidades!$A$12,D34) * SUMIF(C34,Habilidades!$A$12,Habilidades!$B$12), if(C34="Cuidadoso 1", SUMIF(C34,Habilidades!$A$22,D34) * SUMIF(C34,Habilidades!$A$22,Habilidades!$B$22), if(C34="Cuidadoso 2", SUMIF(C34,Habilidades!$A$23,D48) * SUMIF(C34,Habilidades!$A$23,Habilidades!$B$23), if(C34="Cuidadoso 3", SUMIF(C34,Habilidades!$A$24,D34) * SUMIF(C34,Habilidades!$A$24,Habilidades!$B$24), if(C34="Ganancioso 1", SUMIF(C34,Habilidades!$A$25,D34) * SUMIF(C34,Habilidades!$A$25,Habilidades!$B$25), if(C34="Ganancioso 2", SUMIF(C34,Habilidades!$A$26,D34) * SUMIF(C34,Habilidades!$A$26,Habilidades!$B$26), if(C34="Ganancioso 3", SUMIF(C34,Habilidades!$A$27,D34) * SUMIF(C34,Habilidades!$A$27,Habilidades!$B$27), if(C34="Curandeiro 1", SUMIF(C34,Habilidades!$A$28,D34) * SUMIF(C34,Habilidades!$A$28,Habilidades!$B$28), if(C34="Curandeiro 2", SUMIF(C34,Habilidades!$A$29,D34) * SUMIF(C34,Habilidades!$A$29,Habilidades!$B$29), if(C34="Curandeiro 3", SUMIF(C34,Habilidades!$A$30,D34) * SUMIF(C34,Habilidades!$A$30,Habilidades!$B$30), if(C34="Sortudo 1", SUMIF(C34,Habilidades!$A$31,D34) * SUMIF(C34,Habilidades!$A$31,Habilidades!$B$31), if(C34="Sortudo 2", SUMIF(C34,Habilidades!$A$32,D34) * SUMIF(C34,Habilidades!$A$32,Habilidades!$B$32), if(C34="Sortudo 3", SUMIF(C34,Habilidades!$A$33,D34) * SUMIF(C34,Habilidades!$A$33,Habilidades!$B$33), if(C34="Protetor 1", SUMIF(C34,Habilidades!$A$34,D34) * SUMIF(C34,Habilidades!$A$34,Habilidades!$B$34), if(C34="Protetor 2", SUMIF(C34,Habilidades!$A$35,D34) * SUMIF(C34,Habilidades!$A$35,Habilidades!$B$35), if(C34="Protetor 3", SUMIF(C34,Habilidades!$A$36,D34) * SUMIF(C34,Habilidades!$A$36,Habilidades!$B$36), if(C34="Engenhoso 1", SUMIF(C34,Habilidades!$A$40,D34) * SUMIF(C34,Habilidades!$A$40,Habilidades!$B$40), if(C34="Engenhoso 2", SUMIF(C34,Habilidades!$A$41,D34) * SUMIF(C34,Habilidades!$A$41,Habilidades!$B$41), if(C34="Engenhoso 3", SUMIF(C34,Habilidades!$A$42,D34) * SUMIF(C34,Habilidades!$A$42,Habilidades!$B$42), if(C34="Reviver 1", SUMIF(C34,Habilidades!$A$43,D34) * SUMIF(C34,Habilidades!$A$43,Habilidades!$B$43), if(C34="Reviver 2", SUMIF(C34,Habilidades!$A$44,D34) * SUMIF(C34,Habilidades!$A$44,Habilidades!$B$44), if(C34="Reviver 3", SUMIF(C34,Habilidades!$A$45,D34) * SUMIF(C34,Habilidades!$A$45,Habilidades!$B$45), if(C34="Catador 1", SUMIF(C34,Habilidades!$A$46,D34) * SUMIF(C34,Habilidades!$A$46,Habilidades!$B$46), if(C34="Catador 2", SUMIF(C34,Habilidades!$A$47,D34) * SUMIF(C34,Habilidades!$A$47,Habilidades!$B$47), if(C34="Catador 3", SUMIF(C34,Habilidades!$A$48,D34) * SUMIF(C34,Habilidades!$A$48,Habilidades!$B$48), if(C34="Fornecedor 1", SUMIF(C34,Habilidades!$A$49,D34) * SUMIF(C34,Habilidades!$A$49,Habilidades!$B$49), if(C34="Fornecedor 2", SUMIF(C34,Habilidades!$A$50,D34) * SUMIF(C34,Habilidades!$A$50,Habilidades!$B$50), if(C34="Fornecedor 3", SUMIF(C34,Habilidades!$A$51,D34) * SUMIF(C34,Habilidades!$A$51,Habilidades!$B$51), if(C34="Suporte 1", SUMIF(C34,Habilidades!$A$52,D34) * SUMIF(C34,Habilidades!$A$52,Habilidades!$B$52), if(C34="Suporte 2", SUMIF(C34,Habilidades!$A$53,D34) * SUMIF(C34,Habilidades!$A$53,Habilidades!$B$53), if(C34="Suporte 3", SUMIF(C34,Habilidades!$A$54,D34) * SUMIF(C34,Habilidades!$A$54,Habilidades!$B$54), if(C34="Caça-tesouros 1", SUMIF(C34,Habilidades!$A$55,D34) * SUMIF(C34,Habilidades!$A$55,Habilidades!$B$55), if(C34="Caça-tesouros 2", SUMIF(C34,Habilidades!$A$56,D34) * SUMIF(C34,Habilidades!$A$56,Habilidades!$B$56), if(C34="Caça-tesouros 3", SUMIF(C34,Habilidades!$A$57,D34) * SUMIF(C34,Habilidades!$A$57,Habilidades!$B$57), if(C34="Velocista 1", SUMIF(C34,Habilidades!$A$77,D34) * SUMIF(C34,Habilidades!$A$77,Habilidades!$B$77), if(C34="Velocista 2", SUMIF(C34,Habilidades!$A$78,D34) * SUMIF(C34,Habilidades!$A$78,Habilidades!$B$78), if(C34="Velocista 3", SUMIF(C34,Habilidades!$A$79,D34) * SUMIF(C34,Habilidades!$A$79,Habilidades!$B$79), "-"))))))))))))))))))))))))))))))))))))))</f>
        <v>-</v>
      </c>
      <c r="F34" s="110"/>
      <c r="G34" s="137"/>
      <c r="H34" s="137"/>
      <c r="I34" s="137"/>
      <c r="J34" s="137"/>
      <c r="K34" s="137"/>
      <c r="L34" s="137"/>
      <c r="M34" s="110"/>
      <c r="N34" s="110"/>
    </row>
    <row r="35">
      <c r="A35" s="111"/>
      <c r="B35" s="110"/>
      <c r="C35" s="142" t="str">
        <f>IFERROR(__xludf.DUMMYFUNCTION("""COMPUTED_VALUE"""),"Líder 2")</f>
        <v>Líder 2</v>
      </c>
      <c r="D35" s="129">
        <f t="shared" si="2"/>
        <v>1</v>
      </c>
      <c r="E35" s="130" t="str">
        <f>if(C35="Detectar Segredo", SUMIF(C35,Habilidades!$A$11,D35) * SUMIF(C35,Habilidades!$A$11,Habilidades!$B$11), if(C35="Encontrar mágica", SUMIF(C35,Habilidades!$A$12,D35) * SUMIF(C35,Habilidades!$A$12,Habilidades!$B$12), if(C35="Cuidadoso 1", SUMIF(C35,Habilidades!$A$22,D35) * SUMIF(C35,Habilidades!$A$22,Habilidades!$B$22), if(C35="Cuidadoso 2", SUMIF(C35,Habilidades!$A$23,D49) * SUMIF(C35,Habilidades!$A$23,Habilidades!$B$23), if(C35="Cuidadoso 3", SUMIF(C35,Habilidades!$A$24,D35) * SUMIF(C35,Habilidades!$A$24,Habilidades!$B$24), if(C35="Ganancioso 1", SUMIF(C35,Habilidades!$A$25,D35) * SUMIF(C35,Habilidades!$A$25,Habilidades!$B$25), if(C35="Ganancioso 2", SUMIF(C35,Habilidades!$A$26,D35) * SUMIF(C35,Habilidades!$A$26,Habilidades!$B$26), if(C35="Ganancioso 3", SUMIF(C35,Habilidades!$A$27,D35) * SUMIF(C35,Habilidades!$A$27,Habilidades!$B$27), if(C35="Curandeiro 1", SUMIF(C35,Habilidades!$A$28,D35) * SUMIF(C35,Habilidades!$A$28,Habilidades!$B$28), if(C35="Curandeiro 2", SUMIF(C35,Habilidades!$A$29,D35) * SUMIF(C35,Habilidades!$A$29,Habilidades!$B$29), if(C35="Curandeiro 3", SUMIF(C35,Habilidades!$A$30,D35) * SUMIF(C35,Habilidades!$A$30,Habilidades!$B$30), if(C35="Sortudo 1", SUMIF(C35,Habilidades!$A$31,D35) * SUMIF(C35,Habilidades!$A$31,Habilidades!$B$31), if(C35="Sortudo 2", SUMIF(C35,Habilidades!$A$32,D35) * SUMIF(C35,Habilidades!$A$32,Habilidades!$B$32), if(C35="Sortudo 3", SUMIF(C35,Habilidades!$A$33,D35) * SUMIF(C35,Habilidades!$A$33,Habilidades!$B$33), if(C35="Protetor 1", SUMIF(C35,Habilidades!$A$34,D35) * SUMIF(C35,Habilidades!$A$34,Habilidades!$B$34), if(C35="Protetor 2", SUMIF(C35,Habilidades!$A$35,D35) * SUMIF(C35,Habilidades!$A$35,Habilidades!$B$35), if(C35="Protetor 3", SUMIF(C35,Habilidades!$A$36,D35) * SUMIF(C35,Habilidades!$A$36,Habilidades!$B$36), if(C35="Engenhoso 1", SUMIF(C35,Habilidades!$A$40,D35) * SUMIF(C35,Habilidades!$A$40,Habilidades!$B$40), if(C35="Engenhoso 2", SUMIF(C35,Habilidades!$A$41,D35) * SUMIF(C35,Habilidades!$A$41,Habilidades!$B$41), if(C35="Engenhoso 3", SUMIF(C35,Habilidades!$A$42,D35) * SUMIF(C35,Habilidades!$A$42,Habilidades!$B$42), if(C35="Reviver 1", SUMIF(C35,Habilidades!$A$43,D35) * SUMIF(C35,Habilidades!$A$43,Habilidades!$B$43), if(C35="Reviver 2", SUMIF(C35,Habilidades!$A$44,D35) * SUMIF(C35,Habilidades!$A$44,Habilidades!$B$44), if(C35="Reviver 3", SUMIF(C35,Habilidades!$A$45,D35) * SUMIF(C35,Habilidades!$A$45,Habilidades!$B$45), if(C35="Catador 1", SUMIF(C35,Habilidades!$A$46,D35) * SUMIF(C35,Habilidades!$A$46,Habilidades!$B$46), if(C35="Catador 2", SUMIF(C35,Habilidades!$A$47,D35) * SUMIF(C35,Habilidades!$A$47,Habilidades!$B$47), if(C35="Catador 3", SUMIF(C35,Habilidades!$A$48,D35) * SUMIF(C35,Habilidades!$A$48,Habilidades!$B$48), if(C35="Fornecedor 1", SUMIF(C35,Habilidades!$A$49,D35) * SUMIF(C35,Habilidades!$A$49,Habilidades!$B$49), if(C35="Fornecedor 2", SUMIF(C35,Habilidades!$A$50,D35) * SUMIF(C35,Habilidades!$A$50,Habilidades!$B$50), if(C35="Fornecedor 3", SUMIF(C35,Habilidades!$A$51,D35) * SUMIF(C35,Habilidades!$A$51,Habilidades!$B$51), if(C35="Suporte 1", SUMIF(C35,Habilidades!$A$52,D35) * SUMIF(C35,Habilidades!$A$52,Habilidades!$B$52), if(C35="Suporte 2", SUMIF(C35,Habilidades!$A$53,D35) * SUMIF(C35,Habilidades!$A$53,Habilidades!$B$53), if(C35="Suporte 3", SUMIF(C35,Habilidades!$A$54,D35) * SUMIF(C35,Habilidades!$A$54,Habilidades!$B$54), if(C35="Caça-tesouros 1", SUMIF(C35,Habilidades!$A$55,D35) * SUMIF(C35,Habilidades!$A$55,Habilidades!$B$55), if(C35="Caça-tesouros 2", SUMIF(C35,Habilidades!$A$56,D35) * SUMIF(C35,Habilidades!$A$56,Habilidades!$B$56), if(C35="Caça-tesouros 3", SUMIF(C35,Habilidades!$A$57,D35) * SUMIF(C35,Habilidades!$A$57,Habilidades!$B$57), if(C35="Velocista 1", SUMIF(C35,Habilidades!$A$77,D35) * SUMIF(C35,Habilidades!$A$77,Habilidades!$B$77), if(C35="Velocista 2", SUMIF(C35,Habilidades!$A$78,D35) * SUMIF(C35,Habilidades!$A$78,Habilidades!$B$78), if(C35="Velocista 3", SUMIF(C35,Habilidades!$A$79,D35) * SUMIF(C35,Habilidades!$A$79,Habilidades!$B$79), "-"))))))))))))))))))))))))))))))))))))))</f>
        <v>-</v>
      </c>
      <c r="F35" s="110"/>
      <c r="G35" s="137"/>
      <c r="H35" s="137"/>
      <c r="I35" s="137"/>
      <c r="J35" s="137"/>
      <c r="K35" s="137"/>
      <c r="L35" s="137"/>
      <c r="M35" s="110"/>
      <c r="N35" s="110"/>
    </row>
    <row r="36">
      <c r="A36" s="111"/>
      <c r="B36" s="110"/>
      <c r="C36" s="142" t="str">
        <f>IFERROR(__xludf.DUMMYFUNCTION("""COMPUTED_VALUE"""),"Líder 3")</f>
        <v>Líder 3</v>
      </c>
      <c r="D36" s="129">
        <f t="shared" si="2"/>
        <v>1</v>
      </c>
      <c r="E36" s="130" t="str">
        <f>if(C36="Detectar Segredo", SUMIF(C36,Habilidades!$A$11,D36) * SUMIF(C36,Habilidades!$A$11,Habilidades!$B$11), if(C36="Encontrar mágica", SUMIF(C36,Habilidades!$A$12,D36) * SUMIF(C36,Habilidades!$A$12,Habilidades!$B$12), if(C36="Cuidadoso 1", SUMIF(C36,Habilidades!$A$22,D36) * SUMIF(C36,Habilidades!$A$22,Habilidades!$B$22), if(C36="Cuidadoso 2", SUMIF(C36,Habilidades!$A$23,D50) * SUMIF(C36,Habilidades!$A$23,Habilidades!$B$23), if(C36="Cuidadoso 3", SUMIF(C36,Habilidades!$A$24,D36) * SUMIF(C36,Habilidades!$A$24,Habilidades!$B$24), if(C36="Ganancioso 1", SUMIF(C36,Habilidades!$A$25,D36) * SUMIF(C36,Habilidades!$A$25,Habilidades!$B$25), if(C36="Ganancioso 2", SUMIF(C36,Habilidades!$A$26,D36) * SUMIF(C36,Habilidades!$A$26,Habilidades!$B$26), if(C36="Ganancioso 3", SUMIF(C36,Habilidades!$A$27,D36) * SUMIF(C36,Habilidades!$A$27,Habilidades!$B$27), if(C36="Curandeiro 1", SUMIF(C36,Habilidades!$A$28,D36) * SUMIF(C36,Habilidades!$A$28,Habilidades!$B$28), if(C36="Curandeiro 2", SUMIF(C36,Habilidades!$A$29,D36) * SUMIF(C36,Habilidades!$A$29,Habilidades!$B$29), if(C36="Curandeiro 3", SUMIF(C36,Habilidades!$A$30,D36) * SUMIF(C36,Habilidades!$A$30,Habilidades!$B$30), if(C36="Sortudo 1", SUMIF(C36,Habilidades!$A$31,D36) * SUMIF(C36,Habilidades!$A$31,Habilidades!$B$31), if(C36="Sortudo 2", SUMIF(C36,Habilidades!$A$32,D36) * SUMIF(C36,Habilidades!$A$32,Habilidades!$B$32), if(C36="Sortudo 3", SUMIF(C36,Habilidades!$A$33,D36) * SUMIF(C36,Habilidades!$A$33,Habilidades!$B$33), if(C36="Protetor 1", SUMIF(C36,Habilidades!$A$34,D36) * SUMIF(C36,Habilidades!$A$34,Habilidades!$B$34), if(C36="Protetor 2", SUMIF(C36,Habilidades!$A$35,D36) * SUMIF(C36,Habilidades!$A$35,Habilidades!$B$35), if(C36="Protetor 3", SUMIF(C36,Habilidades!$A$36,D36) * SUMIF(C36,Habilidades!$A$36,Habilidades!$B$36), if(C36="Engenhoso 1", SUMIF(C36,Habilidades!$A$40,D36) * SUMIF(C36,Habilidades!$A$40,Habilidades!$B$40), if(C36="Engenhoso 2", SUMIF(C36,Habilidades!$A$41,D36) * SUMIF(C36,Habilidades!$A$41,Habilidades!$B$41), if(C36="Engenhoso 3", SUMIF(C36,Habilidades!$A$42,D36) * SUMIF(C36,Habilidades!$A$42,Habilidades!$B$42), if(C36="Reviver 1", SUMIF(C36,Habilidades!$A$43,D36) * SUMIF(C36,Habilidades!$A$43,Habilidades!$B$43), if(C36="Reviver 2", SUMIF(C36,Habilidades!$A$44,D36) * SUMIF(C36,Habilidades!$A$44,Habilidades!$B$44), if(C36="Reviver 3", SUMIF(C36,Habilidades!$A$45,D36) * SUMIF(C36,Habilidades!$A$45,Habilidades!$B$45), if(C36="Catador 1", SUMIF(C36,Habilidades!$A$46,D36) * SUMIF(C36,Habilidades!$A$46,Habilidades!$B$46), if(C36="Catador 2", SUMIF(C36,Habilidades!$A$47,D36) * SUMIF(C36,Habilidades!$A$47,Habilidades!$B$47), if(C36="Catador 3", SUMIF(C36,Habilidades!$A$48,D36) * SUMIF(C36,Habilidades!$A$48,Habilidades!$B$48), if(C36="Fornecedor 1", SUMIF(C36,Habilidades!$A$49,D36) * SUMIF(C36,Habilidades!$A$49,Habilidades!$B$49), if(C36="Fornecedor 2", SUMIF(C36,Habilidades!$A$50,D36) * SUMIF(C36,Habilidades!$A$50,Habilidades!$B$50), if(C36="Fornecedor 3", SUMIF(C36,Habilidades!$A$51,D36) * SUMIF(C36,Habilidades!$A$51,Habilidades!$B$51), if(C36="Suporte 1", SUMIF(C36,Habilidades!$A$52,D36) * SUMIF(C36,Habilidades!$A$52,Habilidades!$B$52), if(C36="Suporte 2", SUMIF(C36,Habilidades!$A$53,D36) * SUMIF(C36,Habilidades!$A$53,Habilidades!$B$53), if(C36="Suporte 3", SUMIF(C36,Habilidades!$A$54,D36) * SUMIF(C36,Habilidades!$A$54,Habilidades!$B$54), if(C36="Caça-tesouros 1", SUMIF(C36,Habilidades!$A$55,D36) * SUMIF(C36,Habilidades!$A$55,Habilidades!$B$55), if(C36="Caça-tesouros 2", SUMIF(C36,Habilidades!$A$56,D36) * SUMIF(C36,Habilidades!$A$56,Habilidades!$B$56), if(C36="Caça-tesouros 3", SUMIF(C36,Habilidades!$A$57,D36) * SUMIF(C36,Habilidades!$A$57,Habilidades!$B$57), if(C36="Velocista 1", SUMIF(C36,Habilidades!$A$77,D36) * SUMIF(C36,Habilidades!$A$77,Habilidades!$B$77), if(C36="Velocista 2", SUMIF(C36,Habilidades!$A$78,D36) * SUMIF(C36,Habilidades!$A$78,Habilidades!$B$78), if(C36="Velocista 3", SUMIF(C36,Habilidades!$A$79,D36) * SUMIF(C36,Habilidades!$A$79,Habilidades!$B$79), "-"))))))))))))))))))))))))))))))))))))))</f>
        <v>-</v>
      </c>
      <c r="F36" s="110"/>
      <c r="G36" s="137"/>
      <c r="H36" s="137"/>
      <c r="I36" s="137"/>
      <c r="J36" s="137"/>
      <c r="K36" s="137"/>
      <c r="L36" s="137"/>
      <c r="M36" s="110"/>
      <c r="N36" s="110"/>
    </row>
    <row r="37">
      <c r="A37" s="111"/>
      <c r="B37" s="110"/>
      <c r="C37" s="142" t="str">
        <f>IFERROR(__xludf.DUMMYFUNCTION("""COMPUTED_VALUE"""),"Protetor 3")</f>
        <v>Protetor 3</v>
      </c>
      <c r="D37" s="129">
        <f t="shared" si="2"/>
        <v>1</v>
      </c>
      <c r="E37" s="130">
        <f>if(C37="Detectar Segredo", SUMIF(C37,Habilidades!$A$11,D37) * SUMIF(C37,Habilidades!$A$11,Habilidades!$B$11), if(C37="Encontrar mágica", SUMIF(C37,Habilidades!$A$12,D37) * SUMIF(C37,Habilidades!$A$12,Habilidades!$B$12), if(C37="Cuidadoso 1", SUMIF(C37,Habilidades!$A$22,D37) * SUMIF(C37,Habilidades!$A$22,Habilidades!$B$22), if(C37="Cuidadoso 2", SUMIF(C37,Habilidades!$A$23,D51) * SUMIF(C37,Habilidades!$A$23,Habilidades!$B$23), if(C37="Cuidadoso 3", SUMIF(C37,Habilidades!$A$24,D37) * SUMIF(C37,Habilidades!$A$24,Habilidades!$B$24), if(C37="Ganancioso 1", SUMIF(C37,Habilidades!$A$25,D37) * SUMIF(C37,Habilidades!$A$25,Habilidades!$B$25), if(C37="Ganancioso 2", SUMIF(C37,Habilidades!$A$26,D37) * SUMIF(C37,Habilidades!$A$26,Habilidades!$B$26), if(C37="Ganancioso 3", SUMIF(C37,Habilidades!$A$27,D37) * SUMIF(C37,Habilidades!$A$27,Habilidades!$B$27), if(C37="Curandeiro 1", SUMIF(C37,Habilidades!$A$28,D37) * SUMIF(C37,Habilidades!$A$28,Habilidades!$B$28), if(C37="Curandeiro 2", SUMIF(C37,Habilidades!$A$29,D37) * SUMIF(C37,Habilidades!$A$29,Habilidades!$B$29), if(C37="Curandeiro 3", SUMIF(C37,Habilidades!$A$30,D37) * SUMIF(C37,Habilidades!$A$30,Habilidades!$B$30), if(C37="Sortudo 1", SUMIF(C37,Habilidades!$A$31,D37) * SUMIF(C37,Habilidades!$A$31,Habilidades!$B$31), if(C37="Sortudo 2", SUMIF(C37,Habilidades!$A$32,D37) * SUMIF(C37,Habilidades!$A$32,Habilidades!$B$32), if(C37="Sortudo 3", SUMIF(C37,Habilidades!$A$33,D37) * SUMIF(C37,Habilidades!$A$33,Habilidades!$B$33), if(C37="Protetor 1", SUMIF(C37,Habilidades!$A$34,D37) * SUMIF(C37,Habilidades!$A$34,Habilidades!$B$34), if(C37="Protetor 2", SUMIF(C37,Habilidades!$A$35,D37) * SUMIF(C37,Habilidades!$A$35,Habilidades!$B$35), if(C37="Protetor 3", SUMIF(C37,Habilidades!$A$36,D37) * SUMIF(C37,Habilidades!$A$36,Habilidades!$B$36), if(C37="Engenhoso 1", SUMIF(C37,Habilidades!$A$40,D37) * SUMIF(C37,Habilidades!$A$40,Habilidades!$B$40), if(C37="Engenhoso 2", SUMIF(C37,Habilidades!$A$41,D37) * SUMIF(C37,Habilidades!$A$41,Habilidades!$B$41), if(C37="Engenhoso 3", SUMIF(C37,Habilidades!$A$42,D37) * SUMIF(C37,Habilidades!$A$42,Habilidades!$B$42), if(C37="Reviver 1", SUMIF(C37,Habilidades!$A$43,D37) * SUMIF(C37,Habilidades!$A$43,Habilidades!$B$43), if(C37="Reviver 2", SUMIF(C37,Habilidades!$A$44,D37) * SUMIF(C37,Habilidades!$A$44,Habilidades!$B$44), if(C37="Reviver 3", SUMIF(C37,Habilidades!$A$45,D37) * SUMIF(C37,Habilidades!$A$45,Habilidades!$B$45), if(C37="Catador 1", SUMIF(C37,Habilidades!$A$46,D37) * SUMIF(C37,Habilidades!$A$46,Habilidades!$B$46), if(C37="Catador 2", SUMIF(C37,Habilidades!$A$47,D37) * SUMIF(C37,Habilidades!$A$47,Habilidades!$B$47), if(C37="Catador 3", SUMIF(C37,Habilidades!$A$48,D37) * SUMIF(C37,Habilidades!$A$48,Habilidades!$B$48), if(C37="Fornecedor 1", SUMIF(C37,Habilidades!$A$49,D37) * SUMIF(C37,Habilidades!$A$49,Habilidades!$B$49), if(C37="Fornecedor 2", SUMIF(C37,Habilidades!$A$50,D37) * SUMIF(C37,Habilidades!$A$50,Habilidades!$B$50), if(C37="Fornecedor 3", SUMIF(C37,Habilidades!$A$51,D37) * SUMIF(C37,Habilidades!$A$51,Habilidades!$B$51), if(C37="Suporte 1", SUMIF(C37,Habilidades!$A$52,D37) * SUMIF(C37,Habilidades!$A$52,Habilidades!$B$52), if(C37="Suporte 2", SUMIF(C37,Habilidades!$A$53,D37) * SUMIF(C37,Habilidades!$A$53,Habilidades!$B$53), if(C37="Suporte 3", SUMIF(C37,Habilidades!$A$54,D37) * SUMIF(C37,Habilidades!$A$54,Habilidades!$B$54), if(C37="Caça-tesouros 1", SUMIF(C37,Habilidades!$A$55,D37) * SUMIF(C37,Habilidades!$A$55,Habilidades!$B$55), if(C37="Caça-tesouros 2", SUMIF(C37,Habilidades!$A$56,D37) * SUMIF(C37,Habilidades!$A$56,Habilidades!$B$56), if(C37="Caça-tesouros 3", SUMIF(C37,Habilidades!$A$57,D37) * SUMIF(C37,Habilidades!$A$57,Habilidades!$B$57), if(C37="Velocista 1", SUMIF(C37,Habilidades!$A$77,D37) * SUMIF(C37,Habilidades!$A$77,Habilidades!$B$77), if(C37="Velocista 2", SUMIF(C37,Habilidades!$A$78,D37) * SUMIF(C37,Habilidades!$A$78,Habilidades!$B$78), if(C37="Velocista 3", SUMIF(C37,Habilidades!$A$79,D37) * SUMIF(C37,Habilidades!$A$79,Habilidades!$B$79), "-"))))))))))))))))))))))))))))))))))))))</f>
        <v>10</v>
      </c>
      <c r="F37" s="110"/>
      <c r="G37" s="137"/>
      <c r="H37" s="137"/>
      <c r="I37" s="137"/>
      <c r="J37" s="137"/>
      <c r="K37" s="137"/>
      <c r="L37" s="137"/>
      <c r="M37" s="110"/>
      <c r="N37" s="110"/>
    </row>
    <row r="38">
      <c r="A38" s="111"/>
      <c r="B38" s="110"/>
      <c r="C38" s="142" t="str">
        <f>IFERROR(__xludf.DUMMYFUNCTION("""COMPUTED_VALUE"""),"Raio elétrico")</f>
        <v>Raio elétrico</v>
      </c>
      <c r="D38" s="129">
        <f t="shared" si="2"/>
        <v>1</v>
      </c>
      <c r="E38" s="130" t="str">
        <f>if(C38="Detectar Segredo", SUMIF(C38,Habilidades!$A$11,D38) * SUMIF(C38,Habilidades!$A$11,Habilidades!$B$11), if(C38="Encontrar mágica", SUMIF(C38,Habilidades!$A$12,D38) * SUMIF(C38,Habilidades!$A$12,Habilidades!$B$12), if(C38="Cuidadoso 1", SUMIF(C38,Habilidades!$A$22,D38) * SUMIF(C38,Habilidades!$A$22,Habilidades!$B$22), if(C38="Cuidadoso 2", SUMIF(C38,Habilidades!$A$23,D52) * SUMIF(C38,Habilidades!$A$23,Habilidades!$B$23), if(C38="Cuidadoso 3", SUMIF(C38,Habilidades!$A$24,D38) * SUMIF(C38,Habilidades!$A$24,Habilidades!$B$24), if(C38="Ganancioso 1", SUMIF(C38,Habilidades!$A$25,D38) * SUMIF(C38,Habilidades!$A$25,Habilidades!$B$25), if(C38="Ganancioso 2", SUMIF(C38,Habilidades!$A$26,D38) * SUMIF(C38,Habilidades!$A$26,Habilidades!$B$26), if(C38="Ganancioso 3", SUMIF(C38,Habilidades!$A$27,D38) * SUMIF(C38,Habilidades!$A$27,Habilidades!$B$27), if(C38="Curandeiro 1", SUMIF(C38,Habilidades!$A$28,D38) * SUMIF(C38,Habilidades!$A$28,Habilidades!$B$28), if(C38="Curandeiro 2", SUMIF(C38,Habilidades!$A$29,D38) * SUMIF(C38,Habilidades!$A$29,Habilidades!$B$29), if(C38="Curandeiro 3", SUMIF(C38,Habilidades!$A$30,D38) * SUMIF(C38,Habilidades!$A$30,Habilidades!$B$30), if(C38="Sortudo 1", SUMIF(C38,Habilidades!$A$31,D38) * SUMIF(C38,Habilidades!$A$31,Habilidades!$B$31), if(C38="Sortudo 2", SUMIF(C38,Habilidades!$A$32,D38) * SUMIF(C38,Habilidades!$A$32,Habilidades!$B$32), if(C38="Sortudo 3", SUMIF(C38,Habilidades!$A$33,D38) * SUMIF(C38,Habilidades!$A$33,Habilidades!$B$33), if(C38="Protetor 1", SUMIF(C38,Habilidades!$A$34,D38) * SUMIF(C38,Habilidades!$A$34,Habilidades!$B$34), if(C38="Protetor 2", SUMIF(C38,Habilidades!$A$35,D38) * SUMIF(C38,Habilidades!$A$35,Habilidades!$B$35), if(C38="Protetor 3", SUMIF(C38,Habilidades!$A$36,D38) * SUMIF(C38,Habilidades!$A$36,Habilidades!$B$36), if(C38="Engenhoso 1", SUMIF(C38,Habilidades!$A$40,D38) * SUMIF(C38,Habilidades!$A$40,Habilidades!$B$40), if(C38="Engenhoso 2", SUMIF(C38,Habilidades!$A$41,D38) * SUMIF(C38,Habilidades!$A$41,Habilidades!$B$41), if(C38="Engenhoso 3", SUMIF(C38,Habilidades!$A$42,D38) * SUMIF(C38,Habilidades!$A$42,Habilidades!$B$42), if(C38="Reviver 1", SUMIF(C38,Habilidades!$A$43,D38) * SUMIF(C38,Habilidades!$A$43,Habilidades!$B$43), if(C38="Reviver 2", SUMIF(C38,Habilidades!$A$44,D38) * SUMIF(C38,Habilidades!$A$44,Habilidades!$B$44), if(C38="Reviver 3", SUMIF(C38,Habilidades!$A$45,D38) * SUMIF(C38,Habilidades!$A$45,Habilidades!$B$45), if(C38="Catador 1", SUMIF(C38,Habilidades!$A$46,D38) * SUMIF(C38,Habilidades!$A$46,Habilidades!$B$46), if(C38="Catador 2", SUMIF(C38,Habilidades!$A$47,D38) * SUMIF(C38,Habilidades!$A$47,Habilidades!$B$47), if(C38="Catador 3", SUMIF(C38,Habilidades!$A$48,D38) * SUMIF(C38,Habilidades!$A$48,Habilidades!$B$48), if(C38="Fornecedor 1", SUMIF(C38,Habilidades!$A$49,D38) * SUMIF(C38,Habilidades!$A$49,Habilidades!$B$49), if(C38="Fornecedor 2", SUMIF(C38,Habilidades!$A$50,D38) * SUMIF(C38,Habilidades!$A$50,Habilidades!$B$50), if(C38="Fornecedor 3", SUMIF(C38,Habilidades!$A$51,D38) * SUMIF(C38,Habilidades!$A$51,Habilidades!$B$51), if(C38="Suporte 1", SUMIF(C38,Habilidades!$A$52,D38) * SUMIF(C38,Habilidades!$A$52,Habilidades!$B$52), if(C38="Suporte 2", SUMIF(C38,Habilidades!$A$53,D38) * SUMIF(C38,Habilidades!$A$53,Habilidades!$B$53), if(C38="Suporte 3", SUMIF(C38,Habilidades!$A$54,D38) * SUMIF(C38,Habilidades!$A$54,Habilidades!$B$54), if(C38="Caça-tesouros 1", SUMIF(C38,Habilidades!$A$55,D38) * SUMIF(C38,Habilidades!$A$55,Habilidades!$B$55), if(C38="Caça-tesouros 2", SUMIF(C38,Habilidades!$A$56,D38) * SUMIF(C38,Habilidades!$A$56,Habilidades!$B$56), if(C38="Caça-tesouros 3", SUMIF(C38,Habilidades!$A$57,D38) * SUMIF(C38,Habilidades!$A$57,Habilidades!$B$57), if(C38="Velocista 1", SUMIF(C38,Habilidades!$A$77,D38) * SUMIF(C38,Habilidades!$A$77,Habilidades!$B$77), if(C38="Velocista 2", SUMIF(C38,Habilidades!$A$78,D38) * SUMIF(C38,Habilidades!$A$78,Habilidades!$B$78), if(C38="Velocista 3", SUMIF(C38,Habilidades!$A$79,D38) * SUMIF(C38,Habilidades!$A$79,Habilidades!$B$79), "-"))))))))))))))))))))))))))))))))))))))</f>
        <v>-</v>
      </c>
      <c r="F38" s="110"/>
      <c r="G38" s="137"/>
      <c r="H38" s="137"/>
      <c r="I38" s="137"/>
      <c r="J38" s="137"/>
      <c r="K38" s="137"/>
      <c r="L38" s="137"/>
      <c r="M38" s="110"/>
      <c r="N38" s="110"/>
    </row>
    <row r="39">
      <c r="A39" s="111"/>
      <c r="B39" s="110"/>
      <c r="C39" s="142" t="str">
        <f>IFERROR(__xludf.DUMMYFUNCTION("""COMPUTED_VALUE"""),"Reviver 2")</f>
        <v>Reviver 2</v>
      </c>
      <c r="D39" s="129">
        <f t="shared" si="2"/>
        <v>4</v>
      </c>
      <c r="E39" s="130">
        <f>if(C39="Detectar Segredo", SUMIF(C39,Habilidades!$A$11,D39) * SUMIF(C39,Habilidades!$A$11,Habilidades!$B$11), if(C39="Encontrar mágica", SUMIF(C39,Habilidades!$A$12,D39) * SUMIF(C39,Habilidades!$A$12,Habilidades!$B$12), if(C39="Cuidadoso 1", SUMIF(C39,Habilidades!$A$22,D39) * SUMIF(C39,Habilidades!$A$22,Habilidades!$B$22), if(C39="Cuidadoso 2", SUMIF(C39,Habilidades!$A$23,D53) * SUMIF(C39,Habilidades!$A$23,Habilidades!$B$23), if(C39="Cuidadoso 3", SUMIF(C39,Habilidades!$A$24,D39) * SUMIF(C39,Habilidades!$A$24,Habilidades!$B$24), if(C39="Ganancioso 1", SUMIF(C39,Habilidades!$A$25,D39) * SUMIF(C39,Habilidades!$A$25,Habilidades!$B$25), if(C39="Ganancioso 2", SUMIF(C39,Habilidades!$A$26,D39) * SUMIF(C39,Habilidades!$A$26,Habilidades!$B$26), if(C39="Ganancioso 3", SUMIF(C39,Habilidades!$A$27,D39) * SUMIF(C39,Habilidades!$A$27,Habilidades!$B$27), if(C39="Curandeiro 1", SUMIF(C39,Habilidades!$A$28,D39) * SUMIF(C39,Habilidades!$A$28,Habilidades!$B$28), if(C39="Curandeiro 2", SUMIF(C39,Habilidades!$A$29,D39) * SUMIF(C39,Habilidades!$A$29,Habilidades!$B$29), if(C39="Curandeiro 3", SUMIF(C39,Habilidades!$A$30,D39) * SUMIF(C39,Habilidades!$A$30,Habilidades!$B$30), if(C39="Sortudo 1", SUMIF(C39,Habilidades!$A$31,D39) * SUMIF(C39,Habilidades!$A$31,Habilidades!$B$31), if(C39="Sortudo 2", SUMIF(C39,Habilidades!$A$32,D39) * SUMIF(C39,Habilidades!$A$32,Habilidades!$B$32), if(C39="Sortudo 3", SUMIF(C39,Habilidades!$A$33,D39) * SUMIF(C39,Habilidades!$A$33,Habilidades!$B$33), if(C39="Protetor 1", SUMIF(C39,Habilidades!$A$34,D39) * SUMIF(C39,Habilidades!$A$34,Habilidades!$B$34), if(C39="Protetor 2", SUMIF(C39,Habilidades!$A$35,D39) * SUMIF(C39,Habilidades!$A$35,Habilidades!$B$35), if(C39="Protetor 3", SUMIF(C39,Habilidades!$A$36,D39) * SUMIF(C39,Habilidades!$A$36,Habilidades!$B$36), if(C39="Engenhoso 1", SUMIF(C39,Habilidades!$A$40,D39) * SUMIF(C39,Habilidades!$A$40,Habilidades!$B$40), if(C39="Engenhoso 2", SUMIF(C39,Habilidades!$A$41,D39) * SUMIF(C39,Habilidades!$A$41,Habilidades!$B$41), if(C39="Engenhoso 3", SUMIF(C39,Habilidades!$A$42,D39) * SUMIF(C39,Habilidades!$A$42,Habilidades!$B$42), if(C39="Reviver 1", SUMIF(C39,Habilidades!$A$43,D39) * SUMIF(C39,Habilidades!$A$43,Habilidades!$B$43), if(C39="Reviver 2", SUMIF(C39,Habilidades!$A$44,D39) * SUMIF(C39,Habilidades!$A$44,Habilidades!$B$44), if(C39="Reviver 3", SUMIF(C39,Habilidades!$A$45,D39) * SUMIF(C39,Habilidades!$A$45,Habilidades!$B$45), if(C39="Catador 1", SUMIF(C39,Habilidades!$A$46,D39) * SUMIF(C39,Habilidades!$A$46,Habilidades!$B$46), if(C39="Catador 2", SUMIF(C39,Habilidades!$A$47,D39) * SUMIF(C39,Habilidades!$A$47,Habilidades!$B$47), if(C39="Catador 3", SUMIF(C39,Habilidades!$A$48,D39) * SUMIF(C39,Habilidades!$A$48,Habilidades!$B$48), if(C39="Fornecedor 1", SUMIF(C39,Habilidades!$A$49,D39) * SUMIF(C39,Habilidades!$A$49,Habilidades!$B$49), if(C39="Fornecedor 2", SUMIF(C39,Habilidades!$A$50,D39) * SUMIF(C39,Habilidades!$A$50,Habilidades!$B$50), if(C39="Fornecedor 3", SUMIF(C39,Habilidades!$A$51,D39) * SUMIF(C39,Habilidades!$A$51,Habilidades!$B$51), if(C39="Suporte 1", SUMIF(C39,Habilidades!$A$52,D39) * SUMIF(C39,Habilidades!$A$52,Habilidades!$B$52), if(C39="Suporte 2", SUMIF(C39,Habilidades!$A$53,D39) * SUMIF(C39,Habilidades!$A$53,Habilidades!$B$53), if(C39="Suporte 3", SUMIF(C39,Habilidades!$A$54,D39) * SUMIF(C39,Habilidades!$A$54,Habilidades!$B$54), if(C39="Caça-tesouros 1", SUMIF(C39,Habilidades!$A$55,D39) * SUMIF(C39,Habilidades!$A$55,Habilidades!$B$55), if(C39="Caça-tesouros 2", SUMIF(C39,Habilidades!$A$56,D39) * SUMIF(C39,Habilidades!$A$56,Habilidades!$B$56), if(C39="Caça-tesouros 3", SUMIF(C39,Habilidades!$A$57,D39) * SUMIF(C39,Habilidades!$A$57,Habilidades!$B$57), if(C39="Velocista 1", SUMIF(C39,Habilidades!$A$77,D39) * SUMIF(C39,Habilidades!$A$77,Habilidades!$B$77), if(C39="Velocista 2", SUMIF(C39,Habilidades!$A$78,D39) * SUMIF(C39,Habilidades!$A$78,Habilidades!$B$78), if(C39="Velocista 3", SUMIF(C39,Habilidades!$A$79,D39) * SUMIF(C39,Habilidades!$A$79,Habilidades!$B$79), "-"))))))))))))))))))))))))))))))))))))))</f>
        <v>40</v>
      </c>
      <c r="F39" s="110"/>
      <c r="G39" s="137"/>
      <c r="H39" s="137"/>
      <c r="I39" s="137"/>
      <c r="J39" s="137"/>
      <c r="K39" s="137"/>
      <c r="L39" s="137"/>
      <c r="M39" s="110"/>
      <c r="N39" s="110"/>
    </row>
    <row r="40">
      <c r="A40" s="111"/>
      <c r="B40" s="110"/>
      <c r="C40" s="142" t="str">
        <f>IFERROR(__xludf.DUMMYFUNCTION("""COMPUTED_VALUE"""),"Reviver 3")</f>
        <v>Reviver 3</v>
      </c>
      <c r="D40" s="129">
        <f t="shared" si="2"/>
        <v>4</v>
      </c>
      <c r="E40" s="130">
        <f>if(C40="Detectar Segredo", SUMIF(C40,Habilidades!$A$11,D40) * SUMIF(C40,Habilidades!$A$11,Habilidades!$B$11), if(C40="Encontrar mágica", SUMIF(C40,Habilidades!$A$12,D40) * SUMIF(C40,Habilidades!$A$12,Habilidades!$B$12), if(C40="Cuidadoso 1", SUMIF(C40,Habilidades!$A$22,D40) * SUMIF(C40,Habilidades!$A$22,Habilidades!$B$22), if(C40="Cuidadoso 2", SUMIF(C40,Habilidades!$A$23,D54) * SUMIF(C40,Habilidades!$A$23,Habilidades!$B$23), if(C40="Cuidadoso 3", SUMIF(C40,Habilidades!$A$24,D40) * SUMIF(C40,Habilidades!$A$24,Habilidades!$B$24), if(C40="Ganancioso 1", SUMIF(C40,Habilidades!$A$25,D40) * SUMIF(C40,Habilidades!$A$25,Habilidades!$B$25), if(C40="Ganancioso 2", SUMIF(C40,Habilidades!$A$26,D40) * SUMIF(C40,Habilidades!$A$26,Habilidades!$B$26), if(C40="Ganancioso 3", SUMIF(C40,Habilidades!$A$27,D40) * SUMIF(C40,Habilidades!$A$27,Habilidades!$B$27), if(C40="Curandeiro 1", SUMIF(C40,Habilidades!$A$28,D40) * SUMIF(C40,Habilidades!$A$28,Habilidades!$B$28), if(C40="Curandeiro 2", SUMIF(C40,Habilidades!$A$29,D40) * SUMIF(C40,Habilidades!$A$29,Habilidades!$B$29), if(C40="Curandeiro 3", SUMIF(C40,Habilidades!$A$30,D40) * SUMIF(C40,Habilidades!$A$30,Habilidades!$B$30), if(C40="Sortudo 1", SUMIF(C40,Habilidades!$A$31,D40) * SUMIF(C40,Habilidades!$A$31,Habilidades!$B$31), if(C40="Sortudo 2", SUMIF(C40,Habilidades!$A$32,D40) * SUMIF(C40,Habilidades!$A$32,Habilidades!$B$32), if(C40="Sortudo 3", SUMIF(C40,Habilidades!$A$33,D40) * SUMIF(C40,Habilidades!$A$33,Habilidades!$B$33), if(C40="Protetor 1", SUMIF(C40,Habilidades!$A$34,D40) * SUMIF(C40,Habilidades!$A$34,Habilidades!$B$34), if(C40="Protetor 2", SUMIF(C40,Habilidades!$A$35,D40) * SUMIF(C40,Habilidades!$A$35,Habilidades!$B$35), if(C40="Protetor 3", SUMIF(C40,Habilidades!$A$36,D40) * SUMIF(C40,Habilidades!$A$36,Habilidades!$B$36), if(C40="Engenhoso 1", SUMIF(C40,Habilidades!$A$40,D40) * SUMIF(C40,Habilidades!$A$40,Habilidades!$B$40), if(C40="Engenhoso 2", SUMIF(C40,Habilidades!$A$41,D40) * SUMIF(C40,Habilidades!$A$41,Habilidades!$B$41), if(C40="Engenhoso 3", SUMIF(C40,Habilidades!$A$42,D40) * SUMIF(C40,Habilidades!$A$42,Habilidades!$B$42), if(C40="Reviver 1", SUMIF(C40,Habilidades!$A$43,D40) * SUMIF(C40,Habilidades!$A$43,Habilidades!$B$43), if(C40="Reviver 2", SUMIF(C40,Habilidades!$A$44,D40) * SUMIF(C40,Habilidades!$A$44,Habilidades!$B$44), if(C40="Reviver 3", SUMIF(C40,Habilidades!$A$45,D40) * SUMIF(C40,Habilidades!$A$45,Habilidades!$B$45), if(C40="Catador 1", SUMIF(C40,Habilidades!$A$46,D40) * SUMIF(C40,Habilidades!$A$46,Habilidades!$B$46), if(C40="Catador 2", SUMIF(C40,Habilidades!$A$47,D40) * SUMIF(C40,Habilidades!$A$47,Habilidades!$B$47), if(C40="Catador 3", SUMIF(C40,Habilidades!$A$48,D40) * SUMIF(C40,Habilidades!$A$48,Habilidades!$B$48), if(C40="Fornecedor 1", SUMIF(C40,Habilidades!$A$49,D40) * SUMIF(C40,Habilidades!$A$49,Habilidades!$B$49), if(C40="Fornecedor 2", SUMIF(C40,Habilidades!$A$50,D40) * SUMIF(C40,Habilidades!$A$50,Habilidades!$B$50), if(C40="Fornecedor 3", SUMIF(C40,Habilidades!$A$51,D40) * SUMIF(C40,Habilidades!$A$51,Habilidades!$B$51), if(C40="Suporte 1", SUMIF(C40,Habilidades!$A$52,D40) * SUMIF(C40,Habilidades!$A$52,Habilidades!$B$52), if(C40="Suporte 2", SUMIF(C40,Habilidades!$A$53,D40) * SUMIF(C40,Habilidades!$A$53,Habilidades!$B$53), if(C40="Suporte 3", SUMIF(C40,Habilidades!$A$54,D40) * SUMIF(C40,Habilidades!$A$54,Habilidades!$B$54), if(C40="Caça-tesouros 1", SUMIF(C40,Habilidades!$A$55,D40) * SUMIF(C40,Habilidades!$A$55,Habilidades!$B$55), if(C40="Caça-tesouros 2", SUMIF(C40,Habilidades!$A$56,D40) * SUMIF(C40,Habilidades!$A$56,Habilidades!$B$56), if(C40="Caça-tesouros 3", SUMIF(C40,Habilidades!$A$57,D40) * SUMIF(C40,Habilidades!$A$57,Habilidades!$B$57), if(C40="Velocista 1", SUMIF(C40,Habilidades!$A$77,D40) * SUMIF(C40,Habilidades!$A$77,Habilidades!$B$77), if(C40="Velocista 2", SUMIF(C40,Habilidades!$A$78,D40) * SUMIF(C40,Habilidades!$A$78,Habilidades!$B$78), if(C40="Velocista 3", SUMIF(C40,Habilidades!$A$79,D40) * SUMIF(C40,Habilidades!$A$79,Habilidades!$B$79), "-"))))))))))))))))))))))))))))))))))))))</f>
        <v>60</v>
      </c>
      <c r="F40" s="110"/>
      <c r="G40" s="137"/>
      <c r="H40" s="137"/>
      <c r="I40" s="137"/>
      <c r="J40" s="137"/>
      <c r="K40" s="137"/>
      <c r="L40" s="137"/>
      <c r="M40" s="110"/>
      <c r="N40" s="110"/>
    </row>
    <row r="41">
      <c r="A41" s="111"/>
      <c r="B41" s="110"/>
      <c r="C41" s="142" t="str">
        <f>IFERROR(__xludf.DUMMYFUNCTION("""COMPUTED_VALUE"""),"Sortudo 3")</f>
        <v>Sortudo 3</v>
      </c>
      <c r="D41" s="129">
        <f t="shared" si="2"/>
        <v>1</v>
      </c>
      <c r="E41" s="130">
        <f>if(C41="Detectar Segredo", SUMIF(C41,Habilidades!$A$11,D41) * SUMIF(C41,Habilidades!$A$11,Habilidades!$B$11), if(C41="Encontrar mágica", SUMIF(C41,Habilidades!$A$12,D41) * SUMIF(C41,Habilidades!$A$12,Habilidades!$B$12), if(C41="Cuidadoso 1", SUMIF(C41,Habilidades!$A$22,D41) * SUMIF(C41,Habilidades!$A$22,Habilidades!$B$22), if(C41="Cuidadoso 2", SUMIF(C41,Habilidades!$A$23,D55) * SUMIF(C41,Habilidades!$A$23,Habilidades!$B$23), if(C41="Cuidadoso 3", SUMIF(C41,Habilidades!$A$24,D41) * SUMIF(C41,Habilidades!$A$24,Habilidades!$B$24), if(C41="Ganancioso 1", SUMIF(C41,Habilidades!$A$25,D41) * SUMIF(C41,Habilidades!$A$25,Habilidades!$B$25), if(C41="Ganancioso 2", SUMIF(C41,Habilidades!$A$26,D41) * SUMIF(C41,Habilidades!$A$26,Habilidades!$B$26), if(C41="Ganancioso 3", SUMIF(C41,Habilidades!$A$27,D41) * SUMIF(C41,Habilidades!$A$27,Habilidades!$B$27), if(C41="Curandeiro 1", SUMIF(C41,Habilidades!$A$28,D41) * SUMIF(C41,Habilidades!$A$28,Habilidades!$B$28), if(C41="Curandeiro 2", SUMIF(C41,Habilidades!$A$29,D41) * SUMIF(C41,Habilidades!$A$29,Habilidades!$B$29), if(C41="Curandeiro 3", SUMIF(C41,Habilidades!$A$30,D41) * SUMIF(C41,Habilidades!$A$30,Habilidades!$B$30), if(C41="Sortudo 1", SUMIF(C41,Habilidades!$A$31,D41) * SUMIF(C41,Habilidades!$A$31,Habilidades!$B$31), if(C41="Sortudo 2", SUMIF(C41,Habilidades!$A$32,D41) * SUMIF(C41,Habilidades!$A$32,Habilidades!$B$32), if(C41="Sortudo 3", SUMIF(C41,Habilidades!$A$33,D41) * SUMIF(C41,Habilidades!$A$33,Habilidades!$B$33), if(C41="Protetor 1", SUMIF(C41,Habilidades!$A$34,D41) * SUMIF(C41,Habilidades!$A$34,Habilidades!$B$34), if(C41="Protetor 2", SUMIF(C41,Habilidades!$A$35,D41) * SUMIF(C41,Habilidades!$A$35,Habilidades!$B$35), if(C41="Protetor 3", SUMIF(C41,Habilidades!$A$36,D41) * SUMIF(C41,Habilidades!$A$36,Habilidades!$B$36), if(C41="Engenhoso 1", SUMIF(C41,Habilidades!$A$40,D41) * SUMIF(C41,Habilidades!$A$40,Habilidades!$B$40), if(C41="Engenhoso 2", SUMIF(C41,Habilidades!$A$41,D41) * SUMIF(C41,Habilidades!$A$41,Habilidades!$B$41), if(C41="Engenhoso 3", SUMIF(C41,Habilidades!$A$42,D41) * SUMIF(C41,Habilidades!$A$42,Habilidades!$B$42), if(C41="Reviver 1", SUMIF(C41,Habilidades!$A$43,D41) * SUMIF(C41,Habilidades!$A$43,Habilidades!$B$43), if(C41="Reviver 2", SUMIF(C41,Habilidades!$A$44,D41) * SUMIF(C41,Habilidades!$A$44,Habilidades!$B$44), if(C41="Reviver 3", SUMIF(C41,Habilidades!$A$45,D41) * SUMIF(C41,Habilidades!$A$45,Habilidades!$B$45), if(C41="Catador 1", SUMIF(C41,Habilidades!$A$46,D41) * SUMIF(C41,Habilidades!$A$46,Habilidades!$B$46), if(C41="Catador 2", SUMIF(C41,Habilidades!$A$47,D41) * SUMIF(C41,Habilidades!$A$47,Habilidades!$B$47), if(C41="Catador 3", SUMIF(C41,Habilidades!$A$48,D41) * SUMIF(C41,Habilidades!$A$48,Habilidades!$B$48), if(C41="Fornecedor 1", SUMIF(C41,Habilidades!$A$49,D41) * SUMIF(C41,Habilidades!$A$49,Habilidades!$B$49), if(C41="Fornecedor 2", SUMIF(C41,Habilidades!$A$50,D41) * SUMIF(C41,Habilidades!$A$50,Habilidades!$B$50), if(C41="Fornecedor 3", SUMIF(C41,Habilidades!$A$51,D41) * SUMIF(C41,Habilidades!$A$51,Habilidades!$B$51), if(C41="Suporte 1", SUMIF(C41,Habilidades!$A$52,D41) * SUMIF(C41,Habilidades!$A$52,Habilidades!$B$52), if(C41="Suporte 2", SUMIF(C41,Habilidades!$A$53,D41) * SUMIF(C41,Habilidades!$A$53,Habilidades!$B$53), if(C41="Suporte 3", SUMIF(C41,Habilidades!$A$54,D41) * SUMIF(C41,Habilidades!$A$54,Habilidades!$B$54), if(C41="Caça-tesouros 1", SUMIF(C41,Habilidades!$A$55,D41) * SUMIF(C41,Habilidades!$A$55,Habilidades!$B$55), if(C41="Caça-tesouros 2", SUMIF(C41,Habilidades!$A$56,D41) * SUMIF(C41,Habilidades!$A$56,Habilidades!$B$56), if(C41="Caça-tesouros 3", SUMIF(C41,Habilidades!$A$57,D41) * SUMIF(C41,Habilidades!$A$57,Habilidades!$B$57), if(C41="Velocista 1", SUMIF(C41,Habilidades!$A$77,D41) * SUMIF(C41,Habilidades!$A$77,Habilidades!$B$77), if(C41="Velocista 2", SUMIF(C41,Habilidades!$A$78,D41) * SUMIF(C41,Habilidades!$A$78,Habilidades!$B$78), if(C41="Velocista 3", SUMIF(C41,Habilidades!$A$79,D41) * SUMIF(C41,Habilidades!$A$79,Habilidades!$B$79), "-"))))))))))))))))))))))))))))))))))))))</f>
        <v>30</v>
      </c>
      <c r="F41" s="110"/>
      <c r="G41" s="137"/>
      <c r="H41" s="137"/>
      <c r="I41" s="137"/>
      <c r="J41" s="137"/>
      <c r="K41" s="137"/>
      <c r="L41" s="137"/>
      <c r="M41" s="110"/>
      <c r="N41" s="110"/>
    </row>
    <row r="42">
      <c r="A42" s="111"/>
      <c r="B42" s="110"/>
      <c r="C42" s="142" t="str">
        <f>IFERROR(__xludf.DUMMYFUNCTION("""COMPUTED_VALUE"""),"Suporte 1")</f>
        <v>Suporte 1</v>
      </c>
      <c r="D42" s="129">
        <f t="shared" si="2"/>
        <v>1</v>
      </c>
      <c r="E42" s="130">
        <f>if(C42="Detectar Segredo", SUMIF(C42,Habilidades!$A$11,D42) * SUMIF(C42,Habilidades!$A$11,Habilidades!$B$11), if(C42="Encontrar mágica", SUMIF(C42,Habilidades!$A$12,D42) * SUMIF(C42,Habilidades!$A$12,Habilidades!$B$12), if(C42="Cuidadoso 1", SUMIF(C42,Habilidades!$A$22,D42) * SUMIF(C42,Habilidades!$A$22,Habilidades!$B$22), if(C42="Cuidadoso 2", SUMIF(C42,Habilidades!$A$23,D56) * SUMIF(C42,Habilidades!$A$23,Habilidades!$B$23), if(C42="Cuidadoso 3", SUMIF(C42,Habilidades!$A$24,D42) * SUMIF(C42,Habilidades!$A$24,Habilidades!$B$24), if(C42="Ganancioso 1", SUMIF(C42,Habilidades!$A$25,D42) * SUMIF(C42,Habilidades!$A$25,Habilidades!$B$25), if(C42="Ganancioso 2", SUMIF(C42,Habilidades!$A$26,D42) * SUMIF(C42,Habilidades!$A$26,Habilidades!$B$26), if(C42="Ganancioso 3", SUMIF(C42,Habilidades!$A$27,D42) * SUMIF(C42,Habilidades!$A$27,Habilidades!$B$27), if(C42="Curandeiro 1", SUMIF(C42,Habilidades!$A$28,D42) * SUMIF(C42,Habilidades!$A$28,Habilidades!$B$28), if(C42="Curandeiro 2", SUMIF(C42,Habilidades!$A$29,D42) * SUMIF(C42,Habilidades!$A$29,Habilidades!$B$29), if(C42="Curandeiro 3", SUMIF(C42,Habilidades!$A$30,D42) * SUMIF(C42,Habilidades!$A$30,Habilidades!$B$30), if(C42="Sortudo 1", SUMIF(C42,Habilidades!$A$31,D42) * SUMIF(C42,Habilidades!$A$31,Habilidades!$B$31), if(C42="Sortudo 2", SUMIF(C42,Habilidades!$A$32,D42) * SUMIF(C42,Habilidades!$A$32,Habilidades!$B$32), if(C42="Sortudo 3", SUMIF(C42,Habilidades!$A$33,D42) * SUMIF(C42,Habilidades!$A$33,Habilidades!$B$33), if(C42="Protetor 1", SUMIF(C42,Habilidades!$A$34,D42) * SUMIF(C42,Habilidades!$A$34,Habilidades!$B$34), if(C42="Protetor 2", SUMIF(C42,Habilidades!$A$35,D42) * SUMIF(C42,Habilidades!$A$35,Habilidades!$B$35), if(C42="Protetor 3", SUMIF(C42,Habilidades!$A$36,D42) * SUMIF(C42,Habilidades!$A$36,Habilidades!$B$36), if(C42="Engenhoso 1", SUMIF(C42,Habilidades!$A$40,D42) * SUMIF(C42,Habilidades!$A$40,Habilidades!$B$40), if(C42="Engenhoso 2", SUMIF(C42,Habilidades!$A$41,D42) * SUMIF(C42,Habilidades!$A$41,Habilidades!$B$41), if(C42="Engenhoso 3", SUMIF(C42,Habilidades!$A$42,D42) * SUMIF(C42,Habilidades!$A$42,Habilidades!$B$42), if(C42="Reviver 1", SUMIF(C42,Habilidades!$A$43,D42) * SUMIF(C42,Habilidades!$A$43,Habilidades!$B$43), if(C42="Reviver 2", SUMIF(C42,Habilidades!$A$44,D42) * SUMIF(C42,Habilidades!$A$44,Habilidades!$B$44), if(C42="Reviver 3", SUMIF(C42,Habilidades!$A$45,D42) * SUMIF(C42,Habilidades!$A$45,Habilidades!$B$45), if(C42="Catador 1", SUMIF(C42,Habilidades!$A$46,D42) * SUMIF(C42,Habilidades!$A$46,Habilidades!$B$46), if(C42="Catador 2", SUMIF(C42,Habilidades!$A$47,D42) * SUMIF(C42,Habilidades!$A$47,Habilidades!$B$47), if(C42="Catador 3", SUMIF(C42,Habilidades!$A$48,D42) * SUMIF(C42,Habilidades!$A$48,Habilidades!$B$48), if(C42="Fornecedor 1", SUMIF(C42,Habilidades!$A$49,D42) * SUMIF(C42,Habilidades!$A$49,Habilidades!$B$49), if(C42="Fornecedor 2", SUMIF(C42,Habilidades!$A$50,D42) * SUMIF(C42,Habilidades!$A$50,Habilidades!$B$50), if(C42="Fornecedor 3", SUMIF(C42,Habilidades!$A$51,D42) * SUMIF(C42,Habilidades!$A$51,Habilidades!$B$51), if(C42="Suporte 1", SUMIF(C42,Habilidades!$A$52,D42) * SUMIF(C42,Habilidades!$A$52,Habilidades!$B$52), if(C42="Suporte 2", SUMIF(C42,Habilidades!$A$53,D42) * SUMIF(C42,Habilidades!$A$53,Habilidades!$B$53), if(C42="Suporte 3", SUMIF(C42,Habilidades!$A$54,D42) * SUMIF(C42,Habilidades!$A$54,Habilidades!$B$54), if(C42="Caça-tesouros 1", SUMIF(C42,Habilidades!$A$55,D42) * SUMIF(C42,Habilidades!$A$55,Habilidades!$B$55), if(C42="Caça-tesouros 2", SUMIF(C42,Habilidades!$A$56,D42) * SUMIF(C42,Habilidades!$A$56,Habilidades!$B$56), if(C42="Caça-tesouros 3", SUMIF(C42,Habilidades!$A$57,D42) * SUMIF(C42,Habilidades!$A$57,Habilidades!$B$57), if(C42="Velocista 1", SUMIF(C42,Habilidades!$A$77,D42) * SUMIF(C42,Habilidades!$A$77,Habilidades!$B$77), if(C42="Velocista 2", SUMIF(C42,Habilidades!$A$78,D42) * SUMIF(C42,Habilidades!$A$78,Habilidades!$B$78), if(C42="Velocista 3", SUMIF(C42,Habilidades!$A$79,D42) * SUMIF(C42,Habilidades!$A$79,Habilidades!$B$79), "-"))))))))))))))))))))))))))))))))))))))</f>
        <v>1</v>
      </c>
      <c r="F42" s="110"/>
      <c r="G42" s="137"/>
      <c r="H42" s="137"/>
      <c r="I42" s="137"/>
      <c r="J42" s="137"/>
      <c r="K42" s="137"/>
      <c r="L42" s="137"/>
      <c r="M42" s="110"/>
      <c r="N42" s="110"/>
    </row>
    <row r="43">
      <c r="A43" s="111"/>
      <c r="B43" s="110"/>
      <c r="C43" s="142" t="str">
        <f>IFERROR(__xludf.DUMMYFUNCTION("""COMPUTED_VALUE"""),"Suporte 2")</f>
        <v>Suporte 2</v>
      </c>
      <c r="D43" s="129">
        <f t="shared" si="2"/>
        <v>1</v>
      </c>
      <c r="E43" s="130">
        <f>if(C43="Detectar Segredo", SUMIF(C43,Habilidades!$A$11,D43) * SUMIF(C43,Habilidades!$A$11,Habilidades!$B$11), if(C43="Encontrar mágica", SUMIF(C43,Habilidades!$A$12,D43) * SUMIF(C43,Habilidades!$A$12,Habilidades!$B$12), if(C43="Cuidadoso 1", SUMIF(C43,Habilidades!$A$22,D43) * SUMIF(C43,Habilidades!$A$22,Habilidades!$B$22), if(C43="Cuidadoso 2", SUMIF(C43,Habilidades!$A$23,D57) * SUMIF(C43,Habilidades!$A$23,Habilidades!$B$23), if(C43="Cuidadoso 3", SUMIF(C43,Habilidades!$A$24,D43) * SUMIF(C43,Habilidades!$A$24,Habilidades!$B$24), if(C43="Ganancioso 1", SUMIF(C43,Habilidades!$A$25,D43) * SUMIF(C43,Habilidades!$A$25,Habilidades!$B$25), if(C43="Ganancioso 2", SUMIF(C43,Habilidades!$A$26,D43) * SUMIF(C43,Habilidades!$A$26,Habilidades!$B$26), if(C43="Ganancioso 3", SUMIF(C43,Habilidades!$A$27,D43) * SUMIF(C43,Habilidades!$A$27,Habilidades!$B$27), if(C43="Curandeiro 1", SUMIF(C43,Habilidades!$A$28,D43) * SUMIF(C43,Habilidades!$A$28,Habilidades!$B$28), if(C43="Curandeiro 2", SUMIF(C43,Habilidades!$A$29,D43) * SUMIF(C43,Habilidades!$A$29,Habilidades!$B$29), if(C43="Curandeiro 3", SUMIF(C43,Habilidades!$A$30,D43) * SUMIF(C43,Habilidades!$A$30,Habilidades!$B$30), if(C43="Sortudo 1", SUMIF(C43,Habilidades!$A$31,D43) * SUMIF(C43,Habilidades!$A$31,Habilidades!$B$31), if(C43="Sortudo 2", SUMIF(C43,Habilidades!$A$32,D43) * SUMIF(C43,Habilidades!$A$32,Habilidades!$B$32), if(C43="Sortudo 3", SUMIF(C43,Habilidades!$A$33,D43) * SUMIF(C43,Habilidades!$A$33,Habilidades!$B$33), if(C43="Protetor 1", SUMIF(C43,Habilidades!$A$34,D43) * SUMIF(C43,Habilidades!$A$34,Habilidades!$B$34), if(C43="Protetor 2", SUMIF(C43,Habilidades!$A$35,D43) * SUMIF(C43,Habilidades!$A$35,Habilidades!$B$35), if(C43="Protetor 3", SUMIF(C43,Habilidades!$A$36,D43) * SUMIF(C43,Habilidades!$A$36,Habilidades!$B$36), if(C43="Engenhoso 1", SUMIF(C43,Habilidades!$A$40,D43) * SUMIF(C43,Habilidades!$A$40,Habilidades!$B$40), if(C43="Engenhoso 2", SUMIF(C43,Habilidades!$A$41,D43) * SUMIF(C43,Habilidades!$A$41,Habilidades!$B$41), if(C43="Engenhoso 3", SUMIF(C43,Habilidades!$A$42,D43) * SUMIF(C43,Habilidades!$A$42,Habilidades!$B$42), if(C43="Reviver 1", SUMIF(C43,Habilidades!$A$43,D43) * SUMIF(C43,Habilidades!$A$43,Habilidades!$B$43), if(C43="Reviver 2", SUMIF(C43,Habilidades!$A$44,D43) * SUMIF(C43,Habilidades!$A$44,Habilidades!$B$44), if(C43="Reviver 3", SUMIF(C43,Habilidades!$A$45,D43) * SUMIF(C43,Habilidades!$A$45,Habilidades!$B$45), if(C43="Catador 1", SUMIF(C43,Habilidades!$A$46,D43) * SUMIF(C43,Habilidades!$A$46,Habilidades!$B$46), if(C43="Catador 2", SUMIF(C43,Habilidades!$A$47,D43) * SUMIF(C43,Habilidades!$A$47,Habilidades!$B$47), if(C43="Catador 3", SUMIF(C43,Habilidades!$A$48,D43) * SUMIF(C43,Habilidades!$A$48,Habilidades!$B$48), if(C43="Fornecedor 1", SUMIF(C43,Habilidades!$A$49,D43) * SUMIF(C43,Habilidades!$A$49,Habilidades!$B$49), if(C43="Fornecedor 2", SUMIF(C43,Habilidades!$A$50,D43) * SUMIF(C43,Habilidades!$A$50,Habilidades!$B$50), if(C43="Fornecedor 3", SUMIF(C43,Habilidades!$A$51,D43) * SUMIF(C43,Habilidades!$A$51,Habilidades!$B$51), if(C43="Suporte 1", SUMIF(C43,Habilidades!$A$52,D43) * SUMIF(C43,Habilidades!$A$52,Habilidades!$B$52), if(C43="Suporte 2", SUMIF(C43,Habilidades!$A$53,D43) * SUMIF(C43,Habilidades!$A$53,Habilidades!$B$53), if(C43="Suporte 3", SUMIF(C43,Habilidades!$A$54,D43) * SUMIF(C43,Habilidades!$A$54,Habilidades!$B$54), if(C43="Caça-tesouros 1", SUMIF(C43,Habilidades!$A$55,D43) * SUMIF(C43,Habilidades!$A$55,Habilidades!$B$55), if(C43="Caça-tesouros 2", SUMIF(C43,Habilidades!$A$56,D43) * SUMIF(C43,Habilidades!$A$56,Habilidades!$B$56), if(C43="Caça-tesouros 3", SUMIF(C43,Habilidades!$A$57,D43) * SUMIF(C43,Habilidades!$A$57,Habilidades!$B$57), if(C43="Velocista 1", SUMIF(C43,Habilidades!$A$77,D43) * SUMIF(C43,Habilidades!$A$77,Habilidades!$B$77), if(C43="Velocista 2", SUMIF(C43,Habilidades!$A$78,D43) * SUMIF(C43,Habilidades!$A$78,Habilidades!$B$78), if(C43="Velocista 3", SUMIF(C43,Habilidades!$A$79,D43) * SUMIF(C43,Habilidades!$A$79,Habilidades!$B$79), "-"))))))))))))))))))))))))))))))))))))))</f>
        <v>2</v>
      </c>
      <c r="F43" s="110"/>
      <c r="G43" s="137"/>
      <c r="H43" s="137"/>
      <c r="I43" s="137"/>
      <c r="J43" s="137"/>
      <c r="K43" s="137"/>
      <c r="L43" s="137"/>
      <c r="M43" s="110"/>
      <c r="N43" s="110"/>
    </row>
    <row r="44">
      <c r="A44" s="111"/>
      <c r="B44" s="110"/>
      <c r="C44" s="142" t="str">
        <f>IFERROR(__xludf.DUMMYFUNCTION("""COMPUTED_VALUE"""),"Velocista 3")</f>
        <v>Velocista 3</v>
      </c>
      <c r="D44" s="129">
        <f t="shared" si="2"/>
        <v>2</v>
      </c>
      <c r="E44" s="130">
        <f>if(C44="Detectar Segredo", SUMIF(C44,Habilidades!$A$11,D44) * SUMIF(C44,Habilidades!$A$11,Habilidades!$B$11), if(C44="Encontrar mágica", SUMIF(C44,Habilidades!$A$12,D44) * SUMIF(C44,Habilidades!$A$12,Habilidades!$B$12), if(C44="Cuidadoso 1", SUMIF(C44,Habilidades!$A$22,D44) * SUMIF(C44,Habilidades!$A$22,Habilidades!$B$22), if(C44="Cuidadoso 2", SUMIF(C44,Habilidades!$A$23,D58) * SUMIF(C44,Habilidades!$A$23,Habilidades!$B$23), if(C44="Cuidadoso 3", SUMIF(C44,Habilidades!$A$24,D44) * SUMIF(C44,Habilidades!$A$24,Habilidades!$B$24), if(C44="Ganancioso 1", SUMIF(C44,Habilidades!$A$25,D44) * SUMIF(C44,Habilidades!$A$25,Habilidades!$B$25), if(C44="Ganancioso 2", SUMIF(C44,Habilidades!$A$26,D44) * SUMIF(C44,Habilidades!$A$26,Habilidades!$B$26), if(C44="Ganancioso 3", SUMIF(C44,Habilidades!$A$27,D44) * SUMIF(C44,Habilidades!$A$27,Habilidades!$B$27), if(C44="Curandeiro 1", SUMIF(C44,Habilidades!$A$28,D44) * SUMIF(C44,Habilidades!$A$28,Habilidades!$B$28), if(C44="Curandeiro 2", SUMIF(C44,Habilidades!$A$29,D44) * SUMIF(C44,Habilidades!$A$29,Habilidades!$B$29), if(C44="Curandeiro 3", SUMIF(C44,Habilidades!$A$30,D44) * SUMIF(C44,Habilidades!$A$30,Habilidades!$B$30), if(C44="Sortudo 1", SUMIF(C44,Habilidades!$A$31,D44) * SUMIF(C44,Habilidades!$A$31,Habilidades!$B$31), if(C44="Sortudo 2", SUMIF(C44,Habilidades!$A$32,D44) * SUMIF(C44,Habilidades!$A$32,Habilidades!$B$32), if(C44="Sortudo 3", SUMIF(C44,Habilidades!$A$33,D44) * SUMIF(C44,Habilidades!$A$33,Habilidades!$B$33), if(C44="Protetor 1", SUMIF(C44,Habilidades!$A$34,D44) * SUMIF(C44,Habilidades!$A$34,Habilidades!$B$34), if(C44="Protetor 2", SUMIF(C44,Habilidades!$A$35,D44) * SUMIF(C44,Habilidades!$A$35,Habilidades!$B$35), if(C44="Protetor 3", SUMIF(C44,Habilidades!$A$36,D44) * SUMIF(C44,Habilidades!$A$36,Habilidades!$B$36), if(C44="Engenhoso 1", SUMIF(C44,Habilidades!$A$40,D44) * SUMIF(C44,Habilidades!$A$40,Habilidades!$B$40), if(C44="Engenhoso 2", SUMIF(C44,Habilidades!$A$41,D44) * SUMIF(C44,Habilidades!$A$41,Habilidades!$B$41), if(C44="Engenhoso 3", SUMIF(C44,Habilidades!$A$42,D44) * SUMIF(C44,Habilidades!$A$42,Habilidades!$B$42), if(C44="Reviver 1", SUMIF(C44,Habilidades!$A$43,D44) * SUMIF(C44,Habilidades!$A$43,Habilidades!$B$43), if(C44="Reviver 2", SUMIF(C44,Habilidades!$A$44,D44) * SUMIF(C44,Habilidades!$A$44,Habilidades!$B$44), if(C44="Reviver 3", SUMIF(C44,Habilidades!$A$45,D44) * SUMIF(C44,Habilidades!$A$45,Habilidades!$B$45), if(C44="Catador 1", SUMIF(C44,Habilidades!$A$46,D44) * SUMIF(C44,Habilidades!$A$46,Habilidades!$B$46), if(C44="Catador 2", SUMIF(C44,Habilidades!$A$47,D44) * SUMIF(C44,Habilidades!$A$47,Habilidades!$B$47), if(C44="Catador 3", SUMIF(C44,Habilidades!$A$48,D44) * SUMIF(C44,Habilidades!$A$48,Habilidades!$B$48), if(C44="Fornecedor 1", SUMIF(C44,Habilidades!$A$49,D44) * SUMIF(C44,Habilidades!$A$49,Habilidades!$B$49), if(C44="Fornecedor 2", SUMIF(C44,Habilidades!$A$50,D44) * SUMIF(C44,Habilidades!$A$50,Habilidades!$B$50), if(C44="Fornecedor 3", SUMIF(C44,Habilidades!$A$51,D44) * SUMIF(C44,Habilidades!$A$51,Habilidades!$B$51), if(C44="Suporte 1", SUMIF(C44,Habilidades!$A$52,D44) * SUMIF(C44,Habilidades!$A$52,Habilidades!$B$52), if(C44="Suporte 2", SUMIF(C44,Habilidades!$A$53,D44) * SUMIF(C44,Habilidades!$A$53,Habilidades!$B$53), if(C44="Suporte 3", SUMIF(C44,Habilidades!$A$54,D44) * SUMIF(C44,Habilidades!$A$54,Habilidades!$B$54), if(C44="Caça-tesouros 1", SUMIF(C44,Habilidades!$A$55,D44) * SUMIF(C44,Habilidades!$A$55,Habilidades!$B$55), if(C44="Caça-tesouros 2", SUMIF(C44,Habilidades!$A$56,D44) * SUMIF(C44,Habilidades!$A$56,Habilidades!$B$56), if(C44="Caça-tesouros 3", SUMIF(C44,Habilidades!$A$57,D44) * SUMIF(C44,Habilidades!$A$57,Habilidades!$B$57), if(C44="Velocista 1", SUMIF(C44,Habilidades!$A$77,D44) * SUMIF(C44,Habilidades!$A$77,Habilidades!$B$77), if(C44="Velocista 2", SUMIF(C44,Habilidades!$A$78,D44) * SUMIF(C44,Habilidades!$A$78,Habilidades!$B$78), if(C44="Velocista 3", SUMIF(C44,Habilidades!$A$79,D44) * SUMIF(C44,Habilidades!$A$79,Habilidades!$B$79), "-"))))))))))))))))))))))))))))))))))))))</f>
        <v>100</v>
      </c>
      <c r="F44" s="110"/>
      <c r="G44" s="110"/>
      <c r="H44" s="110"/>
      <c r="I44" s="110"/>
      <c r="J44" s="110"/>
      <c r="K44" s="110"/>
      <c r="L44" s="110"/>
      <c r="M44" s="110"/>
      <c r="N44" s="110"/>
    </row>
    <row r="45">
      <c r="A45" s="111"/>
      <c r="B45" s="110"/>
      <c r="C45" s="142"/>
      <c r="D45" s="129">
        <f t="shared" si="2"/>
        <v>0</v>
      </c>
      <c r="E45" s="130" t="str">
        <f>if(C45="Detectar Segredo", SUMIF(C45,Habilidades!$A$11,D45) * SUMIF(C45,Habilidades!$A$11,Habilidades!$B$11), if(C45="Encontrar mágica", SUMIF(C45,Habilidades!$A$12,D45) * SUMIF(C45,Habilidades!$A$12,Habilidades!$B$12), if(C45="Cuidadoso 1", SUMIF(C45,Habilidades!$A$22,D45) * SUMIF(C45,Habilidades!$A$22,Habilidades!$B$22), if(C45="Cuidadoso 2", SUMIF(C45,Habilidades!$A$23,D59) * SUMIF(C45,Habilidades!$A$23,Habilidades!$B$23), if(C45="Cuidadoso 3", SUMIF(C45,Habilidades!$A$24,D45) * SUMIF(C45,Habilidades!$A$24,Habilidades!$B$24), if(C45="Ganancioso 1", SUMIF(C45,Habilidades!$A$25,D45) * SUMIF(C45,Habilidades!$A$25,Habilidades!$B$25), if(C45="Ganancioso 2", SUMIF(C45,Habilidades!$A$26,D45) * SUMIF(C45,Habilidades!$A$26,Habilidades!$B$26), if(C45="Ganancioso 3", SUMIF(C45,Habilidades!$A$27,D45) * SUMIF(C45,Habilidades!$A$27,Habilidades!$B$27), if(C45="Curandeiro 1", SUMIF(C45,Habilidades!$A$28,D45) * SUMIF(C45,Habilidades!$A$28,Habilidades!$B$28), if(C45="Curandeiro 2", SUMIF(C45,Habilidades!$A$29,D45) * SUMIF(C45,Habilidades!$A$29,Habilidades!$B$29), if(C45="Curandeiro 3", SUMIF(C45,Habilidades!$A$30,D45) * SUMIF(C45,Habilidades!$A$30,Habilidades!$B$30), if(C45="Sortudo 1", SUMIF(C45,Habilidades!$A$31,D45) * SUMIF(C45,Habilidades!$A$31,Habilidades!$B$31), if(C45="Sortudo 2", SUMIF(C45,Habilidades!$A$32,D45) * SUMIF(C45,Habilidades!$A$32,Habilidades!$B$32), if(C45="Sortudo 3", SUMIF(C45,Habilidades!$A$33,D45) * SUMIF(C45,Habilidades!$A$33,Habilidades!$B$33), if(C45="Protetor 1", SUMIF(C45,Habilidades!$A$34,D45) * SUMIF(C45,Habilidades!$A$34,Habilidades!$B$34), if(C45="Protetor 2", SUMIF(C45,Habilidades!$A$35,D45) * SUMIF(C45,Habilidades!$A$35,Habilidades!$B$35), if(C45="Protetor 3", SUMIF(C45,Habilidades!$A$36,D45) * SUMIF(C45,Habilidades!$A$36,Habilidades!$B$36), if(C45="Engenhoso 1", SUMIF(C45,Habilidades!$A$40,D45) * SUMIF(C45,Habilidades!$A$40,Habilidades!$B$40), if(C45="Engenhoso 2", SUMIF(C45,Habilidades!$A$41,D45) * SUMIF(C45,Habilidades!$A$41,Habilidades!$B$41), if(C45="Engenhoso 3", SUMIF(C45,Habilidades!$A$42,D45) * SUMIF(C45,Habilidades!$A$42,Habilidades!$B$42), if(C45="Reviver 1", SUMIF(C45,Habilidades!$A$43,D45) * SUMIF(C45,Habilidades!$A$43,Habilidades!$B$43), if(C45="Reviver 2", SUMIF(C45,Habilidades!$A$44,D45) * SUMIF(C45,Habilidades!$A$44,Habilidades!$B$44), if(C45="Reviver 3", SUMIF(C45,Habilidades!$A$45,D45) * SUMIF(C45,Habilidades!$A$45,Habilidades!$B$45), if(C45="Catador 1", SUMIF(C45,Habilidades!$A$46,D45) * SUMIF(C45,Habilidades!$A$46,Habilidades!$B$46), if(C45="Catador 2", SUMIF(C45,Habilidades!$A$47,D45) * SUMIF(C45,Habilidades!$A$47,Habilidades!$B$47), if(C45="Catador 3", SUMIF(C45,Habilidades!$A$48,D45) * SUMIF(C45,Habilidades!$A$48,Habilidades!$B$48), if(C45="Fornecedor 1", SUMIF(C45,Habilidades!$A$49,D45) * SUMIF(C45,Habilidades!$A$49,Habilidades!$B$49), if(C45="Fornecedor 2", SUMIF(C45,Habilidades!$A$50,D45) * SUMIF(C45,Habilidades!$A$50,Habilidades!$B$50), if(C45="Fornecedor 3", SUMIF(C45,Habilidades!$A$51,D45) * SUMIF(C45,Habilidades!$A$51,Habilidades!$B$51), if(C45="Suporte 1", SUMIF(C45,Habilidades!$A$52,D45) * SUMIF(C45,Habilidades!$A$52,Habilidades!$B$52), if(C45="Suporte 2", SUMIF(C45,Habilidades!$A$53,D45) * SUMIF(C45,Habilidades!$A$53,Habilidades!$B$53), if(C45="Suporte 3", SUMIF(C45,Habilidades!$A$54,D45) * SUMIF(C45,Habilidades!$A$54,Habilidades!$B$54), if(C45="Caça-tesouros 1", SUMIF(C45,Habilidades!$A$55,D45) * SUMIF(C45,Habilidades!$A$55,Habilidades!$B$55), if(C45="Caça-tesouros 2", SUMIF(C45,Habilidades!$A$56,D45) * SUMIF(C45,Habilidades!$A$56,Habilidades!$B$56), if(C45="Caça-tesouros 3", SUMIF(C45,Habilidades!$A$57,D45) * SUMIF(C45,Habilidades!$A$57,Habilidades!$B$57), if(C45="Velocista 1", SUMIF(C45,Habilidades!$A$77,D45) * SUMIF(C45,Habilidades!$A$77,Habilidades!$B$77), if(C45="Velocista 2", SUMIF(C45,Habilidades!$A$78,D45) * SUMIF(C45,Habilidades!$A$78,Habilidades!$B$78), if(C45="Velocista 3", SUMIF(C45,Habilidades!$A$79,D45) * SUMIF(C45,Habilidades!$A$79,Habilidades!$B$79), "-"))))))))))))))))))))))))))))))))))))))</f>
        <v>-</v>
      </c>
      <c r="F45" s="110"/>
      <c r="G45" s="110"/>
      <c r="H45" s="110"/>
      <c r="I45" s="110"/>
      <c r="J45" s="110"/>
      <c r="K45" s="110"/>
      <c r="L45" s="110"/>
      <c r="M45" s="110"/>
      <c r="N45" s="110"/>
    </row>
    <row r="46">
      <c r="A46" s="111"/>
      <c r="B46" s="110"/>
      <c r="C46" s="142"/>
      <c r="D46" s="129">
        <f t="shared" si="2"/>
        <v>0</v>
      </c>
      <c r="E46" s="130" t="str">
        <f>if(C46="Detectar Segredo", SUMIF(C46,Habilidades!$A$11,D46) * SUMIF(C46,Habilidades!$A$11,Habilidades!$B$11), if(C46="Encontrar mágica", SUMIF(C46,Habilidades!$A$12,D46) * SUMIF(C46,Habilidades!$A$12,Habilidades!$B$12), if(C46="Cuidadoso 1", SUMIF(C46,Habilidades!$A$22,D46) * SUMIF(C46,Habilidades!$A$22,Habilidades!$B$22), if(C46="Cuidadoso 2", SUMIF(C46,Habilidades!$A$23,D60) * SUMIF(C46,Habilidades!$A$23,Habilidades!$B$23), if(C46="Cuidadoso 3", SUMIF(C46,Habilidades!$A$24,D46) * SUMIF(C46,Habilidades!$A$24,Habilidades!$B$24), if(C46="Ganancioso 1", SUMIF(C46,Habilidades!$A$25,D46) * SUMIF(C46,Habilidades!$A$25,Habilidades!$B$25), if(C46="Ganancioso 2", SUMIF(C46,Habilidades!$A$26,D46) * SUMIF(C46,Habilidades!$A$26,Habilidades!$B$26), if(C46="Ganancioso 3", SUMIF(C46,Habilidades!$A$27,D46) * SUMIF(C46,Habilidades!$A$27,Habilidades!$B$27), if(C46="Curandeiro 1", SUMIF(C46,Habilidades!$A$28,D46) * SUMIF(C46,Habilidades!$A$28,Habilidades!$B$28), if(C46="Curandeiro 2", SUMIF(C46,Habilidades!$A$29,D46) * SUMIF(C46,Habilidades!$A$29,Habilidades!$B$29), if(C46="Curandeiro 3", SUMIF(C46,Habilidades!$A$30,D46) * SUMIF(C46,Habilidades!$A$30,Habilidades!$B$30), if(C46="Sortudo 1", SUMIF(C46,Habilidades!$A$31,D46) * SUMIF(C46,Habilidades!$A$31,Habilidades!$B$31), if(C46="Sortudo 2", SUMIF(C46,Habilidades!$A$32,D46) * SUMIF(C46,Habilidades!$A$32,Habilidades!$B$32), if(C46="Sortudo 3", SUMIF(C46,Habilidades!$A$33,D46) * SUMIF(C46,Habilidades!$A$33,Habilidades!$B$33), if(C46="Protetor 1", SUMIF(C46,Habilidades!$A$34,D46) * SUMIF(C46,Habilidades!$A$34,Habilidades!$B$34), if(C46="Protetor 2", SUMIF(C46,Habilidades!$A$35,D46) * SUMIF(C46,Habilidades!$A$35,Habilidades!$B$35), if(C46="Protetor 3", SUMIF(C46,Habilidades!$A$36,D46) * SUMIF(C46,Habilidades!$A$36,Habilidades!$B$36), if(C46="Engenhoso 1", SUMIF(C46,Habilidades!$A$40,D46) * SUMIF(C46,Habilidades!$A$40,Habilidades!$B$40), if(C46="Engenhoso 2", SUMIF(C46,Habilidades!$A$41,D46) * SUMIF(C46,Habilidades!$A$41,Habilidades!$B$41), if(C46="Engenhoso 3", SUMIF(C46,Habilidades!$A$42,D46) * SUMIF(C46,Habilidades!$A$42,Habilidades!$B$42), if(C46="Reviver 1", SUMIF(C46,Habilidades!$A$43,D46) * SUMIF(C46,Habilidades!$A$43,Habilidades!$B$43), if(C46="Reviver 2", SUMIF(C46,Habilidades!$A$44,D46) * SUMIF(C46,Habilidades!$A$44,Habilidades!$B$44), if(C46="Reviver 3", SUMIF(C46,Habilidades!$A$45,D46) * SUMIF(C46,Habilidades!$A$45,Habilidades!$B$45), if(C46="Catador 1", SUMIF(C46,Habilidades!$A$46,D46) * SUMIF(C46,Habilidades!$A$46,Habilidades!$B$46), if(C46="Catador 2", SUMIF(C46,Habilidades!$A$47,D46) * SUMIF(C46,Habilidades!$A$47,Habilidades!$B$47), if(C46="Catador 3", SUMIF(C46,Habilidades!$A$48,D46) * SUMIF(C46,Habilidades!$A$48,Habilidades!$B$48), if(C46="Fornecedor 1", SUMIF(C46,Habilidades!$A$49,D46) * SUMIF(C46,Habilidades!$A$49,Habilidades!$B$49), if(C46="Fornecedor 2", SUMIF(C46,Habilidades!$A$50,D46) * SUMIF(C46,Habilidades!$A$50,Habilidades!$B$50), if(C46="Fornecedor 3", SUMIF(C46,Habilidades!$A$51,D46) * SUMIF(C46,Habilidades!$A$51,Habilidades!$B$51), if(C46="Suporte 1", SUMIF(C46,Habilidades!$A$52,D46) * SUMIF(C46,Habilidades!$A$52,Habilidades!$B$52), if(C46="Suporte 2", SUMIF(C46,Habilidades!$A$53,D46) * SUMIF(C46,Habilidades!$A$53,Habilidades!$B$53), if(C46="Suporte 3", SUMIF(C46,Habilidades!$A$54,D46) * SUMIF(C46,Habilidades!$A$54,Habilidades!$B$54), if(C46="Caça-tesouros 1", SUMIF(C46,Habilidades!$A$55,D46) * SUMIF(C46,Habilidades!$A$55,Habilidades!$B$55), if(C46="Caça-tesouros 2", SUMIF(C46,Habilidades!$A$56,D46) * SUMIF(C46,Habilidades!$A$56,Habilidades!$B$56), if(C46="Caça-tesouros 3", SUMIF(C46,Habilidades!$A$57,D46) * SUMIF(C46,Habilidades!$A$57,Habilidades!$B$57), if(C46="Velocista 1", SUMIF(C46,Habilidades!$A$77,D46) * SUMIF(C46,Habilidades!$A$77,Habilidades!$B$77), if(C46="Velocista 2", SUMIF(C46,Habilidades!$A$78,D46) * SUMIF(C46,Habilidades!$A$78,Habilidades!$B$78), if(C46="Velocista 3", SUMIF(C46,Habilidades!$A$79,D46) * SUMIF(C46,Habilidades!$A$79,Habilidades!$B$79), "-"))))))))))))))))))))))))))))))))))))))</f>
        <v>-</v>
      </c>
      <c r="F46" s="110"/>
      <c r="G46" s="110"/>
      <c r="H46" s="110"/>
      <c r="I46" s="110"/>
      <c r="J46" s="110"/>
      <c r="K46" s="110"/>
      <c r="L46" s="110"/>
      <c r="M46" s="110"/>
      <c r="N46" s="110"/>
    </row>
    <row r="47">
      <c r="A47" s="111"/>
      <c r="B47" s="110"/>
      <c r="C47" s="142"/>
      <c r="D47" s="129">
        <f t="shared" si="2"/>
        <v>0</v>
      </c>
      <c r="E47" s="130" t="str">
        <f>if(C47="Detectar Segredo", SUMIF(C47,Habilidades!$A$11,D47) * SUMIF(C47,Habilidades!$A$11,Habilidades!$B$11), if(C47="Encontrar mágica", SUMIF(C47,Habilidades!$A$12,D47) * SUMIF(C47,Habilidades!$A$12,Habilidades!$B$12), if(C47="Cuidadoso 1", SUMIF(C47,Habilidades!$A$22,D47) * SUMIF(C47,Habilidades!$A$22,Habilidades!$B$22), if(C47="Cuidadoso 2", SUMIF(C47,Habilidades!$A$23,D61) * SUMIF(C47,Habilidades!$A$23,Habilidades!$B$23), if(C47="Cuidadoso 3", SUMIF(C47,Habilidades!$A$24,D47) * SUMIF(C47,Habilidades!$A$24,Habilidades!$B$24), if(C47="Ganancioso 1", SUMIF(C47,Habilidades!$A$25,D47) * SUMIF(C47,Habilidades!$A$25,Habilidades!$B$25), if(C47="Ganancioso 2", SUMIF(C47,Habilidades!$A$26,D47) * SUMIF(C47,Habilidades!$A$26,Habilidades!$B$26), if(C47="Ganancioso 3", SUMIF(C47,Habilidades!$A$27,D47) * SUMIF(C47,Habilidades!$A$27,Habilidades!$B$27), if(C47="Curandeiro 1", SUMIF(C47,Habilidades!$A$28,D47) * SUMIF(C47,Habilidades!$A$28,Habilidades!$B$28), if(C47="Curandeiro 2", SUMIF(C47,Habilidades!$A$29,D47) * SUMIF(C47,Habilidades!$A$29,Habilidades!$B$29), if(C47="Curandeiro 3", SUMIF(C47,Habilidades!$A$30,D47) * SUMIF(C47,Habilidades!$A$30,Habilidades!$B$30), if(C47="Sortudo 1", SUMIF(C47,Habilidades!$A$31,D47) * SUMIF(C47,Habilidades!$A$31,Habilidades!$B$31), if(C47="Sortudo 2", SUMIF(C47,Habilidades!$A$32,D47) * SUMIF(C47,Habilidades!$A$32,Habilidades!$B$32), if(C47="Sortudo 3", SUMIF(C47,Habilidades!$A$33,D47) * SUMIF(C47,Habilidades!$A$33,Habilidades!$B$33), if(C47="Protetor 1", SUMIF(C47,Habilidades!$A$34,D47) * SUMIF(C47,Habilidades!$A$34,Habilidades!$B$34), if(C47="Protetor 2", SUMIF(C47,Habilidades!$A$35,D47) * SUMIF(C47,Habilidades!$A$35,Habilidades!$B$35), if(C47="Protetor 3", SUMIF(C47,Habilidades!$A$36,D47) * SUMIF(C47,Habilidades!$A$36,Habilidades!$B$36), if(C47="Engenhoso 1", SUMIF(C47,Habilidades!$A$40,D47) * SUMIF(C47,Habilidades!$A$40,Habilidades!$B$40), if(C47="Engenhoso 2", SUMIF(C47,Habilidades!$A$41,D47) * SUMIF(C47,Habilidades!$A$41,Habilidades!$B$41), if(C47="Engenhoso 3", SUMIF(C47,Habilidades!$A$42,D47) * SUMIF(C47,Habilidades!$A$42,Habilidades!$B$42), if(C47="Reviver 1", SUMIF(C47,Habilidades!$A$43,D47) * SUMIF(C47,Habilidades!$A$43,Habilidades!$B$43), if(C47="Reviver 2", SUMIF(C47,Habilidades!$A$44,D47) * SUMIF(C47,Habilidades!$A$44,Habilidades!$B$44), if(C47="Reviver 3", SUMIF(C47,Habilidades!$A$45,D47) * SUMIF(C47,Habilidades!$A$45,Habilidades!$B$45), if(C47="Catador 1", SUMIF(C47,Habilidades!$A$46,D47) * SUMIF(C47,Habilidades!$A$46,Habilidades!$B$46), if(C47="Catador 2", SUMIF(C47,Habilidades!$A$47,D47) * SUMIF(C47,Habilidades!$A$47,Habilidades!$B$47), if(C47="Catador 3", SUMIF(C47,Habilidades!$A$48,D47) * SUMIF(C47,Habilidades!$A$48,Habilidades!$B$48), if(C47="Fornecedor 1", SUMIF(C47,Habilidades!$A$49,D47) * SUMIF(C47,Habilidades!$A$49,Habilidades!$B$49), if(C47="Fornecedor 2", SUMIF(C47,Habilidades!$A$50,D47) * SUMIF(C47,Habilidades!$A$50,Habilidades!$B$50), if(C47="Fornecedor 3", SUMIF(C47,Habilidades!$A$51,D47) * SUMIF(C47,Habilidades!$A$51,Habilidades!$B$51), if(C47="Suporte 1", SUMIF(C47,Habilidades!$A$52,D47) * SUMIF(C47,Habilidades!$A$52,Habilidades!$B$52), if(C47="Suporte 2", SUMIF(C47,Habilidades!$A$53,D47) * SUMIF(C47,Habilidades!$A$53,Habilidades!$B$53), if(C47="Suporte 3", SUMIF(C47,Habilidades!$A$54,D47) * SUMIF(C47,Habilidades!$A$54,Habilidades!$B$54), if(C47="Caça-tesouros 1", SUMIF(C47,Habilidades!$A$55,D47) * SUMIF(C47,Habilidades!$A$55,Habilidades!$B$55), if(C47="Caça-tesouros 2", SUMIF(C47,Habilidades!$A$56,D47) * SUMIF(C47,Habilidades!$A$56,Habilidades!$B$56), if(C47="Caça-tesouros 3", SUMIF(C47,Habilidades!$A$57,D47) * SUMIF(C47,Habilidades!$A$57,Habilidades!$B$57), if(C47="Velocista 1", SUMIF(C47,Habilidades!$A$77,D47) * SUMIF(C47,Habilidades!$A$77,Habilidades!$B$77), if(C47="Velocista 2", SUMIF(C47,Habilidades!$A$78,D47) * SUMIF(C47,Habilidades!$A$78,Habilidades!$B$78), if(C47="Velocista 3", SUMIF(C47,Habilidades!$A$79,D47) * SUMIF(C47,Habilidades!$A$79,Habilidades!$B$79), "-"))))))))))))))))))))))))))))))))))))))</f>
        <v>-</v>
      </c>
      <c r="F47" s="110"/>
      <c r="G47" s="110"/>
      <c r="H47" s="110"/>
      <c r="I47" s="110"/>
      <c r="J47" s="110"/>
      <c r="K47" s="110"/>
      <c r="L47" s="110"/>
      <c r="M47" s="110"/>
      <c r="N47" s="110"/>
    </row>
    <row r="48">
      <c r="A48" s="111"/>
      <c r="B48" s="110"/>
      <c r="C48" s="142"/>
      <c r="D48" s="129">
        <f t="shared" si="2"/>
        <v>0</v>
      </c>
      <c r="E48" s="130" t="str">
        <f>if(C48="Detectar Segredo", SUMIF(C48,Habilidades!$A$11,D48) * SUMIF(C48,Habilidades!$A$11,Habilidades!$B$11), if(C48="Encontrar mágica", SUMIF(C48,Habilidades!$A$12,D48) * SUMIF(C48,Habilidades!$A$12,Habilidades!$B$12), if(C48="Cuidadoso 1", SUMIF(C48,Habilidades!$A$22,D48) * SUMIF(C48,Habilidades!$A$22,Habilidades!$B$22), if(C48="Cuidadoso 2", SUMIF(C48,Habilidades!$A$23,D62) * SUMIF(C48,Habilidades!$A$23,Habilidades!$B$23), if(C48="Cuidadoso 3", SUMIF(C48,Habilidades!$A$24,D48) * SUMIF(C48,Habilidades!$A$24,Habilidades!$B$24), if(C48="Ganancioso 1", SUMIF(C48,Habilidades!$A$25,D48) * SUMIF(C48,Habilidades!$A$25,Habilidades!$B$25), if(C48="Ganancioso 2", SUMIF(C48,Habilidades!$A$26,D48) * SUMIF(C48,Habilidades!$A$26,Habilidades!$B$26), if(C48="Ganancioso 3", SUMIF(C48,Habilidades!$A$27,D48) * SUMIF(C48,Habilidades!$A$27,Habilidades!$B$27), if(C48="Curandeiro 1", SUMIF(C48,Habilidades!$A$28,D48) * SUMIF(C48,Habilidades!$A$28,Habilidades!$B$28), if(C48="Curandeiro 2", SUMIF(C48,Habilidades!$A$29,D48) * SUMIF(C48,Habilidades!$A$29,Habilidades!$B$29), if(C48="Curandeiro 3", SUMIF(C48,Habilidades!$A$30,D48) * SUMIF(C48,Habilidades!$A$30,Habilidades!$B$30), if(C48="Sortudo 1", SUMIF(C48,Habilidades!$A$31,D48) * SUMIF(C48,Habilidades!$A$31,Habilidades!$B$31), if(C48="Sortudo 2", SUMIF(C48,Habilidades!$A$32,D48) * SUMIF(C48,Habilidades!$A$32,Habilidades!$B$32), if(C48="Sortudo 3", SUMIF(C48,Habilidades!$A$33,D48) * SUMIF(C48,Habilidades!$A$33,Habilidades!$B$33), if(C48="Protetor 1", SUMIF(C48,Habilidades!$A$34,D48) * SUMIF(C48,Habilidades!$A$34,Habilidades!$B$34), if(C48="Protetor 2", SUMIF(C48,Habilidades!$A$35,D48) * SUMIF(C48,Habilidades!$A$35,Habilidades!$B$35), if(C48="Protetor 3", SUMIF(C48,Habilidades!$A$36,D48) * SUMIF(C48,Habilidades!$A$36,Habilidades!$B$36), if(C48="Engenhoso 1", SUMIF(C48,Habilidades!$A$40,D48) * SUMIF(C48,Habilidades!$A$40,Habilidades!$B$40), if(C48="Engenhoso 2", SUMIF(C48,Habilidades!$A$41,D48) * SUMIF(C48,Habilidades!$A$41,Habilidades!$B$41), if(C48="Engenhoso 3", SUMIF(C48,Habilidades!$A$42,D48) * SUMIF(C48,Habilidades!$A$42,Habilidades!$B$42), if(C48="Reviver 1", SUMIF(C48,Habilidades!$A$43,D48) * SUMIF(C48,Habilidades!$A$43,Habilidades!$B$43), if(C48="Reviver 2", SUMIF(C48,Habilidades!$A$44,D48) * SUMIF(C48,Habilidades!$A$44,Habilidades!$B$44), if(C48="Reviver 3", SUMIF(C48,Habilidades!$A$45,D48) * SUMIF(C48,Habilidades!$A$45,Habilidades!$B$45), if(C48="Catador 1", SUMIF(C48,Habilidades!$A$46,D48) * SUMIF(C48,Habilidades!$A$46,Habilidades!$B$46), if(C48="Catador 2", SUMIF(C48,Habilidades!$A$47,D48) * SUMIF(C48,Habilidades!$A$47,Habilidades!$B$47), if(C48="Catador 3", SUMIF(C48,Habilidades!$A$48,D48) * SUMIF(C48,Habilidades!$A$48,Habilidades!$B$48), if(C48="Fornecedor 1", SUMIF(C48,Habilidades!$A$49,D48) * SUMIF(C48,Habilidades!$A$49,Habilidades!$B$49), if(C48="Fornecedor 2", SUMIF(C48,Habilidades!$A$50,D48) * SUMIF(C48,Habilidades!$A$50,Habilidades!$B$50), if(C48="Fornecedor 3", SUMIF(C48,Habilidades!$A$51,D48) * SUMIF(C48,Habilidades!$A$51,Habilidades!$B$51), if(C48="Suporte 1", SUMIF(C48,Habilidades!$A$52,D48) * SUMIF(C48,Habilidades!$A$52,Habilidades!$B$52), if(C48="Suporte 2", SUMIF(C48,Habilidades!$A$53,D48) * SUMIF(C48,Habilidades!$A$53,Habilidades!$B$53), if(C48="Suporte 3", SUMIF(C48,Habilidades!$A$54,D48) * SUMIF(C48,Habilidades!$A$54,Habilidades!$B$54), if(C48="Caça-tesouros 1", SUMIF(C48,Habilidades!$A$55,D48) * SUMIF(C48,Habilidades!$A$55,Habilidades!$B$55), if(C48="Caça-tesouros 2", SUMIF(C48,Habilidades!$A$56,D48) * SUMIF(C48,Habilidades!$A$56,Habilidades!$B$56), if(C48="Caça-tesouros 3", SUMIF(C48,Habilidades!$A$57,D48) * SUMIF(C48,Habilidades!$A$57,Habilidades!$B$57), if(C48="Velocista 1", SUMIF(C48,Habilidades!$A$77,D48) * SUMIF(C48,Habilidades!$A$77,Habilidades!$B$77), if(C48="Velocista 2", SUMIF(C48,Habilidades!$A$78,D48) * SUMIF(C48,Habilidades!$A$78,Habilidades!$B$78), if(C48="Velocista 3", SUMIF(C48,Habilidades!$A$79,D48) * SUMIF(C48,Habilidades!$A$79,Habilidades!$B$79), "-"))))))))))))))))))))))))))))))))))))))</f>
        <v>-</v>
      </c>
      <c r="F48" s="110"/>
      <c r="G48" s="110"/>
      <c r="H48" s="110"/>
      <c r="I48" s="110"/>
      <c r="J48" s="110"/>
      <c r="K48" s="110"/>
      <c r="L48" s="110"/>
      <c r="M48" s="110"/>
      <c r="N48" s="110"/>
    </row>
    <row r="49">
      <c r="A49" s="111"/>
      <c r="B49" s="110"/>
      <c r="C49" s="142"/>
      <c r="D49" s="129">
        <f t="shared" si="2"/>
        <v>0</v>
      </c>
      <c r="E49" s="130" t="str">
        <f>if(C49="Detectar Segredo", SUMIF(C49,Habilidades!$A$11,D49) * SUMIF(C49,Habilidades!$A$11,Habilidades!$B$11), if(C49="Encontrar mágica", SUMIF(C49,Habilidades!$A$12,D49) * SUMIF(C49,Habilidades!$A$12,Habilidades!$B$12), if(C49="Cuidadoso 1", SUMIF(C49,Habilidades!$A$22,D49) * SUMIF(C49,Habilidades!$A$22,Habilidades!$B$22), if(C49="Cuidadoso 2", SUMIF(C49,Habilidades!$A$23,D63) * SUMIF(C49,Habilidades!$A$23,Habilidades!$B$23), if(C49="Cuidadoso 3", SUMIF(C49,Habilidades!$A$24,D49) * SUMIF(C49,Habilidades!$A$24,Habilidades!$B$24), if(C49="Ganancioso 1", SUMIF(C49,Habilidades!$A$25,D49) * SUMIF(C49,Habilidades!$A$25,Habilidades!$B$25), if(C49="Ganancioso 2", SUMIF(C49,Habilidades!$A$26,D49) * SUMIF(C49,Habilidades!$A$26,Habilidades!$B$26), if(C49="Ganancioso 3", SUMIF(C49,Habilidades!$A$27,D49) * SUMIF(C49,Habilidades!$A$27,Habilidades!$B$27), if(C49="Curandeiro 1", SUMIF(C49,Habilidades!$A$28,D49) * SUMIF(C49,Habilidades!$A$28,Habilidades!$B$28), if(C49="Curandeiro 2", SUMIF(C49,Habilidades!$A$29,D49) * SUMIF(C49,Habilidades!$A$29,Habilidades!$B$29), if(C49="Curandeiro 3", SUMIF(C49,Habilidades!$A$30,D49) * SUMIF(C49,Habilidades!$A$30,Habilidades!$B$30), if(C49="Sortudo 1", SUMIF(C49,Habilidades!$A$31,D49) * SUMIF(C49,Habilidades!$A$31,Habilidades!$B$31), if(C49="Sortudo 2", SUMIF(C49,Habilidades!$A$32,D49) * SUMIF(C49,Habilidades!$A$32,Habilidades!$B$32), if(C49="Sortudo 3", SUMIF(C49,Habilidades!$A$33,D49) * SUMIF(C49,Habilidades!$A$33,Habilidades!$B$33), if(C49="Protetor 1", SUMIF(C49,Habilidades!$A$34,D49) * SUMIF(C49,Habilidades!$A$34,Habilidades!$B$34), if(C49="Protetor 2", SUMIF(C49,Habilidades!$A$35,D49) * SUMIF(C49,Habilidades!$A$35,Habilidades!$B$35), if(C49="Protetor 3", SUMIF(C49,Habilidades!$A$36,D49) * SUMIF(C49,Habilidades!$A$36,Habilidades!$B$36), if(C49="Engenhoso 1", SUMIF(C49,Habilidades!$A$40,D49) * SUMIF(C49,Habilidades!$A$40,Habilidades!$B$40), if(C49="Engenhoso 2", SUMIF(C49,Habilidades!$A$41,D49) * SUMIF(C49,Habilidades!$A$41,Habilidades!$B$41), if(C49="Engenhoso 3", SUMIF(C49,Habilidades!$A$42,D49) * SUMIF(C49,Habilidades!$A$42,Habilidades!$B$42), if(C49="Reviver 1", SUMIF(C49,Habilidades!$A$43,D49) * SUMIF(C49,Habilidades!$A$43,Habilidades!$B$43), if(C49="Reviver 2", SUMIF(C49,Habilidades!$A$44,D49) * SUMIF(C49,Habilidades!$A$44,Habilidades!$B$44), if(C49="Reviver 3", SUMIF(C49,Habilidades!$A$45,D49) * SUMIF(C49,Habilidades!$A$45,Habilidades!$B$45), if(C49="Catador 1", SUMIF(C49,Habilidades!$A$46,D49) * SUMIF(C49,Habilidades!$A$46,Habilidades!$B$46), if(C49="Catador 2", SUMIF(C49,Habilidades!$A$47,D49) * SUMIF(C49,Habilidades!$A$47,Habilidades!$B$47), if(C49="Catador 3", SUMIF(C49,Habilidades!$A$48,D49) * SUMIF(C49,Habilidades!$A$48,Habilidades!$B$48), if(C49="Fornecedor 1", SUMIF(C49,Habilidades!$A$49,D49) * SUMIF(C49,Habilidades!$A$49,Habilidades!$B$49), if(C49="Fornecedor 2", SUMIF(C49,Habilidades!$A$50,D49) * SUMIF(C49,Habilidades!$A$50,Habilidades!$B$50), if(C49="Fornecedor 3", SUMIF(C49,Habilidades!$A$51,D49) * SUMIF(C49,Habilidades!$A$51,Habilidades!$B$51), if(C49="Suporte 1", SUMIF(C49,Habilidades!$A$52,D49) * SUMIF(C49,Habilidades!$A$52,Habilidades!$B$52), if(C49="Suporte 2", SUMIF(C49,Habilidades!$A$53,D49) * SUMIF(C49,Habilidades!$A$53,Habilidades!$B$53), if(C49="Suporte 3", SUMIF(C49,Habilidades!$A$54,D49) * SUMIF(C49,Habilidades!$A$54,Habilidades!$B$54), if(C49="Caça-tesouros 1", SUMIF(C49,Habilidades!$A$55,D49) * SUMIF(C49,Habilidades!$A$55,Habilidades!$B$55), if(C49="Caça-tesouros 2", SUMIF(C49,Habilidades!$A$56,D49) * SUMIF(C49,Habilidades!$A$56,Habilidades!$B$56), if(C49="Caça-tesouros 3", SUMIF(C49,Habilidades!$A$57,D49) * SUMIF(C49,Habilidades!$A$57,Habilidades!$B$57), if(C49="Velocista 1", SUMIF(C49,Habilidades!$A$77,D49) * SUMIF(C49,Habilidades!$A$77,Habilidades!$B$77), if(C49="Velocista 2", SUMIF(C49,Habilidades!$A$78,D49) * SUMIF(C49,Habilidades!$A$78,Habilidades!$B$78), if(C49="Velocista 3", SUMIF(C49,Habilidades!$A$79,D49) * SUMIF(C49,Habilidades!$A$79,Habilidades!$B$79), "-"))))))))))))))))))))))))))))))))))))))</f>
        <v>-</v>
      </c>
      <c r="F49" s="110"/>
      <c r="G49" s="110"/>
      <c r="H49" s="110"/>
      <c r="I49" s="110"/>
      <c r="J49" s="110"/>
      <c r="K49" s="110"/>
      <c r="L49" s="110"/>
      <c r="M49" s="110"/>
      <c r="N49" s="110"/>
    </row>
    <row r="50">
      <c r="A50" s="111"/>
      <c r="B50" s="110"/>
      <c r="C50" s="142"/>
      <c r="D50" s="129">
        <f t="shared" si="2"/>
        <v>0</v>
      </c>
      <c r="E50" s="130" t="str">
        <f>if(C50="Detectar Segredo", SUMIF(C50,Habilidades!$A$11,D50) * SUMIF(C50,Habilidades!$A$11,Habilidades!$B$11), if(C50="Encontrar mágica", SUMIF(C50,Habilidades!$A$12,D50) * SUMIF(C50,Habilidades!$A$12,Habilidades!$B$12), if(C50="Cuidadoso 1", SUMIF(C50,Habilidades!$A$22,D50) * SUMIF(C50,Habilidades!$A$22,Habilidades!$B$22), if(C50="Cuidadoso 2", SUMIF(C50,Habilidades!$A$23,D64) * SUMIF(C50,Habilidades!$A$23,Habilidades!$B$23), if(C50="Cuidadoso 3", SUMIF(C50,Habilidades!$A$24,D50) * SUMIF(C50,Habilidades!$A$24,Habilidades!$B$24), if(C50="Ganancioso 1", SUMIF(C50,Habilidades!$A$25,D50) * SUMIF(C50,Habilidades!$A$25,Habilidades!$B$25), if(C50="Ganancioso 2", SUMIF(C50,Habilidades!$A$26,D50) * SUMIF(C50,Habilidades!$A$26,Habilidades!$B$26), if(C50="Ganancioso 3", SUMIF(C50,Habilidades!$A$27,D50) * SUMIF(C50,Habilidades!$A$27,Habilidades!$B$27), if(C50="Curandeiro 1", SUMIF(C50,Habilidades!$A$28,D50) * SUMIF(C50,Habilidades!$A$28,Habilidades!$B$28), if(C50="Curandeiro 2", SUMIF(C50,Habilidades!$A$29,D50) * SUMIF(C50,Habilidades!$A$29,Habilidades!$B$29), if(C50="Curandeiro 3", SUMIF(C50,Habilidades!$A$30,D50) * SUMIF(C50,Habilidades!$A$30,Habilidades!$B$30), if(C50="Sortudo 1", SUMIF(C50,Habilidades!$A$31,D50) * SUMIF(C50,Habilidades!$A$31,Habilidades!$B$31), if(C50="Sortudo 2", SUMIF(C50,Habilidades!$A$32,D50) * SUMIF(C50,Habilidades!$A$32,Habilidades!$B$32), if(C50="Sortudo 3", SUMIF(C50,Habilidades!$A$33,D50) * SUMIF(C50,Habilidades!$A$33,Habilidades!$B$33), if(C50="Protetor 1", SUMIF(C50,Habilidades!$A$34,D50) * SUMIF(C50,Habilidades!$A$34,Habilidades!$B$34), if(C50="Protetor 2", SUMIF(C50,Habilidades!$A$35,D50) * SUMIF(C50,Habilidades!$A$35,Habilidades!$B$35), if(C50="Protetor 3", SUMIF(C50,Habilidades!$A$36,D50) * SUMIF(C50,Habilidades!$A$36,Habilidades!$B$36), if(C50="Engenhoso 1", SUMIF(C50,Habilidades!$A$40,D50) * SUMIF(C50,Habilidades!$A$40,Habilidades!$B$40), if(C50="Engenhoso 2", SUMIF(C50,Habilidades!$A$41,D50) * SUMIF(C50,Habilidades!$A$41,Habilidades!$B$41), if(C50="Engenhoso 3", SUMIF(C50,Habilidades!$A$42,D50) * SUMIF(C50,Habilidades!$A$42,Habilidades!$B$42), if(C50="Reviver 1", SUMIF(C50,Habilidades!$A$43,D50) * SUMIF(C50,Habilidades!$A$43,Habilidades!$B$43), if(C50="Reviver 2", SUMIF(C50,Habilidades!$A$44,D50) * SUMIF(C50,Habilidades!$A$44,Habilidades!$B$44), if(C50="Reviver 3", SUMIF(C50,Habilidades!$A$45,D50) * SUMIF(C50,Habilidades!$A$45,Habilidades!$B$45), if(C50="Catador 1", SUMIF(C50,Habilidades!$A$46,D50) * SUMIF(C50,Habilidades!$A$46,Habilidades!$B$46), if(C50="Catador 2", SUMIF(C50,Habilidades!$A$47,D50) * SUMIF(C50,Habilidades!$A$47,Habilidades!$B$47), if(C50="Catador 3", SUMIF(C50,Habilidades!$A$48,D50) * SUMIF(C50,Habilidades!$A$48,Habilidades!$B$48), if(C50="Fornecedor 1", SUMIF(C50,Habilidades!$A$49,D50) * SUMIF(C50,Habilidades!$A$49,Habilidades!$B$49), if(C50="Fornecedor 2", SUMIF(C50,Habilidades!$A$50,D50) * SUMIF(C50,Habilidades!$A$50,Habilidades!$B$50), if(C50="Fornecedor 3", SUMIF(C50,Habilidades!$A$51,D50) * SUMIF(C50,Habilidades!$A$51,Habilidades!$B$51), if(C50="Suporte 1", SUMIF(C50,Habilidades!$A$52,D50) * SUMIF(C50,Habilidades!$A$52,Habilidades!$B$52), if(C50="Suporte 2", SUMIF(C50,Habilidades!$A$53,D50) * SUMIF(C50,Habilidades!$A$53,Habilidades!$B$53), if(C50="Suporte 3", SUMIF(C50,Habilidades!$A$54,D50) * SUMIF(C50,Habilidades!$A$54,Habilidades!$B$54), if(C50="Caça-tesouros 1", SUMIF(C50,Habilidades!$A$55,D50) * SUMIF(C50,Habilidades!$A$55,Habilidades!$B$55), if(C50="Caça-tesouros 2", SUMIF(C50,Habilidades!$A$56,D50) * SUMIF(C50,Habilidades!$A$56,Habilidades!$B$56), if(C50="Caça-tesouros 3", SUMIF(C50,Habilidades!$A$57,D50) * SUMIF(C50,Habilidades!$A$57,Habilidades!$B$57), if(C50="Velocista 1", SUMIF(C50,Habilidades!$A$77,D50) * SUMIF(C50,Habilidades!$A$77,Habilidades!$B$77), if(C50="Velocista 2", SUMIF(C50,Habilidades!$A$78,D50) * SUMIF(C50,Habilidades!$A$78,Habilidades!$B$78), if(C50="Velocista 3", SUMIF(C50,Habilidades!$A$79,D50) * SUMIF(C50,Habilidades!$A$79,Habilidades!$B$79), "-"))))))))))))))))))))))))))))))))))))))</f>
        <v>-</v>
      </c>
      <c r="F50" s="110"/>
      <c r="G50" s="110"/>
      <c r="H50" s="110"/>
      <c r="I50" s="110"/>
      <c r="J50" s="110"/>
      <c r="K50" s="110"/>
      <c r="L50" s="110"/>
      <c r="M50" s="110"/>
      <c r="N50" s="110"/>
    </row>
    <row r="51">
      <c r="A51" s="111"/>
      <c r="B51" s="110"/>
      <c r="C51" s="142"/>
      <c r="D51" s="129">
        <f t="shared" si="2"/>
        <v>0</v>
      </c>
      <c r="E51" s="130" t="str">
        <f>if(C51="Detectar Segredo", SUMIF(C51,Habilidades!$A$11,D51) * SUMIF(C51,Habilidades!$A$11,Habilidades!$B$11), if(C51="Encontrar mágica", SUMIF(C51,Habilidades!$A$12,D51) * SUMIF(C51,Habilidades!$A$12,Habilidades!$B$12), if(C51="Cuidadoso 1", SUMIF(C51,Habilidades!$A$22,D51) * SUMIF(C51,Habilidades!$A$22,Habilidades!$B$22), if(C51="Cuidadoso 2", SUMIF(C51,Habilidades!$A$23,D65) * SUMIF(C51,Habilidades!$A$23,Habilidades!$B$23), if(C51="Cuidadoso 3", SUMIF(C51,Habilidades!$A$24,D51) * SUMIF(C51,Habilidades!$A$24,Habilidades!$B$24), if(C51="Ganancioso 1", SUMIF(C51,Habilidades!$A$25,D51) * SUMIF(C51,Habilidades!$A$25,Habilidades!$B$25), if(C51="Ganancioso 2", SUMIF(C51,Habilidades!$A$26,D51) * SUMIF(C51,Habilidades!$A$26,Habilidades!$B$26), if(C51="Ganancioso 3", SUMIF(C51,Habilidades!$A$27,D51) * SUMIF(C51,Habilidades!$A$27,Habilidades!$B$27), if(C51="Curandeiro 1", SUMIF(C51,Habilidades!$A$28,D51) * SUMIF(C51,Habilidades!$A$28,Habilidades!$B$28), if(C51="Curandeiro 2", SUMIF(C51,Habilidades!$A$29,D51) * SUMIF(C51,Habilidades!$A$29,Habilidades!$B$29), if(C51="Curandeiro 3", SUMIF(C51,Habilidades!$A$30,D51) * SUMIF(C51,Habilidades!$A$30,Habilidades!$B$30), if(C51="Sortudo 1", SUMIF(C51,Habilidades!$A$31,D51) * SUMIF(C51,Habilidades!$A$31,Habilidades!$B$31), if(C51="Sortudo 2", SUMIF(C51,Habilidades!$A$32,D51) * SUMIF(C51,Habilidades!$A$32,Habilidades!$B$32), if(C51="Sortudo 3", SUMIF(C51,Habilidades!$A$33,D51) * SUMIF(C51,Habilidades!$A$33,Habilidades!$B$33), if(C51="Protetor 1", SUMIF(C51,Habilidades!$A$34,D51) * SUMIF(C51,Habilidades!$A$34,Habilidades!$B$34), if(C51="Protetor 2", SUMIF(C51,Habilidades!$A$35,D51) * SUMIF(C51,Habilidades!$A$35,Habilidades!$B$35), if(C51="Protetor 3", SUMIF(C51,Habilidades!$A$36,D51) * SUMIF(C51,Habilidades!$A$36,Habilidades!$B$36), if(C51="Engenhoso 1", SUMIF(C51,Habilidades!$A$40,D51) * SUMIF(C51,Habilidades!$A$40,Habilidades!$B$40), if(C51="Engenhoso 2", SUMIF(C51,Habilidades!$A$41,D51) * SUMIF(C51,Habilidades!$A$41,Habilidades!$B$41), if(C51="Engenhoso 3", SUMIF(C51,Habilidades!$A$42,D51) * SUMIF(C51,Habilidades!$A$42,Habilidades!$B$42), if(C51="Reviver 1", SUMIF(C51,Habilidades!$A$43,D51) * SUMIF(C51,Habilidades!$A$43,Habilidades!$B$43), if(C51="Reviver 2", SUMIF(C51,Habilidades!$A$44,D51) * SUMIF(C51,Habilidades!$A$44,Habilidades!$B$44), if(C51="Reviver 3", SUMIF(C51,Habilidades!$A$45,D51) * SUMIF(C51,Habilidades!$A$45,Habilidades!$B$45), if(C51="Catador 1", SUMIF(C51,Habilidades!$A$46,D51) * SUMIF(C51,Habilidades!$A$46,Habilidades!$B$46), if(C51="Catador 2", SUMIF(C51,Habilidades!$A$47,D51) * SUMIF(C51,Habilidades!$A$47,Habilidades!$B$47), if(C51="Catador 3", SUMIF(C51,Habilidades!$A$48,D51) * SUMIF(C51,Habilidades!$A$48,Habilidades!$B$48), if(C51="Fornecedor 1", SUMIF(C51,Habilidades!$A$49,D51) * SUMIF(C51,Habilidades!$A$49,Habilidades!$B$49), if(C51="Fornecedor 2", SUMIF(C51,Habilidades!$A$50,D51) * SUMIF(C51,Habilidades!$A$50,Habilidades!$B$50), if(C51="Fornecedor 3", SUMIF(C51,Habilidades!$A$51,D51) * SUMIF(C51,Habilidades!$A$51,Habilidades!$B$51), if(C51="Suporte 1", SUMIF(C51,Habilidades!$A$52,D51) * SUMIF(C51,Habilidades!$A$52,Habilidades!$B$52), if(C51="Suporte 2", SUMIF(C51,Habilidades!$A$53,D51) * SUMIF(C51,Habilidades!$A$53,Habilidades!$B$53), if(C51="Suporte 3", SUMIF(C51,Habilidades!$A$54,D51) * SUMIF(C51,Habilidades!$A$54,Habilidades!$B$54), if(C51="Caça-tesouros 1", SUMIF(C51,Habilidades!$A$55,D51) * SUMIF(C51,Habilidades!$A$55,Habilidades!$B$55), if(C51="Caça-tesouros 2", SUMIF(C51,Habilidades!$A$56,D51) * SUMIF(C51,Habilidades!$A$56,Habilidades!$B$56), if(C51="Caça-tesouros 3", SUMIF(C51,Habilidades!$A$57,D51) * SUMIF(C51,Habilidades!$A$57,Habilidades!$B$57), if(C51="Velocista 1", SUMIF(C51,Habilidades!$A$77,D51) * SUMIF(C51,Habilidades!$A$77,Habilidades!$B$77), if(C51="Velocista 2", SUMIF(C51,Habilidades!$A$78,D51) * SUMIF(C51,Habilidades!$A$78,Habilidades!$B$78), if(C51="Velocista 3", SUMIF(C51,Habilidades!$A$79,D51) * SUMIF(C51,Habilidades!$A$79,Habilidades!$B$79), "-"))))))))))))))))))))))))))))))))))))))</f>
        <v>-</v>
      </c>
      <c r="F51" s="110"/>
      <c r="G51" s="110"/>
      <c r="H51" s="110"/>
      <c r="I51" s="110"/>
      <c r="J51" s="110"/>
      <c r="K51" s="110"/>
      <c r="L51" s="110"/>
      <c r="M51" s="110"/>
      <c r="N51" s="110"/>
    </row>
    <row r="52">
      <c r="A52" s="111"/>
      <c r="B52" s="110"/>
      <c r="C52" s="142"/>
      <c r="D52" s="129">
        <f t="shared" si="2"/>
        <v>0</v>
      </c>
      <c r="E52" s="130" t="str">
        <f>if(C52="Detectar Segredo", SUMIF(C52,Habilidades!$A$11,D52) * SUMIF(C52,Habilidades!$A$11,Habilidades!$B$11), if(C52="Encontrar mágica", SUMIF(C52,Habilidades!$A$12,D52) * SUMIF(C52,Habilidades!$A$12,Habilidades!$B$12), if(C52="Cuidadoso 1", SUMIF(C52,Habilidades!$A$22,D52) * SUMIF(C52,Habilidades!$A$22,Habilidades!$B$22), if(C52="Cuidadoso 2", SUMIF(C52,Habilidades!$A$23,D66) * SUMIF(C52,Habilidades!$A$23,Habilidades!$B$23), if(C52="Cuidadoso 3", SUMIF(C52,Habilidades!$A$24,D52) * SUMIF(C52,Habilidades!$A$24,Habilidades!$B$24), if(C52="Ganancioso 1", SUMIF(C52,Habilidades!$A$25,D52) * SUMIF(C52,Habilidades!$A$25,Habilidades!$B$25), if(C52="Ganancioso 2", SUMIF(C52,Habilidades!$A$26,D52) * SUMIF(C52,Habilidades!$A$26,Habilidades!$B$26), if(C52="Ganancioso 3", SUMIF(C52,Habilidades!$A$27,D52) * SUMIF(C52,Habilidades!$A$27,Habilidades!$B$27), if(C52="Curandeiro 1", SUMIF(C52,Habilidades!$A$28,D52) * SUMIF(C52,Habilidades!$A$28,Habilidades!$B$28), if(C52="Curandeiro 2", SUMIF(C52,Habilidades!$A$29,D52) * SUMIF(C52,Habilidades!$A$29,Habilidades!$B$29), if(C52="Curandeiro 3", SUMIF(C52,Habilidades!$A$30,D52) * SUMIF(C52,Habilidades!$A$30,Habilidades!$B$30), if(C52="Sortudo 1", SUMIF(C52,Habilidades!$A$31,D52) * SUMIF(C52,Habilidades!$A$31,Habilidades!$B$31), if(C52="Sortudo 2", SUMIF(C52,Habilidades!$A$32,D52) * SUMIF(C52,Habilidades!$A$32,Habilidades!$B$32), if(C52="Sortudo 3", SUMIF(C52,Habilidades!$A$33,D52) * SUMIF(C52,Habilidades!$A$33,Habilidades!$B$33), if(C52="Protetor 1", SUMIF(C52,Habilidades!$A$34,D52) * SUMIF(C52,Habilidades!$A$34,Habilidades!$B$34), if(C52="Protetor 2", SUMIF(C52,Habilidades!$A$35,D52) * SUMIF(C52,Habilidades!$A$35,Habilidades!$B$35), if(C52="Protetor 3", SUMIF(C52,Habilidades!$A$36,D52) * SUMIF(C52,Habilidades!$A$36,Habilidades!$B$36), if(C52="Engenhoso 1", SUMIF(C52,Habilidades!$A$40,D52) * SUMIF(C52,Habilidades!$A$40,Habilidades!$B$40), if(C52="Engenhoso 2", SUMIF(C52,Habilidades!$A$41,D52) * SUMIF(C52,Habilidades!$A$41,Habilidades!$B$41), if(C52="Engenhoso 3", SUMIF(C52,Habilidades!$A$42,D52) * SUMIF(C52,Habilidades!$A$42,Habilidades!$B$42), if(C52="Reviver 1", SUMIF(C52,Habilidades!$A$43,D52) * SUMIF(C52,Habilidades!$A$43,Habilidades!$B$43), if(C52="Reviver 2", SUMIF(C52,Habilidades!$A$44,D52) * SUMIF(C52,Habilidades!$A$44,Habilidades!$B$44), if(C52="Reviver 3", SUMIF(C52,Habilidades!$A$45,D52) * SUMIF(C52,Habilidades!$A$45,Habilidades!$B$45), if(C52="Catador 1", SUMIF(C52,Habilidades!$A$46,D52) * SUMIF(C52,Habilidades!$A$46,Habilidades!$B$46), if(C52="Catador 2", SUMIF(C52,Habilidades!$A$47,D52) * SUMIF(C52,Habilidades!$A$47,Habilidades!$B$47), if(C52="Catador 3", SUMIF(C52,Habilidades!$A$48,D52) * SUMIF(C52,Habilidades!$A$48,Habilidades!$B$48), if(C52="Fornecedor 1", SUMIF(C52,Habilidades!$A$49,D52) * SUMIF(C52,Habilidades!$A$49,Habilidades!$B$49), if(C52="Fornecedor 2", SUMIF(C52,Habilidades!$A$50,D52) * SUMIF(C52,Habilidades!$A$50,Habilidades!$B$50), if(C52="Fornecedor 3", SUMIF(C52,Habilidades!$A$51,D52) * SUMIF(C52,Habilidades!$A$51,Habilidades!$B$51), if(C52="Suporte 1", SUMIF(C52,Habilidades!$A$52,D52) * SUMIF(C52,Habilidades!$A$52,Habilidades!$B$52), if(C52="Suporte 2", SUMIF(C52,Habilidades!$A$53,D52) * SUMIF(C52,Habilidades!$A$53,Habilidades!$B$53), if(C52="Suporte 3", SUMIF(C52,Habilidades!$A$54,D52) * SUMIF(C52,Habilidades!$A$54,Habilidades!$B$54), if(C52="Caça-tesouros 1", SUMIF(C52,Habilidades!$A$55,D52) * SUMIF(C52,Habilidades!$A$55,Habilidades!$B$55), if(C52="Caça-tesouros 2", SUMIF(C52,Habilidades!$A$56,D52) * SUMIF(C52,Habilidades!$A$56,Habilidades!$B$56), if(C52="Caça-tesouros 3", SUMIF(C52,Habilidades!$A$57,D52) * SUMIF(C52,Habilidades!$A$57,Habilidades!$B$57), if(C52="Velocista 1", SUMIF(C52,Habilidades!$A$77,D52) * SUMIF(C52,Habilidades!$A$77,Habilidades!$B$77), if(C52="Velocista 2", SUMIF(C52,Habilidades!$A$78,D52) * SUMIF(C52,Habilidades!$A$78,Habilidades!$B$78), if(C52="Velocista 3", SUMIF(C52,Habilidades!$A$79,D52) * SUMIF(C52,Habilidades!$A$79,Habilidades!$B$79), "-"))))))))))))))))))))))))))))))))))))))</f>
        <v>-</v>
      </c>
      <c r="F52" s="110"/>
      <c r="G52" s="110"/>
      <c r="H52" s="110"/>
      <c r="I52" s="110"/>
      <c r="J52" s="110"/>
      <c r="K52" s="110"/>
      <c r="L52" s="110"/>
      <c r="M52" s="110"/>
      <c r="N52" s="110"/>
    </row>
    <row r="53">
      <c r="A53" s="111"/>
      <c r="B53" s="110"/>
      <c r="C53" s="142"/>
      <c r="D53" s="129">
        <f t="shared" si="2"/>
        <v>0</v>
      </c>
      <c r="E53" s="130" t="str">
        <f>if(C53="Detectar Segredo", SUMIF(C53,Habilidades!$A$11,D53) * SUMIF(C53,Habilidades!$A$11,Habilidades!$B$11), if(C53="Encontrar mágica", SUMIF(C53,Habilidades!$A$12,D53) * SUMIF(C53,Habilidades!$A$12,Habilidades!$B$12), if(C53="Cuidadoso 1", SUMIF(C53,Habilidades!$A$22,D53) * SUMIF(C53,Habilidades!$A$22,Habilidades!$B$22), if(C53="Cuidadoso 2", SUMIF(C53,Habilidades!$A$23,D67) * SUMIF(C53,Habilidades!$A$23,Habilidades!$B$23), if(C53="Cuidadoso 3", SUMIF(C53,Habilidades!$A$24,D53) * SUMIF(C53,Habilidades!$A$24,Habilidades!$B$24), if(C53="Ganancioso 1", SUMIF(C53,Habilidades!$A$25,D53) * SUMIF(C53,Habilidades!$A$25,Habilidades!$B$25), if(C53="Ganancioso 2", SUMIF(C53,Habilidades!$A$26,D53) * SUMIF(C53,Habilidades!$A$26,Habilidades!$B$26), if(C53="Ganancioso 3", SUMIF(C53,Habilidades!$A$27,D53) * SUMIF(C53,Habilidades!$A$27,Habilidades!$B$27), if(C53="Curandeiro 1", SUMIF(C53,Habilidades!$A$28,D53) * SUMIF(C53,Habilidades!$A$28,Habilidades!$B$28), if(C53="Curandeiro 2", SUMIF(C53,Habilidades!$A$29,D53) * SUMIF(C53,Habilidades!$A$29,Habilidades!$B$29), if(C53="Curandeiro 3", SUMIF(C53,Habilidades!$A$30,D53) * SUMIF(C53,Habilidades!$A$30,Habilidades!$B$30), if(C53="Sortudo 1", SUMIF(C53,Habilidades!$A$31,D53) * SUMIF(C53,Habilidades!$A$31,Habilidades!$B$31), if(C53="Sortudo 2", SUMIF(C53,Habilidades!$A$32,D53) * SUMIF(C53,Habilidades!$A$32,Habilidades!$B$32), if(C53="Sortudo 3", SUMIF(C53,Habilidades!$A$33,D53) * SUMIF(C53,Habilidades!$A$33,Habilidades!$B$33), if(C53="Protetor 1", SUMIF(C53,Habilidades!$A$34,D53) * SUMIF(C53,Habilidades!$A$34,Habilidades!$B$34), if(C53="Protetor 2", SUMIF(C53,Habilidades!$A$35,D53) * SUMIF(C53,Habilidades!$A$35,Habilidades!$B$35), if(C53="Protetor 3", SUMIF(C53,Habilidades!$A$36,D53) * SUMIF(C53,Habilidades!$A$36,Habilidades!$B$36), if(C53="Engenhoso 1", SUMIF(C53,Habilidades!$A$40,D53) * SUMIF(C53,Habilidades!$A$40,Habilidades!$B$40), if(C53="Engenhoso 2", SUMIF(C53,Habilidades!$A$41,D53) * SUMIF(C53,Habilidades!$A$41,Habilidades!$B$41), if(C53="Engenhoso 3", SUMIF(C53,Habilidades!$A$42,D53) * SUMIF(C53,Habilidades!$A$42,Habilidades!$B$42), if(C53="Reviver 1", SUMIF(C53,Habilidades!$A$43,D53) * SUMIF(C53,Habilidades!$A$43,Habilidades!$B$43), if(C53="Reviver 2", SUMIF(C53,Habilidades!$A$44,D53) * SUMIF(C53,Habilidades!$A$44,Habilidades!$B$44), if(C53="Reviver 3", SUMIF(C53,Habilidades!$A$45,D53) * SUMIF(C53,Habilidades!$A$45,Habilidades!$B$45), if(C53="Catador 1", SUMIF(C53,Habilidades!$A$46,D53) * SUMIF(C53,Habilidades!$A$46,Habilidades!$B$46), if(C53="Catador 2", SUMIF(C53,Habilidades!$A$47,D53) * SUMIF(C53,Habilidades!$A$47,Habilidades!$B$47), if(C53="Catador 3", SUMIF(C53,Habilidades!$A$48,D53) * SUMIF(C53,Habilidades!$A$48,Habilidades!$B$48), if(C53="Fornecedor 1", SUMIF(C53,Habilidades!$A$49,D53) * SUMIF(C53,Habilidades!$A$49,Habilidades!$B$49), if(C53="Fornecedor 2", SUMIF(C53,Habilidades!$A$50,D53) * SUMIF(C53,Habilidades!$A$50,Habilidades!$B$50), if(C53="Fornecedor 3", SUMIF(C53,Habilidades!$A$51,D53) * SUMIF(C53,Habilidades!$A$51,Habilidades!$B$51), if(C53="Suporte 1", SUMIF(C53,Habilidades!$A$52,D53) * SUMIF(C53,Habilidades!$A$52,Habilidades!$B$52), if(C53="Suporte 2", SUMIF(C53,Habilidades!$A$53,D53) * SUMIF(C53,Habilidades!$A$53,Habilidades!$B$53), if(C53="Suporte 3", SUMIF(C53,Habilidades!$A$54,D53) * SUMIF(C53,Habilidades!$A$54,Habilidades!$B$54), if(C53="Caça-tesouros 1", SUMIF(C53,Habilidades!$A$55,D53) * SUMIF(C53,Habilidades!$A$55,Habilidades!$B$55), if(C53="Caça-tesouros 2", SUMIF(C53,Habilidades!$A$56,D53) * SUMIF(C53,Habilidades!$A$56,Habilidades!$B$56), if(C53="Caça-tesouros 3", SUMIF(C53,Habilidades!$A$57,D53) * SUMIF(C53,Habilidades!$A$57,Habilidades!$B$57), if(C53="Velocista 1", SUMIF(C53,Habilidades!$A$77,D53) * SUMIF(C53,Habilidades!$A$77,Habilidades!$B$77), if(C53="Velocista 2", SUMIF(C53,Habilidades!$A$78,D53) * SUMIF(C53,Habilidades!$A$78,Habilidades!$B$78), if(C53="Velocista 3", SUMIF(C53,Habilidades!$A$79,D53) * SUMIF(C53,Habilidades!$A$79,Habilidades!$B$79), "-"))))))))))))))))))))))))))))))))))))))</f>
        <v>-</v>
      </c>
      <c r="F53" s="110"/>
      <c r="G53" s="110"/>
      <c r="H53" s="110"/>
      <c r="I53" s="110"/>
      <c r="J53" s="110"/>
      <c r="K53" s="110"/>
      <c r="L53" s="110"/>
      <c r="M53" s="110"/>
      <c r="N53" s="110"/>
    </row>
    <row r="54">
      <c r="A54" s="111"/>
      <c r="B54" s="110"/>
      <c r="C54" s="142"/>
      <c r="D54" s="129">
        <f t="shared" si="2"/>
        <v>0</v>
      </c>
      <c r="E54" s="130" t="str">
        <f>if(C54="Detectar Segredo", SUMIF(C54,Habilidades!$A$11,D54) * SUMIF(C54,Habilidades!$A$11,Habilidades!$B$11), if(C54="Encontrar mágica", SUMIF(C54,Habilidades!$A$12,D54) * SUMIF(C54,Habilidades!$A$12,Habilidades!$B$12), if(C54="Cuidadoso 1", SUMIF(C54,Habilidades!$A$22,D54) * SUMIF(C54,Habilidades!$A$22,Habilidades!$B$22), if(C54="Cuidadoso 2", SUMIF(C54,Habilidades!$A$23,D68) * SUMIF(C54,Habilidades!$A$23,Habilidades!$B$23), if(C54="Cuidadoso 3", SUMIF(C54,Habilidades!$A$24,D54) * SUMIF(C54,Habilidades!$A$24,Habilidades!$B$24), if(C54="Ganancioso 1", SUMIF(C54,Habilidades!$A$25,D54) * SUMIF(C54,Habilidades!$A$25,Habilidades!$B$25), if(C54="Ganancioso 2", SUMIF(C54,Habilidades!$A$26,D54) * SUMIF(C54,Habilidades!$A$26,Habilidades!$B$26), if(C54="Ganancioso 3", SUMIF(C54,Habilidades!$A$27,D54) * SUMIF(C54,Habilidades!$A$27,Habilidades!$B$27), if(C54="Curandeiro 1", SUMIF(C54,Habilidades!$A$28,D54) * SUMIF(C54,Habilidades!$A$28,Habilidades!$B$28), if(C54="Curandeiro 2", SUMIF(C54,Habilidades!$A$29,D54) * SUMIF(C54,Habilidades!$A$29,Habilidades!$B$29), if(C54="Curandeiro 3", SUMIF(C54,Habilidades!$A$30,D54) * SUMIF(C54,Habilidades!$A$30,Habilidades!$B$30), if(C54="Sortudo 1", SUMIF(C54,Habilidades!$A$31,D54) * SUMIF(C54,Habilidades!$A$31,Habilidades!$B$31), if(C54="Sortudo 2", SUMIF(C54,Habilidades!$A$32,D54) * SUMIF(C54,Habilidades!$A$32,Habilidades!$B$32), if(C54="Sortudo 3", SUMIF(C54,Habilidades!$A$33,D54) * SUMIF(C54,Habilidades!$A$33,Habilidades!$B$33), if(C54="Protetor 1", SUMIF(C54,Habilidades!$A$34,D54) * SUMIF(C54,Habilidades!$A$34,Habilidades!$B$34), if(C54="Protetor 2", SUMIF(C54,Habilidades!$A$35,D54) * SUMIF(C54,Habilidades!$A$35,Habilidades!$B$35), if(C54="Protetor 3", SUMIF(C54,Habilidades!$A$36,D54) * SUMIF(C54,Habilidades!$A$36,Habilidades!$B$36), if(C54="Engenhoso 1", SUMIF(C54,Habilidades!$A$40,D54) * SUMIF(C54,Habilidades!$A$40,Habilidades!$B$40), if(C54="Engenhoso 2", SUMIF(C54,Habilidades!$A$41,D54) * SUMIF(C54,Habilidades!$A$41,Habilidades!$B$41), if(C54="Engenhoso 3", SUMIF(C54,Habilidades!$A$42,D54) * SUMIF(C54,Habilidades!$A$42,Habilidades!$B$42), if(C54="Reviver 1", SUMIF(C54,Habilidades!$A$43,D54) * SUMIF(C54,Habilidades!$A$43,Habilidades!$B$43), if(C54="Reviver 2", SUMIF(C54,Habilidades!$A$44,D54) * SUMIF(C54,Habilidades!$A$44,Habilidades!$B$44), if(C54="Reviver 3", SUMIF(C54,Habilidades!$A$45,D54) * SUMIF(C54,Habilidades!$A$45,Habilidades!$B$45), if(C54="Catador 1", SUMIF(C54,Habilidades!$A$46,D54) * SUMIF(C54,Habilidades!$A$46,Habilidades!$B$46), if(C54="Catador 2", SUMIF(C54,Habilidades!$A$47,D54) * SUMIF(C54,Habilidades!$A$47,Habilidades!$B$47), if(C54="Catador 3", SUMIF(C54,Habilidades!$A$48,D54) * SUMIF(C54,Habilidades!$A$48,Habilidades!$B$48), if(C54="Fornecedor 1", SUMIF(C54,Habilidades!$A$49,D54) * SUMIF(C54,Habilidades!$A$49,Habilidades!$B$49), if(C54="Fornecedor 2", SUMIF(C54,Habilidades!$A$50,D54) * SUMIF(C54,Habilidades!$A$50,Habilidades!$B$50), if(C54="Fornecedor 3", SUMIF(C54,Habilidades!$A$51,D54) * SUMIF(C54,Habilidades!$A$51,Habilidades!$B$51), if(C54="Suporte 1", SUMIF(C54,Habilidades!$A$52,D54) * SUMIF(C54,Habilidades!$A$52,Habilidades!$B$52), if(C54="Suporte 2", SUMIF(C54,Habilidades!$A$53,D54) * SUMIF(C54,Habilidades!$A$53,Habilidades!$B$53), if(C54="Suporte 3", SUMIF(C54,Habilidades!$A$54,D54) * SUMIF(C54,Habilidades!$A$54,Habilidades!$B$54), if(C54="Caça-tesouros 1", SUMIF(C54,Habilidades!$A$55,D54) * SUMIF(C54,Habilidades!$A$55,Habilidades!$B$55), if(C54="Caça-tesouros 2", SUMIF(C54,Habilidades!$A$56,D54) * SUMIF(C54,Habilidades!$A$56,Habilidades!$B$56), if(C54="Caça-tesouros 3", SUMIF(C54,Habilidades!$A$57,D54) * SUMIF(C54,Habilidades!$A$57,Habilidades!$B$57), if(C54="Velocista 1", SUMIF(C54,Habilidades!$A$77,D54) * SUMIF(C54,Habilidades!$A$77,Habilidades!$B$77), if(C54="Velocista 2", SUMIF(C54,Habilidades!$A$78,D54) * SUMIF(C54,Habilidades!$A$78,Habilidades!$B$78), if(C54="Velocista 3", SUMIF(C54,Habilidades!$A$79,D54) * SUMIF(C54,Habilidades!$A$79,Habilidades!$B$79), "-"))))))))))))))))))))))))))))))))))))))</f>
        <v>-</v>
      </c>
      <c r="F54" s="110"/>
      <c r="G54" s="110"/>
      <c r="H54" s="110"/>
      <c r="I54" s="110"/>
      <c r="J54" s="110"/>
      <c r="K54" s="110"/>
      <c r="L54" s="110"/>
      <c r="M54" s="110"/>
      <c r="N54" s="110"/>
    </row>
    <row r="55">
      <c r="A55" s="111"/>
      <c r="B55" s="110"/>
      <c r="C55" s="142"/>
      <c r="D55" s="129">
        <f t="shared" si="2"/>
        <v>0</v>
      </c>
      <c r="E55" s="130" t="str">
        <f>if(C55="Detectar Segredo", SUMIF(C55,Habilidades!$A$11,D55) * SUMIF(C55,Habilidades!$A$11,Habilidades!$B$11), if(C55="Encontrar mágica", SUMIF(C55,Habilidades!$A$12,D55) * SUMIF(C55,Habilidades!$A$12,Habilidades!$B$12), if(C55="Cuidadoso 1", SUMIF(C55,Habilidades!$A$22,D55) * SUMIF(C55,Habilidades!$A$22,Habilidades!$B$22), if(C55="Cuidadoso 2", SUMIF(C55,Habilidades!$A$23,D69) * SUMIF(C55,Habilidades!$A$23,Habilidades!$B$23), if(C55="Cuidadoso 3", SUMIF(C55,Habilidades!$A$24,D55) * SUMIF(C55,Habilidades!$A$24,Habilidades!$B$24), if(C55="Ganancioso 1", SUMIF(C55,Habilidades!$A$25,D55) * SUMIF(C55,Habilidades!$A$25,Habilidades!$B$25), if(C55="Ganancioso 2", SUMIF(C55,Habilidades!$A$26,D55) * SUMIF(C55,Habilidades!$A$26,Habilidades!$B$26), if(C55="Ganancioso 3", SUMIF(C55,Habilidades!$A$27,D55) * SUMIF(C55,Habilidades!$A$27,Habilidades!$B$27), if(C55="Curandeiro 1", SUMIF(C55,Habilidades!$A$28,D55) * SUMIF(C55,Habilidades!$A$28,Habilidades!$B$28), if(C55="Curandeiro 2", SUMIF(C55,Habilidades!$A$29,D55) * SUMIF(C55,Habilidades!$A$29,Habilidades!$B$29), if(C55="Curandeiro 3", SUMIF(C55,Habilidades!$A$30,D55) * SUMIF(C55,Habilidades!$A$30,Habilidades!$B$30), if(C55="Sortudo 1", SUMIF(C55,Habilidades!$A$31,D55) * SUMIF(C55,Habilidades!$A$31,Habilidades!$B$31), if(C55="Sortudo 2", SUMIF(C55,Habilidades!$A$32,D55) * SUMIF(C55,Habilidades!$A$32,Habilidades!$B$32), if(C55="Sortudo 3", SUMIF(C55,Habilidades!$A$33,D55) * SUMIF(C55,Habilidades!$A$33,Habilidades!$B$33), if(C55="Protetor 1", SUMIF(C55,Habilidades!$A$34,D55) * SUMIF(C55,Habilidades!$A$34,Habilidades!$B$34), if(C55="Protetor 2", SUMIF(C55,Habilidades!$A$35,D55) * SUMIF(C55,Habilidades!$A$35,Habilidades!$B$35), if(C55="Protetor 3", SUMIF(C55,Habilidades!$A$36,D55) * SUMIF(C55,Habilidades!$A$36,Habilidades!$B$36), if(C55="Engenhoso 1", SUMIF(C55,Habilidades!$A$40,D55) * SUMIF(C55,Habilidades!$A$40,Habilidades!$B$40), if(C55="Engenhoso 2", SUMIF(C55,Habilidades!$A$41,D55) * SUMIF(C55,Habilidades!$A$41,Habilidades!$B$41), if(C55="Engenhoso 3", SUMIF(C55,Habilidades!$A$42,D55) * SUMIF(C55,Habilidades!$A$42,Habilidades!$B$42), if(C55="Reviver 1", SUMIF(C55,Habilidades!$A$43,D55) * SUMIF(C55,Habilidades!$A$43,Habilidades!$B$43), if(C55="Reviver 2", SUMIF(C55,Habilidades!$A$44,D55) * SUMIF(C55,Habilidades!$A$44,Habilidades!$B$44), if(C55="Reviver 3", SUMIF(C55,Habilidades!$A$45,D55) * SUMIF(C55,Habilidades!$A$45,Habilidades!$B$45), if(C55="Catador 1", SUMIF(C55,Habilidades!$A$46,D55) * SUMIF(C55,Habilidades!$A$46,Habilidades!$B$46), if(C55="Catador 2", SUMIF(C55,Habilidades!$A$47,D55) * SUMIF(C55,Habilidades!$A$47,Habilidades!$B$47), if(C55="Catador 3", SUMIF(C55,Habilidades!$A$48,D55) * SUMIF(C55,Habilidades!$A$48,Habilidades!$B$48), if(C55="Fornecedor 1", SUMIF(C55,Habilidades!$A$49,D55) * SUMIF(C55,Habilidades!$A$49,Habilidades!$B$49), if(C55="Fornecedor 2", SUMIF(C55,Habilidades!$A$50,D55) * SUMIF(C55,Habilidades!$A$50,Habilidades!$B$50), if(C55="Fornecedor 3", SUMIF(C55,Habilidades!$A$51,D55) * SUMIF(C55,Habilidades!$A$51,Habilidades!$B$51), if(C55="Suporte 1", SUMIF(C55,Habilidades!$A$52,D55) * SUMIF(C55,Habilidades!$A$52,Habilidades!$B$52), if(C55="Suporte 2", SUMIF(C55,Habilidades!$A$53,D55) * SUMIF(C55,Habilidades!$A$53,Habilidades!$B$53), if(C55="Suporte 3", SUMIF(C55,Habilidades!$A$54,D55) * SUMIF(C55,Habilidades!$A$54,Habilidades!$B$54), if(C55="Caça-tesouros 1", SUMIF(C55,Habilidades!$A$55,D55) * SUMIF(C55,Habilidades!$A$55,Habilidades!$B$55), if(C55="Caça-tesouros 2", SUMIF(C55,Habilidades!$A$56,D55) * SUMIF(C55,Habilidades!$A$56,Habilidades!$B$56), if(C55="Caça-tesouros 3", SUMIF(C55,Habilidades!$A$57,D55) * SUMIF(C55,Habilidades!$A$57,Habilidades!$B$57), if(C55="Velocista 1", SUMIF(C55,Habilidades!$A$77,D55) * SUMIF(C55,Habilidades!$A$77,Habilidades!$B$77), if(C55="Velocista 2", SUMIF(C55,Habilidades!$A$78,D55) * SUMIF(C55,Habilidades!$A$78,Habilidades!$B$78), if(C55="Velocista 3", SUMIF(C55,Habilidades!$A$79,D55) * SUMIF(C55,Habilidades!$A$79,Habilidades!$B$79), "-"))))))))))))))))))))))))))))))))))))))</f>
        <v>-</v>
      </c>
      <c r="F55" s="110"/>
      <c r="G55" s="110"/>
      <c r="H55" s="110"/>
      <c r="I55" s="110"/>
      <c r="J55" s="110"/>
      <c r="K55" s="110"/>
      <c r="L55" s="110"/>
      <c r="M55" s="110"/>
      <c r="N55" s="110"/>
    </row>
    <row r="56">
      <c r="A56" s="111"/>
      <c r="B56" s="110"/>
      <c r="C56" s="142"/>
      <c r="D56" s="129">
        <f t="shared" si="2"/>
        <v>0</v>
      </c>
      <c r="E56" s="130" t="str">
        <f>if(C56="Detectar Segredo", SUMIF(C56,Habilidades!$A$11,D56) * SUMIF(C56,Habilidades!$A$11,Habilidades!$B$11), if(C56="Encontrar mágica", SUMIF(C56,Habilidades!$A$12,D56) * SUMIF(C56,Habilidades!$A$12,Habilidades!$B$12), if(C56="Cuidadoso 1", SUMIF(C56,Habilidades!$A$22,D56) * SUMIF(C56,Habilidades!$A$22,Habilidades!$B$22), if(C56="Cuidadoso 2", SUMIF(C56,Habilidades!$A$23,D70) * SUMIF(C56,Habilidades!$A$23,Habilidades!$B$23), if(C56="Cuidadoso 3", SUMIF(C56,Habilidades!$A$24,D56) * SUMIF(C56,Habilidades!$A$24,Habilidades!$B$24), if(C56="Ganancioso 1", SUMIF(C56,Habilidades!$A$25,D56) * SUMIF(C56,Habilidades!$A$25,Habilidades!$B$25), if(C56="Ganancioso 2", SUMIF(C56,Habilidades!$A$26,D56) * SUMIF(C56,Habilidades!$A$26,Habilidades!$B$26), if(C56="Ganancioso 3", SUMIF(C56,Habilidades!$A$27,D56) * SUMIF(C56,Habilidades!$A$27,Habilidades!$B$27), if(C56="Curandeiro 1", SUMIF(C56,Habilidades!$A$28,D56) * SUMIF(C56,Habilidades!$A$28,Habilidades!$B$28), if(C56="Curandeiro 2", SUMIF(C56,Habilidades!$A$29,D56) * SUMIF(C56,Habilidades!$A$29,Habilidades!$B$29), if(C56="Curandeiro 3", SUMIF(C56,Habilidades!$A$30,D56) * SUMIF(C56,Habilidades!$A$30,Habilidades!$B$30), if(C56="Sortudo 1", SUMIF(C56,Habilidades!$A$31,D56) * SUMIF(C56,Habilidades!$A$31,Habilidades!$B$31), if(C56="Sortudo 2", SUMIF(C56,Habilidades!$A$32,D56) * SUMIF(C56,Habilidades!$A$32,Habilidades!$B$32), if(C56="Sortudo 3", SUMIF(C56,Habilidades!$A$33,D56) * SUMIF(C56,Habilidades!$A$33,Habilidades!$B$33), if(C56="Protetor 1", SUMIF(C56,Habilidades!$A$34,D56) * SUMIF(C56,Habilidades!$A$34,Habilidades!$B$34), if(C56="Protetor 2", SUMIF(C56,Habilidades!$A$35,D56) * SUMIF(C56,Habilidades!$A$35,Habilidades!$B$35), if(C56="Protetor 3", SUMIF(C56,Habilidades!$A$36,D56) * SUMIF(C56,Habilidades!$A$36,Habilidades!$B$36), if(C56="Engenhoso 1", SUMIF(C56,Habilidades!$A$40,D56) * SUMIF(C56,Habilidades!$A$40,Habilidades!$B$40), if(C56="Engenhoso 2", SUMIF(C56,Habilidades!$A$41,D56) * SUMIF(C56,Habilidades!$A$41,Habilidades!$B$41), if(C56="Engenhoso 3", SUMIF(C56,Habilidades!$A$42,D56) * SUMIF(C56,Habilidades!$A$42,Habilidades!$B$42), if(C56="Reviver 1", SUMIF(C56,Habilidades!$A$43,D56) * SUMIF(C56,Habilidades!$A$43,Habilidades!$B$43), if(C56="Reviver 2", SUMIF(C56,Habilidades!$A$44,D56) * SUMIF(C56,Habilidades!$A$44,Habilidades!$B$44), if(C56="Reviver 3", SUMIF(C56,Habilidades!$A$45,D56) * SUMIF(C56,Habilidades!$A$45,Habilidades!$B$45), if(C56="Catador 1", SUMIF(C56,Habilidades!$A$46,D56) * SUMIF(C56,Habilidades!$A$46,Habilidades!$B$46), if(C56="Catador 2", SUMIF(C56,Habilidades!$A$47,D56) * SUMIF(C56,Habilidades!$A$47,Habilidades!$B$47), if(C56="Catador 3", SUMIF(C56,Habilidades!$A$48,D56) * SUMIF(C56,Habilidades!$A$48,Habilidades!$B$48), if(C56="Fornecedor 1", SUMIF(C56,Habilidades!$A$49,D56) * SUMIF(C56,Habilidades!$A$49,Habilidades!$B$49), if(C56="Fornecedor 2", SUMIF(C56,Habilidades!$A$50,D56) * SUMIF(C56,Habilidades!$A$50,Habilidades!$B$50), if(C56="Fornecedor 3", SUMIF(C56,Habilidades!$A$51,D56) * SUMIF(C56,Habilidades!$A$51,Habilidades!$B$51), if(C56="Suporte 1", SUMIF(C56,Habilidades!$A$52,D56) * SUMIF(C56,Habilidades!$A$52,Habilidades!$B$52), if(C56="Suporte 2", SUMIF(C56,Habilidades!$A$53,D56) * SUMIF(C56,Habilidades!$A$53,Habilidades!$B$53), if(C56="Suporte 3", SUMIF(C56,Habilidades!$A$54,D56) * SUMIF(C56,Habilidades!$A$54,Habilidades!$B$54), if(C56="Caça-tesouros 1", SUMIF(C56,Habilidades!$A$55,D56) * SUMIF(C56,Habilidades!$A$55,Habilidades!$B$55), if(C56="Caça-tesouros 2", SUMIF(C56,Habilidades!$A$56,D56) * SUMIF(C56,Habilidades!$A$56,Habilidades!$B$56), if(C56="Caça-tesouros 3", SUMIF(C56,Habilidades!$A$57,D56) * SUMIF(C56,Habilidades!$A$57,Habilidades!$B$57), if(C56="Velocista 1", SUMIF(C56,Habilidades!$A$77,D56) * SUMIF(C56,Habilidades!$A$77,Habilidades!$B$77), if(C56="Velocista 2", SUMIF(C56,Habilidades!$A$78,D56) * SUMIF(C56,Habilidades!$A$78,Habilidades!$B$78), if(C56="Velocista 3", SUMIF(C56,Habilidades!$A$79,D56) * SUMIF(C56,Habilidades!$A$79,Habilidades!$B$79), "-"))))))))))))))))))))))))))))))))))))))</f>
        <v>-</v>
      </c>
      <c r="F56" s="110"/>
      <c r="G56" s="110"/>
      <c r="H56" s="110"/>
      <c r="I56" s="110"/>
      <c r="J56" s="110"/>
      <c r="K56" s="110"/>
      <c r="L56" s="110"/>
      <c r="M56" s="110"/>
      <c r="N56" s="110"/>
    </row>
    <row r="57">
      <c r="A57" s="111"/>
      <c r="B57" s="110"/>
      <c r="C57" s="142"/>
      <c r="D57" s="129">
        <f t="shared" si="2"/>
        <v>0</v>
      </c>
      <c r="E57" s="130" t="str">
        <f>if(C57="Detectar Segredo", SUMIF(C57,Habilidades!$A$11,D57) * SUMIF(C57,Habilidades!$A$11,Habilidades!$B$11), if(C57="Encontrar mágica", SUMIF(C57,Habilidades!$A$12,D57) * SUMIF(C57,Habilidades!$A$12,Habilidades!$B$12), if(C57="Cuidadoso 1", SUMIF(C57,Habilidades!$A$22,D57) * SUMIF(C57,Habilidades!$A$22,Habilidades!$B$22), if(C57="Cuidadoso 2", SUMIF(C57,Habilidades!$A$23,#REF!) * SUMIF(C57,Habilidades!$A$23,Habilidades!$B$23), if(C57="Cuidadoso 3", SUMIF(C57,Habilidades!$A$24,D57) * SUMIF(C57,Habilidades!$A$24,Habilidades!$B$24), if(C57="Ganancioso 1", SUMIF(C57,Habilidades!$A$25,D57) * SUMIF(C57,Habilidades!$A$25,Habilidades!$B$25), if(C57="Ganancioso 2", SUMIF(C57,Habilidades!$A$26,D57) * SUMIF(C57,Habilidades!$A$26,Habilidades!$B$26), if(C57="Ganancioso 3", SUMIF(C57,Habilidades!$A$27,D57) * SUMIF(C57,Habilidades!$A$27,Habilidades!$B$27), if(C57="Curandeiro 1", SUMIF(C57,Habilidades!$A$28,D57) * SUMIF(C57,Habilidades!$A$28,Habilidades!$B$28), if(C57="Curandeiro 2", SUMIF(C57,Habilidades!$A$29,D57) * SUMIF(C57,Habilidades!$A$29,Habilidades!$B$29), if(C57="Curandeiro 3", SUMIF(C57,Habilidades!$A$30,D57) * SUMIF(C57,Habilidades!$A$30,Habilidades!$B$30), if(C57="Sortudo 1", SUMIF(C57,Habilidades!$A$31,D57) * SUMIF(C57,Habilidades!$A$31,Habilidades!$B$31), if(C57="Sortudo 2", SUMIF(C57,Habilidades!$A$32,D57) * SUMIF(C57,Habilidades!$A$32,Habilidades!$B$32), if(C57="Sortudo 3", SUMIF(C57,Habilidades!$A$33,D57) * SUMIF(C57,Habilidades!$A$33,Habilidades!$B$33), if(C57="Protetor 1", SUMIF(C57,Habilidades!$A$34,D57) * SUMIF(C57,Habilidades!$A$34,Habilidades!$B$34), if(C57="Protetor 2", SUMIF(C57,Habilidades!$A$35,D57) * SUMIF(C57,Habilidades!$A$35,Habilidades!$B$35), if(C57="Protetor 3", SUMIF(C57,Habilidades!$A$36,D57) * SUMIF(C57,Habilidades!$A$36,Habilidades!$B$36), if(C57="Engenhoso 1", SUMIF(C57,Habilidades!$A$40,D57) * SUMIF(C57,Habilidades!$A$40,Habilidades!$B$40), if(C57="Engenhoso 2", SUMIF(C57,Habilidades!$A$41,D57) * SUMIF(C57,Habilidades!$A$41,Habilidades!$B$41), if(C57="Engenhoso 3", SUMIF(C57,Habilidades!$A$42,D57) * SUMIF(C57,Habilidades!$A$42,Habilidades!$B$42), if(C57="Reviver 1", SUMIF(C57,Habilidades!$A$43,D57) * SUMIF(C57,Habilidades!$A$43,Habilidades!$B$43), if(C57="Reviver 2", SUMIF(C57,Habilidades!$A$44,D57) * SUMIF(C57,Habilidades!$A$44,Habilidades!$B$44), if(C57="Reviver 3", SUMIF(C57,Habilidades!$A$45,D57) * SUMIF(C57,Habilidades!$A$45,Habilidades!$B$45), if(C57="Catador 1", SUMIF(C57,Habilidades!$A$46,D57) * SUMIF(C57,Habilidades!$A$46,Habilidades!$B$46), if(C57="Catador 2", SUMIF(C57,Habilidades!$A$47,D57) * SUMIF(C57,Habilidades!$A$47,Habilidades!$B$47), if(C57="Catador 3", SUMIF(C57,Habilidades!$A$48,D57) * SUMIF(C57,Habilidades!$A$48,Habilidades!$B$48), if(C57="Fornecedor 1", SUMIF(C57,Habilidades!$A$49,D57) * SUMIF(C57,Habilidades!$A$49,Habilidades!$B$49), if(C57="Fornecedor 2", SUMIF(C57,Habilidades!$A$50,D57) * SUMIF(C57,Habilidades!$A$50,Habilidades!$B$50), if(C57="Fornecedor 3", SUMIF(C57,Habilidades!$A$51,D57) * SUMIF(C57,Habilidades!$A$51,Habilidades!$B$51), if(C57="Suporte 1", SUMIF(C57,Habilidades!$A$52,D57) * SUMIF(C57,Habilidades!$A$52,Habilidades!$B$52), if(C57="Suporte 2", SUMIF(C57,Habilidades!$A$53,D57) * SUMIF(C57,Habilidades!$A$53,Habilidades!$B$53), if(C57="Suporte 3", SUMIF(C57,Habilidades!$A$54,D57) * SUMIF(C57,Habilidades!$A$54,Habilidades!$B$54), if(C57="Caça-tesouros 1", SUMIF(C57,Habilidades!$A$55,D57) * SUMIF(C57,Habilidades!$A$55,Habilidades!$B$55), if(C57="Caça-tesouros 2", SUMIF(C57,Habilidades!$A$56,D57) * SUMIF(C57,Habilidades!$A$56,Habilidades!$B$56), if(C57="Caça-tesouros 3", SUMIF(C57,Habilidades!$A$57,D57) * SUMIF(C57,Habilidades!$A$57,Habilidades!$B$57), if(C57="Velocista 1", SUMIF(C57,Habilidades!$A$77,D57) * SUMIF(C57,Habilidades!$A$77,Habilidades!$B$77), if(C57="Velocista 2", SUMIF(C57,Habilidades!$A$78,D57) * SUMIF(C57,Habilidades!$A$78,Habilidades!$B$78), if(C57="Velocista 3", SUMIF(C57,Habilidades!$A$79,D57) * SUMIF(C57,Habilidades!$A$79,Habilidades!$B$79), "-"))))))))))))))))))))))))))))))))))))))</f>
        <v>-</v>
      </c>
      <c r="F57" s="110"/>
      <c r="G57" s="110"/>
      <c r="H57" s="110"/>
      <c r="I57" s="110"/>
      <c r="J57" s="110"/>
      <c r="K57" s="110"/>
      <c r="L57" s="110"/>
      <c r="M57" s="110"/>
      <c r="N57" s="110"/>
    </row>
    <row r="58">
      <c r="A58" s="111"/>
      <c r="B58" s="110"/>
      <c r="C58" s="142"/>
      <c r="D58" s="129">
        <f t="shared" si="2"/>
        <v>0</v>
      </c>
      <c r="E58" s="130" t="str">
        <f>if(C58="Detectar Segredo", SUMIF(C58,Habilidades!$A$11,D58) * SUMIF(C58,Habilidades!$A$11,Habilidades!$B$11), if(C58="Encontrar mágica", SUMIF(C58,Habilidades!$A$12,D58) * SUMIF(C58,Habilidades!$A$12,Habilidades!$B$12), if(C58="Cuidadoso 1", SUMIF(C58,Habilidades!$A$22,D58) * SUMIF(C58,Habilidades!$A$22,Habilidades!$B$22), if(C58="Cuidadoso 2", SUMIF(C58,Habilidades!$A$23,#REF!) * SUMIF(C58,Habilidades!$A$23,Habilidades!$B$23), if(C58="Cuidadoso 3", SUMIF(C58,Habilidades!$A$24,D58) * SUMIF(C58,Habilidades!$A$24,Habilidades!$B$24), if(C58="Ganancioso 1", SUMIF(C58,Habilidades!$A$25,D58) * SUMIF(C58,Habilidades!$A$25,Habilidades!$B$25), if(C58="Ganancioso 2", SUMIF(C58,Habilidades!$A$26,D58) * SUMIF(C58,Habilidades!$A$26,Habilidades!$B$26), if(C58="Ganancioso 3", SUMIF(C58,Habilidades!$A$27,D58) * SUMIF(C58,Habilidades!$A$27,Habilidades!$B$27), if(C58="Curandeiro 1", SUMIF(C58,Habilidades!$A$28,D58) * SUMIF(C58,Habilidades!$A$28,Habilidades!$B$28), if(C58="Curandeiro 2", SUMIF(C58,Habilidades!$A$29,D58) * SUMIF(C58,Habilidades!$A$29,Habilidades!$B$29), if(C58="Curandeiro 3", SUMIF(C58,Habilidades!$A$30,D58) * SUMIF(C58,Habilidades!$A$30,Habilidades!$B$30), if(C58="Sortudo 1", SUMIF(C58,Habilidades!$A$31,D58) * SUMIF(C58,Habilidades!$A$31,Habilidades!$B$31), if(C58="Sortudo 2", SUMIF(C58,Habilidades!$A$32,D58) * SUMIF(C58,Habilidades!$A$32,Habilidades!$B$32), if(C58="Sortudo 3", SUMIF(C58,Habilidades!$A$33,D58) * SUMIF(C58,Habilidades!$A$33,Habilidades!$B$33), if(C58="Protetor 1", SUMIF(C58,Habilidades!$A$34,D58) * SUMIF(C58,Habilidades!$A$34,Habilidades!$B$34), if(C58="Protetor 2", SUMIF(C58,Habilidades!$A$35,D58) * SUMIF(C58,Habilidades!$A$35,Habilidades!$B$35), if(C58="Protetor 3", SUMIF(C58,Habilidades!$A$36,D58) * SUMIF(C58,Habilidades!$A$36,Habilidades!$B$36), if(C58="Engenhoso 1", SUMIF(C58,Habilidades!$A$40,D58) * SUMIF(C58,Habilidades!$A$40,Habilidades!$B$40), if(C58="Engenhoso 2", SUMIF(C58,Habilidades!$A$41,D58) * SUMIF(C58,Habilidades!$A$41,Habilidades!$B$41), if(C58="Engenhoso 3", SUMIF(C58,Habilidades!$A$42,D58) * SUMIF(C58,Habilidades!$A$42,Habilidades!$B$42), if(C58="Reviver 1", SUMIF(C58,Habilidades!$A$43,D58) * SUMIF(C58,Habilidades!$A$43,Habilidades!$B$43), if(C58="Reviver 2", SUMIF(C58,Habilidades!$A$44,D58) * SUMIF(C58,Habilidades!$A$44,Habilidades!$B$44), if(C58="Reviver 3", SUMIF(C58,Habilidades!$A$45,D58) * SUMIF(C58,Habilidades!$A$45,Habilidades!$B$45), if(C58="Catador 1", SUMIF(C58,Habilidades!$A$46,D58) * SUMIF(C58,Habilidades!$A$46,Habilidades!$B$46), if(C58="Catador 2", SUMIF(C58,Habilidades!$A$47,D58) * SUMIF(C58,Habilidades!$A$47,Habilidades!$B$47), if(C58="Catador 3", SUMIF(C58,Habilidades!$A$48,D58) * SUMIF(C58,Habilidades!$A$48,Habilidades!$B$48), if(C58="Fornecedor 1", SUMIF(C58,Habilidades!$A$49,D58) * SUMIF(C58,Habilidades!$A$49,Habilidades!$B$49), if(C58="Fornecedor 2", SUMIF(C58,Habilidades!$A$50,D58) * SUMIF(C58,Habilidades!$A$50,Habilidades!$B$50), if(C58="Fornecedor 3", SUMIF(C58,Habilidades!$A$51,D58) * SUMIF(C58,Habilidades!$A$51,Habilidades!$B$51), if(C58="Suporte 1", SUMIF(C58,Habilidades!$A$52,D58) * SUMIF(C58,Habilidades!$A$52,Habilidades!$B$52), if(C58="Suporte 2", SUMIF(C58,Habilidades!$A$53,D58) * SUMIF(C58,Habilidades!$A$53,Habilidades!$B$53), if(C58="Suporte 3", SUMIF(C58,Habilidades!$A$54,D58) * SUMIF(C58,Habilidades!$A$54,Habilidades!$B$54), if(C58="Caça-tesouros 1", SUMIF(C58,Habilidades!$A$55,D58) * SUMIF(C58,Habilidades!$A$55,Habilidades!$B$55), if(C58="Caça-tesouros 2", SUMIF(C58,Habilidades!$A$56,D58) * SUMIF(C58,Habilidades!$A$56,Habilidades!$B$56), if(C58="Caça-tesouros 3", SUMIF(C58,Habilidades!$A$57,D58) * SUMIF(C58,Habilidades!$A$57,Habilidades!$B$57), if(C58="Velocista 1", SUMIF(C58,Habilidades!$A$77,D58) * SUMIF(C58,Habilidades!$A$77,Habilidades!$B$77), if(C58="Velocista 2", SUMIF(C58,Habilidades!$A$78,D58) * SUMIF(C58,Habilidades!$A$78,Habilidades!$B$78), if(C58="Velocista 3", SUMIF(C58,Habilidades!$A$79,D58) * SUMIF(C58,Habilidades!$A$79,Habilidades!$B$79), "-"))))))))))))))))))))))))))))))))))))))</f>
        <v>-</v>
      </c>
      <c r="F58" s="110"/>
      <c r="G58" s="110"/>
      <c r="H58" s="110"/>
      <c r="I58" s="110"/>
      <c r="J58" s="110"/>
      <c r="K58" s="110"/>
      <c r="L58" s="110"/>
      <c r="M58" s="110"/>
      <c r="N58" s="110"/>
    </row>
    <row r="59">
      <c r="A59" s="111"/>
      <c r="B59" s="110"/>
      <c r="C59" s="142"/>
      <c r="D59" s="129">
        <f t="shared" si="2"/>
        <v>0</v>
      </c>
      <c r="E59" s="130" t="str">
        <f>if(C59="Detectar Segredo", SUMIF(C59,Habilidades!$A$11,D59) * SUMIF(C59,Habilidades!$A$11,Habilidades!$B$11), if(C59="Encontrar mágica", SUMIF(C59,Habilidades!$A$12,D59) * SUMIF(C59,Habilidades!$A$12,Habilidades!$B$12), if(C59="Cuidadoso 1", SUMIF(C59,Habilidades!$A$22,D59) * SUMIF(C59,Habilidades!$A$22,Habilidades!$B$22), if(C59="Cuidadoso 2", SUMIF(C59,Habilidades!$A$23,#REF!) * SUMIF(C59,Habilidades!$A$23,Habilidades!$B$23), if(C59="Cuidadoso 3", SUMIF(C59,Habilidades!$A$24,D59) * SUMIF(C59,Habilidades!$A$24,Habilidades!$B$24), if(C59="Ganancioso 1", SUMIF(C59,Habilidades!$A$25,D59) * SUMIF(C59,Habilidades!$A$25,Habilidades!$B$25), if(C59="Ganancioso 2", SUMIF(C59,Habilidades!$A$26,D59) * SUMIF(C59,Habilidades!$A$26,Habilidades!$B$26), if(C59="Ganancioso 3", SUMIF(C59,Habilidades!$A$27,D59) * SUMIF(C59,Habilidades!$A$27,Habilidades!$B$27), if(C59="Curandeiro 1", SUMIF(C59,Habilidades!$A$28,D59) * SUMIF(C59,Habilidades!$A$28,Habilidades!$B$28), if(C59="Curandeiro 2", SUMIF(C59,Habilidades!$A$29,D59) * SUMIF(C59,Habilidades!$A$29,Habilidades!$B$29), if(C59="Curandeiro 3", SUMIF(C59,Habilidades!$A$30,D59) * SUMIF(C59,Habilidades!$A$30,Habilidades!$B$30), if(C59="Sortudo 1", SUMIF(C59,Habilidades!$A$31,D59) * SUMIF(C59,Habilidades!$A$31,Habilidades!$B$31), if(C59="Sortudo 2", SUMIF(C59,Habilidades!$A$32,D59) * SUMIF(C59,Habilidades!$A$32,Habilidades!$B$32), if(C59="Sortudo 3", SUMIF(C59,Habilidades!$A$33,D59) * SUMIF(C59,Habilidades!$A$33,Habilidades!$B$33), if(C59="Protetor 1", SUMIF(C59,Habilidades!$A$34,D59) * SUMIF(C59,Habilidades!$A$34,Habilidades!$B$34), if(C59="Protetor 2", SUMIF(C59,Habilidades!$A$35,D59) * SUMIF(C59,Habilidades!$A$35,Habilidades!$B$35), if(C59="Protetor 3", SUMIF(C59,Habilidades!$A$36,D59) * SUMIF(C59,Habilidades!$A$36,Habilidades!$B$36), if(C59="Engenhoso 1", SUMIF(C59,Habilidades!$A$40,D59) * SUMIF(C59,Habilidades!$A$40,Habilidades!$B$40), if(C59="Engenhoso 2", SUMIF(C59,Habilidades!$A$41,D59) * SUMIF(C59,Habilidades!$A$41,Habilidades!$B$41), if(C59="Engenhoso 3", SUMIF(C59,Habilidades!$A$42,D59) * SUMIF(C59,Habilidades!$A$42,Habilidades!$B$42), if(C59="Reviver 1", SUMIF(C59,Habilidades!$A$43,D59) * SUMIF(C59,Habilidades!$A$43,Habilidades!$B$43), if(C59="Reviver 2", SUMIF(C59,Habilidades!$A$44,D59) * SUMIF(C59,Habilidades!$A$44,Habilidades!$B$44), if(C59="Reviver 3", SUMIF(C59,Habilidades!$A$45,D59) * SUMIF(C59,Habilidades!$A$45,Habilidades!$B$45), if(C59="Catador 1", SUMIF(C59,Habilidades!$A$46,D59) * SUMIF(C59,Habilidades!$A$46,Habilidades!$B$46), if(C59="Catador 2", SUMIF(C59,Habilidades!$A$47,D59) * SUMIF(C59,Habilidades!$A$47,Habilidades!$B$47), if(C59="Catador 3", SUMIF(C59,Habilidades!$A$48,D59) * SUMIF(C59,Habilidades!$A$48,Habilidades!$B$48), if(C59="Fornecedor 1", SUMIF(C59,Habilidades!$A$49,D59) * SUMIF(C59,Habilidades!$A$49,Habilidades!$B$49), if(C59="Fornecedor 2", SUMIF(C59,Habilidades!$A$50,D59) * SUMIF(C59,Habilidades!$A$50,Habilidades!$B$50), if(C59="Fornecedor 3", SUMIF(C59,Habilidades!$A$51,D59) * SUMIF(C59,Habilidades!$A$51,Habilidades!$B$51), if(C59="Suporte 1", SUMIF(C59,Habilidades!$A$52,D59) * SUMIF(C59,Habilidades!$A$52,Habilidades!$B$52), if(C59="Suporte 2", SUMIF(C59,Habilidades!$A$53,D59) * SUMIF(C59,Habilidades!$A$53,Habilidades!$B$53), if(C59="Suporte 3", SUMIF(C59,Habilidades!$A$54,D59) * SUMIF(C59,Habilidades!$A$54,Habilidades!$B$54), if(C59="Caça-tesouros 1", SUMIF(C59,Habilidades!$A$55,D59) * SUMIF(C59,Habilidades!$A$55,Habilidades!$B$55), if(C59="Caça-tesouros 2", SUMIF(C59,Habilidades!$A$56,D59) * SUMIF(C59,Habilidades!$A$56,Habilidades!$B$56), if(C59="Caça-tesouros 3", SUMIF(C59,Habilidades!$A$57,D59) * SUMIF(C59,Habilidades!$A$57,Habilidades!$B$57), if(C59="Velocista 1", SUMIF(C59,Habilidades!$A$77,D59) * SUMIF(C59,Habilidades!$A$77,Habilidades!$B$77), if(C59="Velocista 2", SUMIF(C59,Habilidades!$A$78,D59) * SUMIF(C59,Habilidades!$A$78,Habilidades!$B$78), if(C59="Velocista 3", SUMIF(C59,Habilidades!$A$79,D59) * SUMIF(C59,Habilidades!$A$79,Habilidades!$B$79), "-"))))))))))))))))))))))))))))))))))))))</f>
        <v>-</v>
      </c>
      <c r="F59" s="110"/>
      <c r="G59" s="110"/>
      <c r="H59" s="110"/>
      <c r="I59" s="110"/>
      <c r="J59" s="110"/>
      <c r="K59" s="110"/>
      <c r="L59" s="110"/>
      <c r="M59" s="110"/>
      <c r="N59" s="110"/>
    </row>
    <row r="60">
      <c r="A60" s="111"/>
      <c r="B60" s="110"/>
      <c r="C60" s="142"/>
      <c r="D60" s="129">
        <f t="shared" si="2"/>
        <v>0</v>
      </c>
      <c r="E60" s="130" t="str">
        <f>if(C60="Detectar Segredo", SUMIF(C60,Habilidades!$A$11,D60) * SUMIF(C60,Habilidades!$A$11,Habilidades!$B$11), if(C60="Encontrar mágica", SUMIF(C60,Habilidades!$A$12,D60) * SUMIF(C60,Habilidades!$A$12,Habilidades!$B$12), if(C60="Cuidadoso 1", SUMIF(C60,Habilidades!$A$22,D60) * SUMIF(C60,Habilidades!$A$22,Habilidades!$B$22), if(C60="Cuidadoso 2", SUMIF(C60,Habilidades!$A$23,#REF!) * SUMIF(C60,Habilidades!$A$23,Habilidades!$B$23), if(C60="Cuidadoso 3", SUMIF(C60,Habilidades!$A$24,D60) * SUMIF(C60,Habilidades!$A$24,Habilidades!$B$24), if(C60="Ganancioso 1", SUMIF(C60,Habilidades!$A$25,D60) * SUMIF(C60,Habilidades!$A$25,Habilidades!$B$25), if(C60="Ganancioso 2", SUMIF(C60,Habilidades!$A$26,D60) * SUMIF(C60,Habilidades!$A$26,Habilidades!$B$26), if(C60="Ganancioso 3", SUMIF(C60,Habilidades!$A$27,D60) * SUMIF(C60,Habilidades!$A$27,Habilidades!$B$27), if(C60="Curandeiro 1", SUMIF(C60,Habilidades!$A$28,D60) * SUMIF(C60,Habilidades!$A$28,Habilidades!$B$28), if(C60="Curandeiro 2", SUMIF(C60,Habilidades!$A$29,D60) * SUMIF(C60,Habilidades!$A$29,Habilidades!$B$29), if(C60="Curandeiro 3", SUMIF(C60,Habilidades!$A$30,D60) * SUMIF(C60,Habilidades!$A$30,Habilidades!$B$30), if(C60="Sortudo 1", SUMIF(C60,Habilidades!$A$31,D60) * SUMIF(C60,Habilidades!$A$31,Habilidades!$B$31), if(C60="Sortudo 2", SUMIF(C60,Habilidades!$A$32,D60) * SUMIF(C60,Habilidades!$A$32,Habilidades!$B$32), if(C60="Sortudo 3", SUMIF(C60,Habilidades!$A$33,D60) * SUMIF(C60,Habilidades!$A$33,Habilidades!$B$33), if(C60="Protetor 1", SUMIF(C60,Habilidades!$A$34,D60) * SUMIF(C60,Habilidades!$A$34,Habilidades!$B$34), if(C60="Protetor 2", SUMIF(C60,Habilidades!$A$35,D60) * SUMIF(C60,Habilidades!$A$35,Habilidades!$B$35), if(C60="Protetor 3", SUMIF(C60,Habilidades!$A$36,D60) * SUMIF(C60,Habilidades!$A$36,Habilidades!$B$36), if(C60="Engenhoso 1", SUMIF(C60,Habilidades!$A$40,D60) * SUMIF(C60,Habilidades!$A$40,Habilidades!$B$40), if(C60="Engenhoso 2", SUMIF(C60,Habilidades!$A$41,D60) * SUMIF(C60,Habilidades!$A$41,Habilidades!$B$41), if(C60="Engenhoso 3", SUMIF(C60,Habilidades!$A$42,D60) * SUMIF(C60,Habilidades!$A$42,Habilidades!$B$42), if(C60="Reviver 1", SUMIF(C60,Habilidades!$A$43,D60) * SUMIF(C60,Habilidades!$A$43,Habilidades!$B$43), if(C60="Reviver 2", SUMIF(C60,Habilidades!$A$44,D60) * SUMIF(C60,Habilidades!$A$44,Habilidades!$B$44), if(C60="Reviver 3", SUMIF(C60,Habilidades!$A$45,D60) * SUMIF(C60,Habilidades!$A$45,Habilidades!$B$45), if(C60="Catador 1", SUMIF(C60,Habilidades!$A$46,D60) * SUMIF(C60,Habilidades!$A$46,Habilidades!$B$46), if(C60="Catador 2", SUMIF(C60,Habilidades!$A$47,D60) * SUMIF(C60,Habilidades!$A$47,Habilidades!$B$47), if(C60="Catador 3", SUMIF(C60,Habilidades!$A$48,D60) * SUMIF(C60,Habilidades!$A$48,Habilidades!$B$48), if(C60="Fornecedor 1", SUMIF(C60,Habilidades!$A$49,D60) * SUMIF(C60,Habilidades!$A$49,Habilidades!$B$49), if(C60="Fornecedor 2", SUMIF(C60,Habilidades!$A$50,D60) * SUMIF(C60,Habilidades!$A$50,Habilidades!$B$50), if(C60="Fornecedor 3", SUMIF(C60,Habilidades!$A$51,D60) * SUMIF(C60,Habilidades!$A$51,Habilidades!$B$51), if(C60="Suporte 1", SUMIF(C60,Habilidades!$A$52,D60) * SUMIF(C60,Habilidades!$A$52,Habilidades!$B$52), if(C60="Suporte 2", SUMIF(C60,Habilidades!$A$53,D60) * SUMIF(C60,Habilidades!$A$53,Habilidades!$B$53), if(C60="Suporte 3", SUMIF(C60,Habilidades!$A$54,D60) * SUMIF(C60,Habilidades!$A$54,Habilidades!$B$54), if(C60="Caça-tesouros 1", SUMIF(C60,Habilidades!$A$55,D60) * SUMIF(C60,Habilidades!$A$55,Habilidades!$B$55), if(C60="Caça-tesouros 2", SUMIF(C60,Habilidades!$A$56,D60) * SUMIF(C60,Habilidades!$A$56,Habilidades!$B$56), if(C60="Caça-tesouros 3", SUMIF(C60,Habilidades!$A$57,D60) * SUMIF(C60,Habilidades!$A$57,Habilidades!$B$57), if(C60="Velocista 1", SUMIF(C60,Habilidades!$A$77,D60) * SUMIF(C60,Habilidades!$A$77,Habilidades!$B$77), if(C60="Velocista 2", SUMIF(C60,Habilidades!$A$78,D60) * SUMIF(C60,Habilidades!$A$78,Habilidades!$B$78), if(C60="Velocista 3", SUMIF(C60,Habilidades!$A$79,D60) * SUMIF(C60,Habilidades!$A$79,Habilidades!$B$79), "-"))))))))))))))))))))))))))))))))))))))</f>
        <v>-</v>
      </c>
      <c r="F60" s="110"/>
      <c r="G60" s="110"/>
      <c r="H60" s="110"/>
      <c r="I60" s="110"/>
      <c r="J60" s="110"/>
      <c r="K60" s="110"/>
      <c r="L60" s="110"/>
      <c r="M60" s="110"/>
      <c r="N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</sheetData>
  <mergeCells count="3">
    <mergeCell ref="C10:M10"/>
    <mergeCell ref="K19:L19"/>
    <mergeCell ref="K20:L20"/>
  </mergeCells>
  <conditionalFormatting sqref="H20">
    <cfRule type="cellIs" dxfId="6" priority="1" operator="greaterThan">
      <formula>100</formula>
    </cfRule>
  </conditionalFormatting>
  <conditionalFormatting sqref="H20">
    <cfRule type="cellIs" dxfId="7" priority="2" operator="lessThanOrEqual">
      <formula>100</formula>
    </cfRule>
  </conditionalFormatting>
  <conditionalFormatting sqref="I20">
    <cfRule type="cellIs" dxfId="8" priority="3" operator="lessThanOrEqual">
      <formula>100</formula>
    </cfRule>
  </conditionalFormatting>
  <conditionalFormatting sqref="I20">
    <cfRule type="cellIs" dxfId="9" priority="4" operator="greaterThan">
      <formula>100</formula>
    </cfRule>
  </conditionalFormatting>
  <dataValidations>
    <dataValidation type="list" allowBlank="1" showErrorMessage="1" sqref="J3">
      <formula1>Listas!$A$764:$A$962</formula1>
    </dataValidation>
    <dataValidation type="list" allowBlank="1" showErrorMessage="1" sqref="F5">
      <formula1>Listas!$AC$1:$AC$301</formula1>
    </dataValidation>
    <dataValidation type="list" allowBlank="1" showErrorMessage="1" sqref="I8">
      <formula1>Listas!$AI$402:$AI$762</formula1>
    </dataValidation>
    <dataValidation type="list" allowBlank="1" showErrorMessage="1" sqref="F3">
      <formula1>Listas!$Y$1:$Y$301</formula1>
    </dataValidation>
    <dataValidation type="list" allowBlank="1" showErrorMessage="1" sqref="F4">
      <formula1>Listas!$AA$1:$AA$301</formula1>
    </dataValidation>
    <dataValidation type="list" allowBlank="1" showErrorMessage="1" sqref="E8">
      <formula1>Listas!$W$1:$W$301</formula1>
    </dataValidation>
    <dataValidation type="list" allowBlank="1" showErrorMessage="1" sqref="G3">
      <formula1>Listas!$A$402:$A$762</formula1>
    </dataValidation>
    <dataValidation type="list" allowBlank="1" showErrorMessage="1" sqref="I7">
      <formula1>Listas!$AG$402:$AG$762</formula1>
    </dataValidation>
    <dataValidation type="list" allowBlank="1" showErrorMessage="1" sqref="F7">
      <formula1>Listas!$AG$1:$AG$301</formula1>
    </dataValidation>
    <dataValidation type="list" allowBlank="1" showErrorMessage="1" sqref="F6">
      <formula1>Listas!$AE$1:$AE$301</formula1>
    </dataValidation>
    <dataValidation type="list" allowBlank="1" showErrorMessage="1" sqref="I3">
      <formula1>Listas!$Y$402:$Y$762</formula1>
    </dataValidation>
    <dataValidation type="list" allowBlank="1" showErrorMessage="1" sqref="D6">
      <formula1>Listas!$G$1:$G$301</formula1>
    </dataValidation>
    <dataValidation type="list" allowBlank="1" showErrorMessage="1" sqref="I6">
      <formula1>Listas!$AE$402:$AE$762</formula1>
    </dataValidation>
    <dataValidation type="list" allowBlank="1" showErrorMessage="1" sqref="D8">
      <formula1>Listas!$K$1:$K$301</formula1>
    </dataValidation>
    <dataValidation type="list" allowBlank="1" showErrorMessage="1" sqref="D5">
      <formula1>Listas!E1:E301</formula1>
    </dataValidation>
    <dataValidation type="list" allowBlank="1" showErrorMessage="1" sqref="H8">
      <formula1>Listas!$W$402:$W$762</formula1>
    </dataValidation>
    <dataValidation type="list" allowBlank="1" showErrorMessage="1" sqref="D7">
      <formula1>Listas!$I$1:$I$301</formula1>
    </dataValidation>
    <dataValidation type="list" allowBlank="1" showErrorMessage="1" sqref="F8">
      <formula1>Listas!$AI$1:$AI$301</formula1>
    </dataValidation>
    <dataValidation type="list" allowBlank="1" showErrorMessage="1" sqref="E7">
      <formula1>Listas!$U$1:$U$301</formula1>
    </dataValidation>
    <dataValidation type="list" allowBlank="1" showErrorMessage="1" sqref="H7">
      <formula1>Listas!$U$402:$U$762</formula1>
    </dataValidation>
    <dataValidation type="list" allowBlank="1" showErrorMessage="1" sqref="J7">
      <formula1>Listas!$I$764:$I$962</formula1>
    </dataValidation>
    <dataValidation type="list" allowBlank="1" showErrorMessage="1" sqref="G7">
      <formula1>Listas!$I$402:$I$762</formula1>
    </dataValidation>
    <dataValidation type="list" allowBlank="1" showErrorMessage="1" sqref="J8">
      <formula1>Listas!$K$764:$K$962</formula1>
    </dataValidation>
    <dataValidation type="list" allowBlank="1" showErrorMessage="1" sqref="H3">
      <formula1>Listas!$M$402:$M$762</formula1>
    </dataValidation>
    <dataValidation type="list" allowBlank="1" showErrorMessage="1" sqref="J6">
      <formula1>Listas!$G$764:$G$962</formula1>
    </dataValidation>
    <dataValidation type="list" allowBlank="1" showErrorMessage="1" sqref="G8">
      <formula1>Listas!$K$402:$K$762</formula1>
    </dataValidation>
    <dataValidation type="list" allowBlank="1" showErrorMessage="1" sqref="H6">
      <formula1>Listas!$S$402:$S$762</formula1>
    </dataValidation>
    <dataValidation type="list" allowBlank="1" showErrorMessage="1" sqref="G6">
      <formula1>Listas!$G$402:$G$762</formula1>
    </dataValidation>
    <dataValidation type="list" allowBlank="1" showErrorMessage="1" sqref="J5">
      <formula1>Listas!$E$764:$E$962</formula1>
    </dataValidation>
    <dataValidation type="list" allowBlank="1" showErrorMessage="1" sqref="E3">
      <formula1>Listas!$M$1:$M$301</formula1>
    </dataValidation>
    <dataValidation type="list" allowBlank="1" showErrorMessage="1" sqref="I4">
      <formula1>Listas!$AA$402:$AA$762</formula1>
    </dataValidation>
    <dataValidation type="list" allowBlank="1" showErrorMessage="1" sqref="E6">
      <formula1>Listas!$S$1:$S$301</formula1>
    </dataValidation>
    <dataValidation type="list" allowBlank="1" showErrorMessage="1" sqref="D3">
      <formula1>Listas!$A$1:$A$301</formula1>
    </dataValidation>
    <dataValidation type="list" allowBlank="1" showErrorMessage="1" sqref="E4">
      <formula1>Listas!$O$1:$O$301</formula1>
    </dataValidation>
    <dataValidation type="list" allowBlank="1" showErrorMessage="1" sqref="G5">
      <formula1>Listas!$E$402:$E$762</formula1>
    </dataValidation>
    <dataValidation type="list" allowBlank="1" showErrorMessage="1" sqref="J4">
      <formula1>Listas!$C$764:$C$962</formula1>
    </dataValidation>
    <dataValidation type="list" allowBlank="1" showErrorMessage="1" sqref="H4">
      <formula1>Listas!$O$402:$O$762</formula1>
    </dataValidation>
    <dataValidation type="list" allowBlank="1" showErrorMessage="1" sqref="H5">
      <formula1>Listas!$Q$402:$Q$762</formula1>
    </dataValidation>
    <dataValidation type="list" allowBlank="1" showErrorMessage="1" sqref="I5">
      <formula1>Listas!$AC$402:$AC$762</formula1>
    </dataValidation>
    <dataValidation type="list" allowBlank="1" showErrorMessage="1" sqref="G4">
      <formula1>Listas!$C$402:$C$762</formula1>
    </dataValidation>
    <dataValidation type="list" allowBlank="1" showErrorMessage="1" sqref="C3:C8">
      <formula1>Personagem!$B$1:$AC$1</formula1>
    </dataValidation>
    <dataValidation type="list" allowBlank="1" showErrorMessage="1" sqref="D4">
      <formula1>Listas!$C$1:$C$301</formula1>
    </dataValidation>
    <dataValidation type="list" allowBlank="1" showErrorMessage="1" sqref="E5">
      <formula1>Listas!$Q$1:$Q$301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0.38" outlineLevel="1"/>
    <col customWidth="1" min="2" max="2" width="2.63"/>
    <col customWidth="1" min="3" max="3" width="11.5"/>
    <col customWidth="1" min="4" max="4" width="20.5"/>
    <col customWidth="1" min="5" max="5" width="14.63"/>
    <col customWidth="1" min="6" max="6" width="15.63"/>
    <col customWidth="1" min="7" max="7" width="16.0"/>
    <col customWidth="1" min="8" max="8" width="18.0"/>
    <col customWidth="1" min="9" max="9" width="17.38"/>
    <col customWidth="1" min="10" max="10" width="17.25"/>
    <col customWidth="1" min="11" max="11" width="17.38"/>
    <col customWidth="1" min="12" max="12" width="17.25"/>
    <col customWidth="1" min="13" max="14" width="15.75"/>
  </cols>
  <sheetData>
    <row r="1">
      <c r="A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>
      <c r="C2" s="112" t="s">
        <v>807</v>
      </c>
      <c r="D2" s="113" t="s">
        <v>35</v>
      </c>
      <c r="E2" s="113" t="s">
        <v>44</v>
      </c>
      <c r="F2" s="113" t="s">
        <v>48</v>
      </c>
      <c r="G2" s="113" t="s">
        <v>51</v>
      </c>
      <c r="H2" s="113" t="s">
        <v>54</v>
      </c>
      <c r="I2" s="113" t="s">
        <v>57</v>
      </c>
      <c r="J2" s="113" t="s">
        <v>62</v>
      </c>
      <c r="K2" s="110"/>
      <c r="L2" s="110"/>
      <c r="M2" s="110"/>
      <c r="N2" s="110"/>
    </row>
    <row r="3">
      <c r="C3" s="114" t="s">
        <v>20</v>
      </c>
      <c r="D3" s="120" t="s">
        <v>385</v>
      </c>
      <c r="E3" s="114" t="s">
        <v>702</v>
      </c>
      <c r="F3" s="116" t="s">
        <v>292</v>
      </c>
      <c r="G3" s="121" t="s">
        <v>489</v>
      </c>
      <c r="H3" s="114" t="s">
        <v>665</v>
      </c>
      <c r="I3" s="114" t="s">
        <v>99</v>
      </c>
      <c r="J3" s="116" t="s">
        <v>638</v>
      </c>
      <c r="K3" s="117"/>
      <c r="L3" s="110"/>
      <c r="M3" s="110"/>
      <c r="N3" s="110"/>
    </row>
    <row r="4">
      <c r="C4" s="114" t="s">
        <v>22</v>
      </c>
      <c r="D4" s="118" t="s">
        <v>385</v>
      </c>
      <c r="E4" s="119" t="s">
        <v>175</v>
      </c>
      <c r="F4" s="116" t="s">
        <v>302</v>
      </c>
      <c r="G4" s="119" t="s">
        <v>526</v>
      </c>
      <c r="H4" s="119" t="s">
        <v>214</v>
      </c>
      <c r="I4" s="119" t="s">
        <v>375</v>
      </c>
      <c r="J4" s="119" t="s">
        <v>621</v>
      </c>
      <c r="K4" s="117"/>
      <c r="L4" s="110"/>
      <c r="M4" s="110"/>
      <c r="N4" s="110"/>
    </row>
    <row r="5">
      <c r="C5" s="114" t="s">
        <v>11</v>
      </c>
      <c r="D5" s="120" t="s">
        <v>385</v>
      </c>
      <c r="E5" s="121" t="s">
        <v>175</v>
      </c>
      <c r="F5" s="116" t="s">
        <v>302</v>
      </c>
      <c r="G5" s="143" t="s">
        <v>526</v>
      </c>
      <c r="H5" s="121" t="s">
        <v>214</v>
      </c>
      <c r="I5" s="121" t="s">
        <v>375</v>
      </c>
      <c r="J5" s="143" t="s">
        <v>621</v>
      </c>
      <c r="K5" s="117"/>
      <c r="L5" s="110"/>
      <c r="M5" s="110"/>
      <c r="N5" s="110"/>
    </row>
    <row r="6">
      <c r="C6" s="114" t="s">
        <v>24</v>
      </c>
      <c r="D6" s="118" t="s">
        <v>602</v>
      </c>
      <c r="E6" s="119" t="s">
        <v>702</v>
      </c>
      <c r="F6" s="116" t="s">
        <v>292</v>
      </c>
      <c r="G6" s="116" t="s">
        <v>529</v>
      </c>
      <c r="H6" s="116" t="s">
        <v>220</v>
      </c>
      <c r="I6" s="119" t="s">
        <v>375</v>
      </c>
      <c r="J6" s="116" t="s">
        <v>638</v>
      </c>
      <c r="K6" s="117"/>
      <c r="L6" s="110"/>
      <c r="M6" s="110"/>
      <c r="N6" s="110"/>
    </row>
    <row r="7">
      <c r="C7" s="114" t="s">
        <v>34</v>
      </c>
      <c r="D7" s="120" t="s">
        <v>385</v>
      </c>
      <c r="E7" s="121" t="s">
        <v>702</v>
      </c>
      <c r="F7" s="116" t="s">
        <v>292</v>
      </c>
      <c r="G7" s="143" t="s">
        <v>526</v>
      </c>
      <c r="H7" s="116" t="s">
        <v>220</v>
      </c>
      <c r="I7" s="116" t="s">
        <v>570</v>
      </c>
      <c r="J7" s="116" t="s">
        <v>348</v>
      </c>
      <c r="K7" s="117"/>
      <c r="L7" s="110"/>
      <c r="M7" s="110"/>
      <c r="N7" s="110"/>
    </row>
    <row r="8">
      <c r="C8" s="114" t="s">
        <v>9</v>
      </c>
      <c r="D8" s="118" t="s">
        <v>255</v>
      </c>
      <c r="E8" s="119" t="s">
        <v>688</v>
      </c>
      <c r="F8" s="119" t="s">
        <v>287</v>
      </c>
      <c r="G8" s="119" t="s">
        <v>489</v>
      </c>
      <c r="H8" s="119" t="s">
        <v>648</v>
      </c>
      <c r="I8" s="116" t="s">
        <v>128</v>
      </c>
      <c r="J8" s="116" t="s">
        <v>348</v>
      </c>
      <c r="K8" s="117"/>
      <c r="L8" s="110"/>
      <c r="M8" s="110"/>
      <c r="N8" s="110"/>
    </row>
    <row r="9"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>
      <c r="C10" s="122" t="s">
        <v>808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10"/>
    </row>
    <row r="11">
      <c r="C11" s="125" t="str">
        <f t="shared" ref="C11:C16" si="1">C3</f>
        <v>Kuro Shobi</v>
      </c>
      <c r="D11" s="126" t="str">
        <f>IFERROR(__xludf.DUMMYFUNCTION("FILTER('Armas do jogo'!E3:E70,'Armas do jogo'!B3:B70=D3)"),"Energético 3")</f>
        <v>Energético 3</v>
      </c>
      <c r="E11" s="126" t="str">
        <f>IFERROR(__xludf.DUMMYFUNCTION("FILTER('Armas do jogo'!E3:E70,'Armas do jogo'!B3:B70=E3)"),"Encontrar mágica")</f>
        <v>Encontrar mágica</v>
      </c>
      <c r="F11" s="126" t="str">
        <f>IFERROR(__xludf.DUMMYFUNCTION("FILTER('Armas do jogo'!E3:E70,'Armas do jogo'!B3:B70=F3)"),"Encontrar mágica")</f>
        <v>Encontrar mágica</v>
      </c>
      <c r="G11" s="126" t="str">
        <f>IFERROR(__xludf.DUMMYFUNCTION("FILTER('Armas do jogo'!E3:E70,'Armas do jogo'!B3:B70=G3)"),"Encontrar mágica")</f>
        <v>Encontrar mágica</v>
      </c>
      <c r="H11" s="126" t="str">
        <f>IFERROR(__xludf.DUMMYFUNCTION("FILTER('Armas do jogo'!E3:E70,'Armas do jogo'!B3:B70=H3)"),"Velocista 3")</f>
        <v>Velocista 3</v>
      </c>
      <c r="I11" s="126" t="str">
        <f>IFERROR(__xludf.DUMMYFUNCTION("FILTER('Armas do jogo'!E3:E70,'Armas do jogo'!B3:B70=I3)"),"Líder 1")</f>
        <v>Líder 1</v>
      </c>
      <c r="J11" s="126" t="str">
        <f>IFERROR(__xludf.DUMMYFUNCTION("FILTER('Armas do jogo'!E3:E70,'Armas do jogo'!B3:B70=J3)"),"Encontrar mágica")</f>
        <v>Encontrar mágica</v>
      </c>
      <c r="K11" s="126" t="str">
        <f>'Heróis'!A$5</f>
        <v>Engenhoso 3</v>
      </c>
      <c r="L11" s="126" t="str">
        <f>'Heróis'!$A$6</f>
        <v>Gangster 3</v>
      </c>
      <c r="M11" s="127" t="str">
        <f>'Heróis'!$A$7</f>
        <v>Velocista 3</v>
      </c>
      <c r="N11" s="110"/>
    </row>
    <row r="12">
      <c r="C12" s="125" t="str">
        <f t="shared" si="1"/>
        <v>Lancaster</v>
      </c>
      <c r="D12" s="126" t="str">
        <f>IFERROR(__xludf.DUMMYFUNCTION("FILTER('Armas do jogo'!E4:E658,'Armas do jogo'!B4:B658=D4)"),"Energético 3")</f>
        <v>Energético 3</v>
      </c>
      <c r="E12" s="126" t="str">
        <f>IFERROR(__xludf.DUMMYFUNCTION("FILTER('Armas do jogo'!E4:E658,'Armas do jogo'!B4:B658=E4)"),"Reviver 2")</f>
        <v>Reviver 2</v>
      </c>
      <c r="F12" s="126" t="str">
        <f>IFERROR(__xludf.DUMMYFUNCTION("FILTER('Armas do jogo'!E4:E658,'Armas do jogo'!B4:B658=F4)"),"Reviver 2")</f>
        <v>Reviver 2</v>
      </c>
      <c r="G12" s="126" t="str">
        <f>IFERROR(__xludf.DUMMYFUNCTION("FILTER('Armas do jogo'!E4:E658,'Armas do jogo'!B4:B658=G4)"),"Encontrar mágica")</f>
        <v>Encontrar mágica</v>
      </c>
      <c r="H12" s="126" t="str">
        <f>IFERROR(__xludf.DUMMYFUNCTION("FILTER('Armas do jogo'!E4:E658,'Armas do jogo'!B4:B658=H4)"),"Reviver 2")</f>
        <v>Reviver 2</v>
      </c>
      <c r="I12" s="126" t="str">
        <f>IFERROR(__xludf.DUMMYFUNCTION("FILTER('Armas do jogo'!E4:E70,'Armas do jogo'!B4:B658=I4)"),"Encontrar mágica")</f>
        <v>Encontrar mágica</v>
      </c>
      <c r="J12" s="126" t="str">
        <f>IFERROR(__xludf.DUMMYFUNCTION("FILTER('Armas do jogo'!E4:E658,'Armas do jogo'!B4:B658=J4)"),"Encontrar mágica")</f>
        <v>Encontrar mágica</v>
      </c>
      <c r="K12" s="126" t="str">
        <f>'Heróis'!B$5</f>
        <v>Protetor 2</v>
      </c>
      <c r="L12" s="126" t="str">
        <f>'Heróis'!$B$6</f>
        <v>Engenhoso 2</v>
      </c>
      <c r="M12" s="126" t="str">
        <f>'Heróis'!$B$7</f>
        <v>Companheiro de Guerra 2</v>
      </c>
      <c r="N12" s="110"/>
    </row>
    <row r="13">
      <c r="C13" s="125" t="str">
        <f t="shared" si="1"/>
        <v>Clovis</v>
      </c>
      <c r="D13" s="126" t="str">
        <f>IFERROR(__xludf.DUMMYFUNCTION("FILTER('Armas do jogo'!E5:E659,'Armas do jogo'!B5:B659=D5)"),"Energético 3")</f>
        <v>Energético 3</v>
      </c>
      <c r="E13" s="126" t="str">
        <f>IFERROR(__xludf.DUMMYFUNCTION("FILTER('Armas do jogo'!E5:E659,'Armas do jogo'!B5:B659=E5)"),"Reviver 2")</f>
        <v>Reviver 2</v>
      </c>
      <c r="F13" s="126" t="str">
        <f>IFERROR(__xludf.DUMMYFUNCTION("FILTER('Armas do jogo'!E5:E659,'Armas do jogo'!B5:B659=F5)"),"Reviver 2")</f>
        <v>Reviver 2</v>
      </c>
      <c r="G13" s="126" t="str">
        <f>IFERROR(__xludf.DUMMYFUNCTION("FILTER('Armas do jogo'!E5:E659,'Armas do jogo'!B5:B659=G5)"),"Encontrar mágica")</f>
        <v>Encontrar mágica</v>
      </c>
      <c r="H13" s="126" t="str">
        <f>IFERROR(__xludf.DUMMYFUNCTION("FILTER('Armas do jogo'!E5:E659,'Armas do jogo'!B5:B659=H5)"),"Reviver 2")</f>
        <v>Reviver 2</v>
      </c>
      <c r="I13" s="126" t="str">
        <f>IFERROR(__xludf.DUMMYFUNCTION("FILTER('Armas do jogo'!E5:E659,'Armas do jogo'!B5:B659=I5)"),"Encontrar mágica")</f>
        <v>Encontrar mágica</v>
      </c>
      <c r="J13" s="126" t="str">
        <f>IFERROR(__xludf.DUMMYFUNCTION("FILTER('Armas do jogo'!E5:E659,'Armas do jogo'!B5:B659=J5)"),"Encontrar mágica")</f>
        <v>Encontrar mágica</v>
      </c>
      <c r="K13" s="126" t="str">
        <f>'Heróis'!C$5</f>
        <v>Defesa</v>
      </c>
      <c r="L13" s="126" t="str">
        <f>'Heróis'!$C$6</f>
        <v>Protetor 1</v>
      </c>
      <c r="M13" s="126" t="str">
        <f>'Heróis'!$C$7</f>
        <v>Comandante 1</v>
      </c>
      <c r="N13" s="110"/>
    </row>
    <row r="14">
      <c r="C14" s="125" t="str">
        <f t="shared" si="1"/>
        <v>Louca</v>
      </c>
      <c r="D14" s="126" t="str">
        <f>IFERROR(__xludf.DUMMYFUNCTION("FILTER('Armas do jogo'!E6:E660,'Armas do jogo'!B6:B660=D6)"),"Encontrar mágica")</f>
        <v>Encontrar mágica</v>
      </c>
      <c r="E14" s="126" t="str">
        <f>IFERROR(__xludf.DUMMYFUNCTION("FILTER('Armas do jogo'!E6:E660,'Armas do jogo'!B6:B660=E6)"),"Encontrar mágica")</f>
        <v>Encontrar mágica</v>
      </c>
      <c r="F14" s="126" t="str">
        <f>IFERROR(__xludf.DUMMYFUNCTION("FILTER('Armas do jogo'!E6:E660,'Armas do jogo'!B6:B660=F6)"),"Encontrar mágica")</f>
        <v>Encontrar mágica</v>
      </c>
      <c r="G14" s="126" t="str">
        <f>IFERROR(__xludf.DUMMYFUNCTION("FILTER('Armas do jogo'!E6:E660,'Armas do jogo'!B6:B660=G6)"),"Energético 3")</f>
        <v>Energético 3</v>
      </c>
      <c r="H14" s="126" t="str">
        <f>IFERROR(__xludf.DUMMYFUNCTION("FILTER('Armas do jogo'!E6:E660,'Armas do jogo'!B6:B660=H6)"),"Encontrar mágica")</f>
        <v>Encontrar mágica</v>
      </c>
      <c r="I14" s="126" t="str">
        <f>IFERROR(__xludf.DUMMYFUNCTION("FILTER('Armas do jogo'!E6:E660,'Armas do jogo'!B6:B660=I6)"),"Encontrar mágica")</f>
        <v>Encontrar mágica</v>
      </c>
      <c r="J14" s="126" t="str">
        <f>IFERROR(__xludf.DUMMYFUNCTION("FILTER('Armas do jogo'!E6:E660,'Armas do jogo'!B6:B660=J6)"),"Encontrar mágica")</f>
        <v>Encontrar mágica</v>
      </c>
      <c r="K14" s="126" t="str">
        <f>'Heróis'!D$5</f>
        <v>Catador 3</v>
      </c>
      <c r="L14" s="126" t="str">
        <f>'Heróis'!$D$6</f>
        <v>Suporte 3</v>
      </c>
      <c r="M14" s="126" t="str">
        <f>'Heróis'!$D$7</f>
        <v>Caça-tesouros 3</v>
      </c>
      <c r="N14" s="110"/>
    </row>
    <row r="15">
      <c r="C15" s="125" t="str">
        <f t="shared" si="1"/>
        <v>Yue</v>
      </c>
      <c r="D15" s="126" t="str">
        <f>IFERROR(__xludf.DUMMYFUNCTION("FILTER('Armas do jogo'!E7:E661,'Armas do jogo'!B7:B661=D7)"),"Energético 3")</f>
        <v>Energético 3</v>
      </c>
      <c r="E15" s="126" t="str">
        <f>IFERROR(__xludf.DUMMYFUNCTION("FILTER('Armas do jogo'!E7:E661,'Armas do jogo'!B7:B661=E7)"),"Encontrar mágica")</f>
        <v>Encontrar mágica</v>
      </c>
      <c r="F15" s="126" t="str">
        <f>IFERROR(__xludf.DUMMYFUNCTION("FILTER('Armas do jogo'!E7:E661,'Armas do jogo'!B7:B661=F7)"),"Encontrar mágica")</f>
        <v>Encontrar mágica</v>
      </c>
      <c r="G15" s="126" t="str">
        <f>IFERROR(__xludf.DUMMYFUNCTION("FILTER('Armas do jogo'!E7:E661,'Armas do jogo'!B7:B661=G7)"),"Encontrar mágica")</f>
        <v>Encontrar mágica</v>
      </c>
      <c r="H15" s="126" t="str">
        <f>IFERROR(__xludf.DUMMYFUNCTION("FILTER('Armas do jogo'!E7:E661,'Armas do jogo'!B7:B661=H7)"),"Encontrar mágica")</f>
        <v>Encontrar mágica</v>
      </c>
      <c r="I15" s="126" t="str">
        <f>IFERROR(__xludf.DUMMYFUNCTION("FILTER('Armas do jogo'!E7:E661,'Armas do jogo'!B7:B661=I7)"),"Reviver 2")</f>
        <v>Reviver 2</v>
      </c>
      <c r="J15" s="126" t="str">
        <f>IFERROR(__xludf.DUMMYFUNCTION("FILTER('Armas do jogo'!E7:E661,'Armas do jogo'!B7:B661=J7)"),"Encontrar mágica")</f>
        <v>Encontrar mágica</v>
      </c>
      <c r="K15" s="126" t="str">
        <f>'Heróis'!E$5</f>
        <v>Mestre das armas</v>
      </c>
      <c r="L15" s="126" t="str">
        <f>'Heróis'!$E$6</f>
        <v>Resistente 3</v>
      </c>
      <c r="M15" s="126" t="str">
        <f>'Heróis'!$E$7</f>
        <v>Comandante 3</v>
      </c>
      <c r="N15" s="110"/>
    </row>
    <row r="16">
      <c r="C16" s="125" t="str">
        <f t="shared" si="1"/>
        <v>Azula</v>
      </c>
      <c r="D16" s="126" t="str">
        <f>IFERROR(__xludf.DUMMYFUNCTION("FILTER('Armas do jogo'!E8:E662,'Armas do jogo'!B8:B662=D8)"),"Encontrar mágica")</f>
        <v>Encontrar mágica</v>
      </c>
      <c r="E16" s="126" t="str">
        <f>IFERROR(__xludf.DUMMYFUNCTION("FILTER('Armas do jogo'!E8:E662,'Armas do jogo'!B8:B662=E8)"),"Reviver 3")</f>
        <v>Reviver 3</v>
      </c>
      <c r="F16" s="126" t="str">
        <f>IFERROR(__xludf.DUMMYFUNCTION("FILTER('Armas do jogo'!E8:E662,'Armas do jogo'!B8:B662=F8)"),"Reviver 3")</f>
        <v>Reviver 3</v>
      </c>
      <c r="G16" s="126" t="str">
        <f>IFERROR(__xludf.DUMMYFUNCTION("FILTER('Armas do jogo'!E8:E662,'Armas do jogo'!B8:B662=G8)"),"Encontrar mágica")</f>
        <v>Encontrar mágica</v>
      </c>
      <c r="H16" s="126" t="str">
        <f>IFERROR(__xludf.DUMMYFUNCTION("FILTER('Armas do jogo'!E8:E662,'Armas do jogo'!B8:B662=H8)"),"Detectar segredo")</f>
        <v>Detectar segredo</v>
      </c>
      <c r="I16" s="126" t="str">
        <f>IFERROR(__xludf.DUMMYFUNCTION("FILTER('Armas do jogo'!E8:E662,'Armas do jogo'!B8:B662=I8)"),"Encontrar mágica")</f>
        <v>Encontrar mágica</v>
      </c>
      <c r="J16" s="126" t="str">
        <f>IFERROR(__xludf.DUMMYFUNCTION("FILTER('Armas do jogo'!E8:E662,'Armas do jogo'!B8:B662=J8)"),"Encontrar mágica")</f>
        <v>Encontrar mágica</v>
      </c>
      <c r="K16" s="126" t="str">
        <f>'Heróis'!F$5</f>
        <v>Arquimago 2</v>
      </c>
      <c r="L16" s="126" t="str">
        <f>'Heróis'!$F$6</f>
        <v>Curandeiro 3</v>
      </c>
      <c r="M16" s="126" t="str">
        <f>'Heróis'!$F$7</f>
        <v>Sábio 3</v>
      </c>
      <c r="N16" s="110"/>
    </row>
    <row r="17"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>
      <c r="C18" s="114" t="s">
        <v>809</v>
      </c>
      <c r="D18" s="114" t="s">
        <v>810</v>
      </c>
      <c r="E18" s="120" t="s">
        <v>811</v>
      </c>
      <c r="F18" s="110"/>
      <c r="G18" s="110"/>
      <c r="H18" s="110"/>
      <c r="I18" s="110"/>
      <c r="J18" s="110"/>
      <c r="K18" s="110"/>
      <c r="L18" s="110"/>
      <c r="M18" s="110"/>
      <c r="N18" s="110"/>
    </row>
    <row r="19">
      <c r="C19" s="128" t="str">
        <f>IFERROR(__xludf.DUMMYFUNCTION("UNIQUE(sort(filter(Skills!C:C,Skills!C:C&lt;&gt;""""),1,true))"),"Arquimago 2")</f>
        <v>Arquimago 2</v>
      </c>
      <c r="D19" s="129">
        <f t="shared" ref="D19:D60" si="2">COUNTIF($D$11:$M$16,C19)</f>
        <v>1</v>
      </c>
      <c r="E19" s="130" t="str">
        <f>if(C19="Detectar Segredo", SUMIF(C19,Habilidades!$A$11,D19) * SUMIF(C19,Habilidades!$A$11,Habilidades!$B$11), if(C19="Encontrar mágica", SUMIF(C19,Habilidades!$A$12,D19) * SUMIF(C19,Habilidades!$A$12,Habilidades!$B$12), if(C19="Cuidadoso 1", SUMIF(C19,Habilidades!$A$22,D19) * SUMIF(C19,Habilidades!$A$22,Habilidades!$B$22), if(C19="Cuidadoso 2", SUMIF(C19,Habilidades!$A$23,D33) * SUMIF(C19,Habilidades!$A$23,Habilidades!$B$23), if(C19="Cuidadoso 3", SUMIF(C19,Habilidades!$A$24,D19) * SUMIF(C19,Habilidades!$A$24,Habilidades!$B$24), if(C19="Ganancioso 1", SUMIF(C19,Habilidades!$A$25,D19) * SUMIF(C19,Habilidades!$A$25,Habilidades!$B$25), if(C19="Ganancioso 2", SUMIF(C19,Habilidades!$A$26,D19) * SUMIF(C19,Habilidades!$A$26,Habilidades!$B$26), if(C19="Ganancioso 3", SUMIF(C19,Habilidades!$A$27,D19) * SUMIF(C19,Habilidades!$A$27,Habilidades!$B$27), if(C19="Curandeiro 1", SUMIF(C19,Habilidades!$A$28,D19) * SUMIF(C19,Habilidades!$A$28,Habilidades!$B$28), if(C19="Curandeiro 2", SUMIF(C19,Habilidades!$A$29,D19) * SUMIF(C19,Habilidades!$A$29,Habilidades!$B$29), if(C19="Curandeiro 3", SUMIF(C19,Habilidades!$A$30,D19) * SUMIF(C19,Habilidades!$A$30,Habilidades!$B$30), if(C19="Sortudo 1", SUMIF(C19,Habilidades!$A$31,D19) * SUMIF(C19,Habilidades!$A$31,Habilidades!$B$31), if(C19="Sortudo 2", SUMIF(C19,Habilidades!$A$32,D19) * SUMIF(C19,Habilidades!$A$32,Habilidades!$B$32), if(C19="Sortudo 3", SUMIF(C19,Habilidades!$A$33,D19) * SUMIF(C19,Habilidades!$A$33,Habilidades!$B$33), if(C19="Protetor 1", SUMIF(C19,Habilidades!$A$34,D19) * SUMIF(C19,Habilidades!$A$34,Habilidades!$B$34), if(C19="Protetor 2", SUMIF(C19,Habilidades!$A$35,D19) * SUMIF(C19,Habilidades!$A$35,Habilidades!$B$35), if(C19="Protetor 3", SUMIF(C19,Habilidades!$A$36,D19) * SUMIF(C19,Habilidades!$A$36,Habilidades!$B$36), if(C19="Engenhoso 1", SUMIF(C19,Habilidades!$A$40,D19) * SUMIF(C19,Habilidades!$A$40,Habilidades!$B$40), if(C19="Engenhoso 2", SUMIF(C19,Habilidades!$A$41,D19) * SUMIF(C19,Habilidades!$A$41,Habilidades!$B$41), if(C19="Engenhoso 3", SUMIF(C19,Habilidades!$A$42,D19) * SUMIF(C19,Habilidades!$A$42,Habilidades!$B$42), if(C19="Reviver 1", SUMIF(C19,Habilidades!$A$43,D19) * SUMIF(C19,Habilidades!$A$43,Habilidades!$B$43), if(C19="Reviver 2", SUMIF(C19,Habilidades!$A$44,D19) * SUMIF(C19,Habilidades!$A$44,Habilidades!$B$44), if(C19="Reviver 3", SUMIF(C19,Habilidades!$A$45,D19) * SUMIF(C19,Habilidades!$A$45,Habilidades!$B$45), if(C19="Catador 1", SUMIF(C19,Habilidades!$A$46,D19) * SUMIF(C19,Habilidades!$A$46,Habilidades!$B$46), if(C19="Catador 2", SUMIF(C19,Habilidades!$A$47,D19) * SUMIF(C19,Habilidades!$A$47,Habilidades!$B$47), if(C19="Catador 3", SUMIF(C19,Habilidades!$A$48,D19) * SUMIF(C19,Habilidades!$A$48,Habilidades!$B$48), if(C19="Fornecedor 1", SUMIF(C19,Habilidades!$A$49,D19) * SUMIF(C19,Habilidades!$A$49,Habilidades!$B$49), if(C19="Fornecedor 2", SUMIF(C19,Habilidades!$A$50,D19) * SUMIF(C19,Habilidades!$A$50,Habilidades!$B$50), if(C19="Fornecedor 3", SUMIF(C19,Habilidades!$A$51,D19) * SUMIF(C19,Habilidades!$A$51,Habilidades!$B$51), if(C19="Suporte 1", SUMIF(C19,Habilidades!$A$52,D19) * SUMIF(C19,Habilidades!$A$52,Habilidades!$B$52), if(C19="Suporte 2", SUMIF(C19,Habilidades!$A$53,D19) * SUMIF(C19,Habilidades!$A$53,Habilidades!$B$53), if(C19="Suporte 3", SUMIF(C19,Habilidades!$A$54,D19) * SUMIF(C19,Habilidades!$A$54,Habilidades!$B$54), if(C19="Caça-tesouros 1", SUMIF(C19,Habilidades!$A$55,D19) * SUMIF(C19,Habilidades!$A$55,Habilidades!$B$55), if(C19="Caça-tesouros 2", SUMIF(C19,Habilidades!$A$56,D19) * SUMIF(C19,Habilidades!$A$56,Habilidades!$B$56), if(C19="Caça-tesouros 3", SUMIF(C19,Habilidades!$A$57,D19) * SUMIF(C19,Habilidades!$A$57,Habilidades!$B$57), if(C19="Velocista 1", SUMIF(C19,Habilidades!$A$77,D19) * SUMIF(C19,Habilidades!$A$77,Habilidades!$B$77), if(C19="Velocista 2", SUMIF(C19,Habilidades!$A$78,D19) * SUMIF(C19,Habilidades!$A$78,Habilidades!$B$78), if(C19="Velocista 3", SUMIF(C19,Habilidades!$A$79,D19) * SUMIF(C19,Habilidades!$A$79,Habilidades!$B$79), "-"))))))))))))))))))))))))))))))))))))))</f>
        <v>-</v>
      </c>
      <c r="F19" s="110"/>
      <c r="G19" s="131" t="s">
        <v>812</v>
      </c>
      <c r="H19" s="131" t="s">
        <v>813</v>
      </c>
      <c r="I19" s="131" t="s">
        <v>814</v>
      </c>
      <c r="J19" s="131" t="s">
        <v>815</v>
      </c>
      <c r="K19" s="132" t="s">
        <v>816</v>
      </c>
      <c r="L19" s="124"/>
      <c r="M19" s="110"/>
      <c r="N19" s="110"/>
    </row>
    <row r="20">
      <c r="C20" s="133" t="str">
        <f>IFERROR(__xludf.DUMMYFUNCTION("""COMPUTED_VALUE"""),"Caça-tesouros 3")</f>
        <v>Caça-tesouros 3</v>
      </c>
      <c r="D20" s="129">
        <f t="shared" si="2"/>
        <v>1</v>
      </c>
      <c r="E20" s="130">
        <f>if(C20="Detectar Segredo", SUMIF(C20,Habilidades!$A$11,D20) * SUMIF(C20,Habilidades!$A$11,Habilidades!$B$11), if(C20="Encontrar mágica", SUMIF(C20,Habilidades!$A$12,D20) * SUMIF(C20,Habilidades!$A$12,Habilidades!$B$12), if(C20="Cuidadoso 1", SUMIF(C20,Habilidades!$A$22,D20) * SUMIF(C20,Habilidades!$A$22,Habilidades!$B$22), if(C20="Cuidadoso 2", SUMIF(C20,Habilidades!$A$23,D34) * SUMIF(C20,Habilidades!$A$23,Habilidades!$B$23), if(C20="Cuidadoso 3", SUMIF(C20,Habilidades!$A$24,D20) * SUMIF(C20,Habilidades!$A$24,Habilidades!$B$24), if(C20="Ganancioso 1", SUMIF(C20,Habilidades!$A$25,D20) * SUMIF(C20,Habilidades!$A$25,Habilidades!$B$25), if(C20="Ganancioso 2", SUMIF(C20,Habilidades!$A$26,D20) * SUMIF(C20,Habilidades!$A$26,Habilidades!$B$26), if(C20="Ganancioso 3", SUMIF(C20,Habilidades!$A$27,D20) * SUMIF(C20,Habilidades!$A$27,Habilidades!$B$27), if(C20="Curandeiro 1", SUMIF(C20,Habilidades!$A$28,D20) * SUMIF(C20,Habilidades!$A$28,Habilidades!$B$28), if(C20="Curandeiro 2", SUMIF(C20,Habilidades!$A$29,D20) * SUMIF(C20,Habilidades!$A$29,Habilidades!$B$29), if(C20="Curandeiro 3", SUMIF(C20,Habilidades!$A$30,D20) * SUMIF(C20,Habilidades!$A$30,Habilidades!$B$30), if(C20="Sortudo 1", SUMIF(C20,Habilidades!$A$31,D20) * SUMIF(C20,Habilidades!$A$31,Habilidades!$B$31), if(C20="Sortudo 2", SUMIF(C20,Habilidades!$A$32,D20) * SUMIF(C20,Habilidades!$A$32,Habilidades!$B$32), if(C20="Sortudo 3", SUMIF(C20,Habilidades!$A$33,D20) * SUMIF(C20,Habilidades!$A$33,Habilidades!$B$33), if(C20="Protetor 1", SUMIF(C20,Habilidades!$A$34,D20) * SUMIF(C20,Habilidades!$A$34,Habilidades!$B$34), if(C20="Protetor 2", SUMIF(C20,Habilidades!$A$35,D20) * SUMIF(C20,Habilidades!$A$35,Habilidades!$B$35), if(C20="Protetor 3", SUMIF(C20,Habilidades!$A$36,D20) * SUMIF(C20,Habilidades!$A$36,Habilidades!$B$36), if(C20="Engenhoso 1", SUMIF(C20,Habilidades!$A$40,D20) * SUMIF(C20,Habilidades!$A$40,Habilidades!$B$40), if(C20="Engenhoso 2", SUMIF(C20,Habilidades!$A$41,D20) * SUMIF(C20,Habilidades!$A$41,Habilidades!$B$41), if(C20="Engenhoso 3", SUMIF(C20,Habilidades!$A$42,D20) * SUMIF(C20,Habilidades!$A$42,Habilidades!$B$42), if(C20="Reviver 1", SUMIF(C20,Habilidades!$A$43,D20) * SUMIF(C20,Habilidades!$A$43,Habilidades!$B$43), if(C20="Reviver 2", SUMIF(C20,Habilidades!$A$44,D20) * SUMIF(C20,Habilidades!$A$44,Habilidades!$B$44), if(C20="Reviver 3", SUMIF(C20,Habilidades!$A$45,D20) * SUMIF(C20,Habilidades!$A$45,Habilidades!$B$45), if(C20="Catador 1", SUMIF(C20,Habilidades!$A$46,D20) * SUMIF(C20,Habilidades!$A$46,Habilidades!$B$46), if(C20="Catador 2", SUMIF(C20,Habilidades!$A$47,D20) * SUMIF(C20,Habilidades!$A$47,Habilidades!$B$47), if(C20="Catador 3", SUMIF(C20,Habilidades!$A$48,D20) * SUMIF(C20,Habilidades!$A$48,Habilidades!$B$48), if(C20="Fornecedor 1", SUMIF(C20,Habilidades!$A$49,D20) * SUMIF(C20,Habilidades!$A$49,Habilidades!$B$49), if(C20="Fornecedor 2", SUMIF(C20,Habilidades!$A$50,D20) * SUMIF(C20,Habilidades!$A$50,Habilidades!$B$50), if(C20="Fornecedor 3", SUMIF(C20,Habilidades!$A$51,D20) * SUMIF(C20,Habilidades!$A$51,Habilidades!$B$51), if(C20="Suporte 1", SUMIF(C20,Habilidades!$A$52,D20) * SUMIF(C20,Habilidades!$A$52,Habilidades!$B$52), if(C20="Suporte 2", SUMIF(C20,Habilidades!$A$53,D20) * SUMIF(C20,Habilidades!$A$53,Habilidades!$B$53), if(C20="Suporte 3", SUMIF(C20,Habilidades!$A$54,D20) * SUMIF(C20,Habilidades!$A$54,Habilidades!$B$54), if(C20="Caça-tesouros 1", SUMIF(C20,Habilidades!$A$55,D20) * SUMIF(C20,Habilidades!$A$55,Habilidades!$B$55), if(C20="Caça-tesouros 2", SUMIF(C20,Habilidades!$A$56,D20) * SUMIF(C20,Habilidades!$A$56,Habilidades!$B$56), if(C20="Caça-tesouros 3", SUMIF(C20,Habilidades!$A$57,D20) * SUMIF(C20,Habilidades!$A$57,Habilidades!$B$57), if(C20="Velocista 1", SUMIF(C20,Habilidades!$A$77,D20) * SUMIF(C20,Habilidades!$A$77,Habilidades!$B$77), if(C20="Velocista 2", SUMIF(C20,Habilidades!$A$78,D20) * SUMIF(C20,Habilidades!$A$78,Habilidades!$B$78), if(C20="Velocista 3", SUMIF(C20,Habilidades!$A$79,D20) * SUMIF(C20,Habilidades!$A$79,Habilidades!$B$79), "-"))))))))))))))))))))))))))))))))))))))</f>
        <v>6</v>
      </c>
      <c r="F20" s="110"/>
      <c r="G20" s="130">
        <f>SUMIF(C19:C70, "*Detectar*", E19:E52) + SUMIF(C19:C52, "*Encontrar*", E19:E52)</f>
        <v>306</v>
      </c>
      <c r="H20" s="130">
        <f>SUMIF(C19:C70, "*Velocista*", E19:E60)</f>
        <v>100</v>
      </c>
      <c r="I20" s="130">
        <f>SUMIF(C19:C70, "*Reviver*", E19:E46)</f>
        <v>100</v>
      </c>
      <c r="J20" s="131">
        <f>SUMIF(C19:C70, "*Suporte*", E19:E60) + SUMIF(C19:C60, "*Engenhoso*", E19:E60)</f>
        <v>8</v>
      </c>
      <c r="K20" s="134">
        <f>if(G20 &gt; 0, sum(10+G20), 0)</f>
        <v>316</v>
      </c>
      <c r="L20" s="124"/>
      <c r="M20" s="110"/>
      <c r="N20" s="110"/>
    </row>
    <row r="21">
      <c r="C21" s="133" t="str">
        <f>IFERROR(__xludf.DUMMYFUNCTION("""COMPUTED_VALUE"""),"Catador 3")</f>
        <v>Catador 3</v>
      </c>
      <c r="D21" s="129">
        <f t="shared" si="2"/>
        <v>1</v>
      </c>
      <c r="E21" s="130">
        <f>if(C21="Detectar Segredo", SUMIF(C21,Habilidades!$A$11,D21) * SUMIF(C21,Habilidades!$A$11,Habilidades!$B$11), if(C21="Encontrar mágica", SUMIF(C21,Habilidades!$A$12,D21) * SUMIF(C21,Habilidades!$A$12,Habilidades!$B$12), if(C21="Cuidadoso 1", SUMIF(C21,Habilidades!$A$22,D21) * SUMIF(C21,Habilidades!$A$22,Habilidades!$B$22), if(C21="Cuidadoso 2", SUMIF(C21,Habilidades!$A$23,D35) * SUMIF(C21,Habilidades!$A$23,Habilidades!$B$23), if(C21="Cuidadoso 3", SUMIF(C21,Habilidades!$A$24,D21) * SUMIF(C21,Habilidades!$A$24,Habilidades!$B$24), if(C21="Ganancioso 1", SUMIF(C21,Habilidades!$A$25,D21) * SUMIF(C21,Habilidades!$A$25,Habilidades!$B$25), if(C21="Ganancioso 2", SUMIF(C21,Habilidades!$A$26,D21) * SUMIF(C21,Habilidades!$A$26,Habilidades!$B$26), if(C21="Ganancioso 3", SUMIF(C21,Habilidades!$A$27,D21) * SUMIF(C21,Habilidades!$A$27,Habilidades!$B$27), if(C21="Curandeiro 1", SUMIF(C21,Habilidades!$A$28,D21) * SUMIF(C21,Habilidades!$A$28,Habilidades!$B$28), if(C21="Curandeiro 2", SUMIF(C21,Habilidades!$A$29,D21) * SUMIF(C21,Habilidades!$A$29,Habilidades!$B$29), if(C21="Curandeiro 3", SUMIF(C21,Habilidades!$A$30,D21) * SUMIF(C21,Habilidades!$A$30,Habilidades!$B$30), if(C21="Sortudo 1", SUMIF(C21,Habilidades!$A$31,D21) * SUMIF(C21,Habilidades!$A$31,Habilidades!$B$31), if(C21="Sortudo 2", SUMIF(C21,Habilidades!$A$32,D21) * SUMIF(C21,Habilidades!$A$32,Habilidades!$B$32), if(C21="Sortudo 3", SUMIF(C21,Habilidades!$A$33,D21) * SUMIF(C21,Habilidades!$A$33,Habilidades!$B$33), if(C21="Protetor 1", SUMIF(C21,Habilidades!$A$34,D21) * SUMIF(C21,Habilidades!$A$34,Habilidades!$B$34), if(C21="Protetor 2", SUMIF(C21,Habilidades!$A$35,D21) * SUMIF(C21,Habilidades!$A$35,Habilidades!$B$35), if(C21="Protetor 3", SUMIF(C21,Habilidades!$A$36,D21) * SUMIF(C21,Habilidades!$A$36,Habilidades!$B$36), if(C21="Engenhoso 1", SUMIF(C21,Habilidades!$A$40,D21) * SUMIF(C21,Habilidades!$A$40,Habilidades!$B$40), if(C21="Engenhoso 2", SUMIF(C21,Habilidades!$A$41,D21) * SUMIF(C21,Habilidades!$A$41,Habilidades!$B$41), if(C21="Engenhoso 3", SUMIF(C21,Habilidades!$A$42,D21) * SUMIF(C21,Habilidades!$A$42,Habilidades!$B$42), if(C21="Reviver 1", SUMIF(C21,Habilidades!$A$43,D21) * SUMIF(C21,Habilidades!$A$43,Habilidades!$B$43), if(C21="Reviver 2", SUMIF(C21,Habilidades!$A$44,D21) * SUMIF(C21,Habilidades!$A$44,Habilidades!$B$44), if(C21="Reviver 3", SUMIF(C21,Habilidades!$A$45,D21) * SUMIF(C21,Habilidades!$A$45,Habilidades!$B$45), if(C21="Catador 1", SUMIF(C21,Habilidades!$A$46,D21) * SUMIF(C21,Habilidades!$A$46,Habilidades!$B$46), if(C21="Catador 2", SUMIF(C21,Habilidades!$A$47,D21) * SUMIF(C21,Habilidades!$A$47,Habilidades!$B$47), if(C21="Catador 3", SUMIF(C21,Habilidades!$A$48,D21) * SUMIF(C21,Habilidades!$A$48,Habilidades!$B$48), if(C21="Fornecedor 1", SUMIF(C21,Habilidades!$A$49,D21) * SUMIF(C21,Habilidades!$A$49,Habilidades!$B$49), if(C21="Fornecedor 2", SUMIF(C21,Habilidades!$A$50,D21) * SUMIF(C21,Habilidades!$A$50,Habilidades!$B$50), if(C21="Fornecedor 3", SUMIF(C21,Habilidades!$A$51,D21) * SUMIF(C21,Habilidades!$A$51,Habilidades!$B$51), if(C21="Suporte 1", SUMIF(C21,Habilidades!$A$52,D21) * SUMIF(C21,Habilidades!$A$52,Habilidades!$B$52), if(C21="Suporte 2", SUMIF(C21,Habilidades!$A$53,D21) * SUMIF(C21,Habilidades!$A$53,Habilidades!$B$53), if(C21="Suporte 3", SUMIF(C21,Habilidades!$A$54,D21) * SUMIF(C21,Habilidades!$A$54,Habilidades!$B$54), if(C21="Caça-tesouros 1", SUMIF(C21,Habilidades!$A$55,D21) * SUMIF(C21,Habilidades!$A$55,Habilidades!$B$55), if(C21="Caça-tesouros 2", SUMIF(C21,Habilidades!$A$56,D21) * SUMIF(C21,Habilidades!$A$56,Habilidades!$B$56), if(C21="Caça-tesouros 3", SUMIF(C21,Habilidades!$A$57,D21) * SUMIF(C21,Habilidades!$A$57,Habilidades!$B$57), if(C21="Velocista 1", SUMIF(C21,Habilidades!$A$77,D21) * SUMIF(C21,Habilidades!$A$77,Habilidades!$B$77), if(C21="Velocista 2", SUMIF(C21,Habilidades!$A$78,D21) * SUMIF(C21,Habilidades!$A$78,Habilidades!$B$78), if(C21="Velocista 3", SUMIF(C21,Habilidades!$A$79,D21) * SUMIF(C21,Habilidades!$A$79,Habilidades!$B$79), "-"))))))))))))))))))))))))))))))))))))))</f>
        <v>3</v>
      </c>
      <c r="F21" s="135"/>
      <c r="G21" s="144"/>
      <c r="H21" s="144"/>
      <c r="I21" s="144"/>
      <c r="J21" s="144"/>
      <c r="K21" s="145"/>
      <c r="L21" s="145"/>
      <c r="M21" s="110"/>
      <c r="N21" s="110"/>
    </row>
    <row r="22">
      <c r="C22" s="133" t="str">
        <f>IFERROR(__xludf.DUMMYFUNCTION("""COMPUTED_VALUE"""),"Comandante 1")</f>
        <v>Comandante 1</v>
      </c>
      <c r="D22" s="129">
        <f t="shared" si="2"/>
        <v>1</v>
      </c>
      <c r="E22" s="130" t="str">
        <f>if(C22="Detectar Segredo", SUMIF(C22,Habilidades!$A$11,D22) * SUMIF(C22,Habilidades!$A$11,Habilidades!$B$11), if(C22="Encontrar mágica", SUMIF(C22,Habilidades!$A$12,D22) * SUMIF(C22,Habilidades!$A$12,Habilidades!$B$12), if(C22="Cuidadoso 1", SUMIF(C22,Habilidades!$A$22,D22) * SUMIF(C22,Habilidades!$A$22,Habilidades!$B$22), if(C22="Cuidadoso 2", SUMIF(C22,Habilidades!$A$23,D36) * SUMIF(C22,Habilidades!$A$23,Habilidades!$B$23), if(C22="Cuidadoso 3", SUMIF(C22,Habilidades!$A$24,D22) * SUMIF(C22,Habilidades!$A$24,Habilidades!$B$24), if(C22="Ganancioso 1", SUMIF(C22,Habilidades!$A$25,D22) * SUMIF(C22,Habilidades!$A$25,Habilidades!$B$25), if(C22="Ganancioso 2", SUMIF(C22,Habilidades!$A$26,D22) * SUMIF(C22,Habilidades!$A$26,Habilidades!$B$26), if(C22="Ganancioso 3", SUMIF(C22,Habilidades!$A$27,D22) * SUMIF(C22,Habilidades!$A$27,Habilidades!$B$27), if(C22="Curandeiro 1", SUMIF(C22,Habilidades!$A$28,D22) * SUMIF(C22,Habilidades!$A$28,Habilidades!$B$28), if(C22="Curandeiro 2", SUMIF(C22,Habilidades!$A$29,D22) * SUMIF(C22,Habilidades!$A$29,Habilidades!$B$29), if(C22="Curandeiro 3", SUMIF(C22,Habilidades!$A$30,D22) * SUMIF(C22,Habilidades!$A$30,Habilidades!$B$30), if(C22="Sortudo 1", SUMIF(C22,Habilidades!$A$31,D22) * SUMIF(C22,Habilidades!$A$31,Habilidades!$B$31), if(C22="Sortudo 2", SUMIF(C22,Habilidades!$A$32,D22) * SUMIF(C22,Habilidades!$A$32,Habilidades!$B$32), if(C22="Sortudo 3", SUMIF(C22,Habilidades!$A$33,D22) * SUMIF(C22,Habilidades!$A$33,Habilidades!$B$33), if(C22="Protetor 1", SUMIF(C22,Habilidades!$A$34,D22) * SUMIF(C22,Habilidades!$A$34,Habilidades!$B$34), if(C22="Protetor 2", SUMIF(C22,Habilidades!$A$35,D22) * SUMIF(C22,Habilidades!$A$35,Habilidades!$B$35), if(C22="Protetor 3", SUMIF(C22,Habilidades!$A$36,D22) * SUMIF(C22,Habilidades!$A$36,Habilidades!$B$36), if(C22="Engenhoso 1", SUMIF(C22,Habilidades!$A$40,D22) * SUMIF(C22,Habilidades!$A$40,Habilidades!$B$40), if(C22="Engenhoso 2", SUMIF(C22,Habilidades!$A$41,D22) * SUMIF(C22,Habilidades!$A$41,Habilidades!$B$41), if(C22="Engenhoso 3", SUMIF(C22,Habilidades!$A$42,D22) * SUMIF(C22,Habilidades!$A$42,Habilidades!$B$42), if(C22="Reviver 1", SUMIF(C22,Habilidades!$A$43,D22) * SUMIF(C22,Habilidades!$A$43,Habilidades!$B$43), if(C22="Reviver 2", SUMIF(C22,Habilidades!$A$44,D22) * SUMIF(C22,Habilidades!$A$44,Habilidades!$B$44), if(C22="Reviver 3", SUMIF(C22,Habilidades!$A$45,D22) * SUMIF(C22,Habilidades!$A$45,Habilidades!$B$45), if(C22="Catador 1", SUMIF(C22,Habilidades!$A$46,D22) * SUMIF(C22,Habilidades!$A$46,Habilidades!$B$46), if(C22="Catador 2", SUMIF(C22,Habilidades!$A$47,D22) * SUMIF(C22,Habilidades!$A$47,Habilidades!$B$47), if(C22="Catador 3", SUMIF(C22,Habilidades!$A$48,D22) * SUMIF(C22,Habilidades!$A$48,Habilidades!$B$48), if(C22="Fornecedor 1", SUMIF(C22,Habilidades!$A$49,D22) * SUMIF(C22,Habilidades!$A$49,Habilidades!$B$49), if(C22="Fornecedor 2", SUMIF(C22,Habilidades!$A$50,D22) * SUMIF(C22,Habilidades!$A$50,Habilidades!$B$50), if(C22="Fornecedor 3", SUMIF(C22,Habilidades!$A$51,D22) * SUMIF(C22,Habilidades!$A$51,Habilidades!$B$51), if(C22="Suporte 1", SUMIF(C22,Habilidades!$A$52,D22) * SUMIF(C22,Habilidades!$A$52,Habilidades!$B$52), if(C22="Suporte 2", SUMIF(C22,Habilidades!$A$53,D22) * SUMIF(C22,Habilidades!$A$53,Habilidades!$B$53), if(C22="Suporte 3", SUMIF(C22,Habilidades!$A$54,D22) * SUMIF(C22,Habilidades!$A$54,Habilidades!$B$54), if(C22="Caça-tesouros 1", SUMIF(C22,Habilidades!$A$55,D22) * SUMIF(C22,Habilidades!$A$55,Habilidades!$B$55), if(C22="Caça-tesouros 2", SUMIF(C22,Habilidades!$A$56,D22) * SUMIF(C22,Habilidades!$A$56,Habilidades!$B$56), if(C22="Caça-tesouros 3", SUMIF(C22,Habilidades!$A$57,D22) * SUMIF(C22,Habilidades!$A$57,Habilidades!$B$57), if(C22="Velocista 1", SUMIF(C22,Habilidades!$A$77,D22) * SUMIF(C22,Habilidades!$A$77,Habilidades!$B$77), if(C22="Velocista 2", SUMIF(C22,Habilidades!$A$78,D22) * SUMIF(C22,Habilidades!$A$78,Habilidades!$B$78), if(C22="Velocista 3", SUMIF(C22,Habilidades!$A$79,D22) * SUMIF(C22,Habilidades!$A$79,Habilidades!$B$79), "-"))))))))))))))))))))))))))))))))))))))</f>
        <v>-</v>
      </c>
      <c r="F22" s="110"/>
      <c r="G22" s="146"/>
      <c r="H22" s="147"/>
      <c r="J22" s="148"/>
      <c r="K22" s="145"/>
      <c r="L22" s="145"/>
      <c r="M22" s="110"/>
      <c r="N22" s="110"/>
    </row>
    <row r="23">
      <c r="C23" s="133" t="str">
        <f>IFERROR(__xludf.DUMMYFUNCTION("""COMPUTED_VALUE"""),"Comandante 3")</f>
        <v>Comandante 3</v>
      </c>
      <c r="D23" s="129">
        <f t="shared" si="2"/>
        <v>1</v>
      </c>
      <c r="E23" s="130" t="str">
        <f>if(C23="Detectar Segredo", SUMIF(C23,Habilidades!$A$11,D23) * SUMIF(C23,Habilidades!$A$11,Habilidades!$B$11), if(C23="Encontrar mágica", SUMIF(C23,Habilidades!$A$12,D23) * SUMIF(C23,Habilidades!$A$12,Habilidades!$B$12), if(C23="Cuidadoso 1", SUMIF(C23,Habilidades!$A$22,D23) * SUMIF(C23,Habilidades!$A$22,Habilidades!$B$22), if(C23="Cuidadoso 2", SUMIF(C23,Habilidades!$A$23,D37) * SUMIF(C23,Habilidades!$A$23,Habilidades!$B$23), if(C23="Cuidadoso 3", SUMIF(C23,Habilidades!$A$24,D23) * SUMIF(C23,Habilidades!$A$24,Habilidades!$B$24), if(C23="Ganancioso 1", SUMIF(C23,Habilidades!$A$25,D23) * SUMIF(C23,Habilidades!$A$25,Habilidades!$B$25), if(C23="Ganancioso 2", SUMIF(C23,Habilidades!$A$26,D23) * SUMIF(C23,Habilidades!$A$26,Habilidades!$B$26), if(C23="Ganancioso 3", SUMIF(C23,Habilidades!$A$27,D23) * SUMIF(C23,Habilidades!$A$27,Habilidades!$B$27), if(C23="Curandeiro 1", SUMIF(C23,Habilidades!$A$28,D23) * SUMIF(C23,Habilidades!$A$28,Habilidades!$B$28), if(C23="Curandeiro 2", SUMIF(C23,Habilidades!$A$29,D23) * SUMIF(C23,Habilidades!$A$29,Habilidades!$B$29), if(C23="Curandeiro 3", SUMIF(C23,Habilidades!$A$30,D23) * SUMIF(C23,Habilidades!$A$30,Habilidades!$B$30), if(C23="Sortudo 1", SUMIF(C23,Habilidades!$A$31,D23) * SUMIF(C23,Habilidades!$A$31,Habilidades!$B$31), if(C23="Sortudo 2", SUMIF(C23,Habilidades!$A$32,D23) * SUMIF(C23,Habilidades!$A$32,Habilidades!$B$32), if(C23="Sortudo 3", SUMIF(C23,Habilidades!$A$33,D23) * SUMIF(C23,Habilidades!$A$33,Habilidades!$B$33), if(C23="Protetor 1", SUMIF(C23,Habilidades!$A$34,D23) * SUMIF(C23,Habilidades!$A$34,Habilidades!$B$34), if(C23="Protetor 2", SUMIF(C23,Habilidades!$A$35,D23) * SUMIF(C23,Habilidades!$A$35,Habilidades!$B$35), if(C23="Protetor 3", SUMIF(C23,Habilidades!$A$36,D23) * SUMIF(C23,Habilidades!$A$36,Habilidades!$B$36), if(C23="Engenhoso 1", SUMIF(C23,Habilidades!$A$40,D23) * SUMIF(C23,Habilidades!$A$40,Habilidades!$B$40), if(C23="Engenhoso 2", SUMIF(C23,Habilidades!$A$41,D23) * SUMIF(C23,Habilidades!$A$41,Habilidades!$B$41), if(C23="Engenhoso 3", SUMIF(C23,Habilidades!$A$42,D23) * SUMIF(C23,Habilidades!$A$42,Habilidades!$B$42), if(C23="Reviver 1", SUMIF(C23,Habilidades!$A$43,D23) * SUMIF(C23,Habilidades!$A$43,Habilidades!$B$43), if(C23="Reviver 2", SUMIF(C23,Habilidades!$A$44,D23) * SUMIF(C23,Habilidades!$A$44,Habilidades!$B$44), if(C23="Reviver 3", SUMIF(C23,Habilidades!$A$45,D23) * SUMIF(C23,Habilidades!$A$45,Habilidades!$B$45), if(C23="Catador 1", SUMIF(C23,Habilidades!$A$46,D23) * SUMIF(C23,Habilidades!$A$46,Habilidades!$B$46), if(C23="Catador 2", SUMIF(C23,Habilidades!$A$47,D23) * SUMIF(C23,Habilidades!$A$47,Habilidades!$B$47), if(C23="Catador 3", SUMIF(C23,Habilidades!$A$48,D23) * SUMIF(C23,Habilidades!$A$48,Habilidades!$B$48), if(C23="Fornecedor 1", SUMIF(C23,Habilidades!$A$49,D23) * SUMIF(C23,Habilidades!$A$49,Habilidades!$B$49), if(C23="Fornecedor 2", SUMIF(C23,Habilidades!$A$50,D23) * SUMIF(C23,Habilidades!$A$50,Habilidades!$B$50), if(C23="Fornecedor 3", SUMIF(C23,Habilidades!$A$51,D23) * SUMIF(C23,Habilidades!$A$51,Habilidades!$B$51), if(C23="Suporte 1", SUMIF(C23,Habilidades!$A$52,D23) * SUMIF(C23,Habilidades!$A$52,Habilidades!$B$52), if(C23="Suporte 2", SUMIF(C23,Habilidades!$A$53,D23) * SUMIF(C23,Habilidades!$A$53,Habilidades!$B$53), if(C23="Suporte 3", SUMIF(C23,Habilidades!$A$54,D23) * SUMIF(C23,Habilidades!$A$54,Habilidades!$B$54), if(C23="Caça-tesouros 1", SUMIF(C23,Habilidades!$A$55,D23) * SUMIF(C23,Habilidades!$A$55,Habilidades!$B$55), if(C23="Caça-tesouros 2", SUMIF(C23,Habilidades!$A$56,D23) * SUMIF(C23,Habilidades!$A$56,Habilidades!$B$56), if(C23="Caça-tesouros 3", SUMIF(C23,Habilidades!$A$57,D23) * SUMIF(C23,Habilidades!$A$57,Habilidades!$B$57), if(C23="Velocista 1", SUMIF(C23,Habilidades!$A$77,D23) * SUMIF(C23,Habilidades!$A$77,Habilidades!$B$77), if(C23="Velocista 2", SUMIF(C23,Habilidades!$A$78,D23) * SUMIF(C23,Habilidades!$A$78,Habilidades!$B$78), if(C23="Velocista 3", SUMIF(C23,Habilidades!$A$79,D23) * SUMIF(C23,Habilidades!$A$79,Habilidades!$B$79), "-"))))))))))))))))))))))))))))))))))))))</f>
        <v>-</v>
      </c>
      <c r="F23" s="110"/>
      <c r="G23" s="149"/>
      <c r="H23" s="144"/>
      <c r="J23" s="148"/>
      <c r="K23" s="145"/>
      <c r="L23" s="145"/>
      <c r="M23" s="110"/>
      <c r="N23" s="110"/>
    </row>
    <row r="24">
      <c r="C24" s="133" t="str">
        <f>IFERROR(__xludf.DUMMYFUNCTION("""COMPUTED_VALUE"""),"Companheiro de Guerra 2")</f>
        <v>Companheiro de Guerra 2</v>
      </c>
      <c r="D24" s="129">
        <f t="shared" si="2"/>
        <v>1</v>
      </c>
      <c r="E24" s="130" t="str">
        <f>if(C24="Detectar Segredo", SUMIF(C24,Habilidades!$A$11,D24) * SUMIF(C24,Habilidades!$A$11,Habilidades!$B$11), if(C24="Encontrar mágica", SUMIF(C24,Habilidades!$A$12,D24) * SUMIF(C24,Habilidades!$A$12,Habilidades!$B$12), if(C24="Cuidadoso 1", SUMIF(C24,Habilidades!$A$22,D24) * SUMIF(C24,Habilidades!$A$22,Habilidades!$B$22), if(C24="Cuidadoso 2", SUMIF(C24,Habilidades!$A$23,D38) * SUMIF(C24,Habilidades!$A$23,Habilidades!$B$23), if(C24="Cuidadoso 3", SUMIF(C24,Habilidades!$A$24,D24) * SUMIF(C24,Habilidades!$A$24,Habilidades!$B$24), if(C24="Ganancioso 1", SUMIF(C24,Habilidades!$A$25,D24) * SUMIF(C24,Habilidades!$A$25,Habilidades!$B$25), if(C24="Ganancioso 2", SUMIF(C24,Habilidades!$A$26,D24) * SUMIF(C24,Habilidades!$A$26,Habilidades!$B$26), if(C24="Ganancioso 3", SUMIF(C24,Habilidades!$A$27,D24) * SUMIF(C24,Habilidades!$A$27,Habilidades!$B$27), if(C24="Curandeiro 1", SUMIF(C24,Habilidades!$A$28,D24) * SUMIF(C24,Habilidades!$A$28,Habilidades!$B$28), if(C24="Curandeiro 2", SUMIF(C24,Habilidades!$A$29,D24) * SUMIF(C24,Habilidades!$A$29,Habilidades!$B$29), if(C24="Curandeiro 3", SUMIF(C24,Habilidades!$A$30,D24) * SUMIF(C24,Habilidades!$A$30,Habilidades!$B$30), if(C24="Sortudo 1", SUMIF(C24,Habilidades!$A$31,D24) * SUMIF(C24,Habilidades!$A$31,Habilidades!$B$31), if(C24="Sortudo 2", SUMIF(C24,Habilidades!$A$32,D24) * SUMIF(C24,Habilidades!$A$32,Habilidades!$B$32), if(C24="Sortudo 3", SUMIF(C24,Habilidades!$A$33,D24) * SUMIF(C24,Habilidades!$A$33,Habilidades!$B$33), if(C24="Protetor 1", SUMIF(C24,Habilidades!$A$34,D24) * SUMIF(C24,Habilidades!$A$34,Habilidades!$B$34), if(C24="Protetor 2", SUMIF(C24,Habilidades!$A$35,D24) * SUMIF(C24,Habilidades!$A$35,Habilidades!$B$35), if(C24="Protetor 3", SUMIF(C24,Habilidades!$A$36,D24) * SUMIF(C24,Habilidades!$A$36,Habilidades!$B$36), if(C24="Engenhoso 1", SUMIF(C24,Habilidades!$A$40,D24) * SUMIF(C24,Habilidades!$A$40,Habilidades!$B$40), if(C24="Engenhoso 2", SUMIF(C24,Habilidades!$A$41,D24) * SUMIF(C24,Habilidades!$A$41,Habilidades!$B$41), if(C24="Engenhoso 3", SUMIF(C24,Habilidades!$A$42,D24) * SUMIF(C24,Habilidades!$A$42,Habilidades!$B$42), if(C24="Reviver 1", SUMIF(C24,Habilidades!$A$43,D24) * SUMIF(C24,Habilidades!$A$43,Habilidades!$B$43), if(C24="Reviver 2", SUMIF(C24,Habilidades!$A$44,D24) * SUMIF(C24,Habilidades!$A$44,Habilidades!$B$44), if(C24="Reviver 3", SUMIF(C24,Habilidades!$A$45,D24) * SUMIF(C24,Habilidades!$A$45,Habilidades!$B$45), if(C24="Catador 1", SUMIF(C24,Habilidades!$A$46,D24) * SUMIF(C24,Habilidades!$A$46,Habilidades!$B$46), if(C24="Catador 2", SUMIF(C24,Habilidades!$A$47,D24) * SUMIF(C24,Habilidades!$A$47,Habilidades!$B$47), if(C24="Catador 3", SUMIF(C24,Habilidades!$A$48,D24) * SUMIF(C24,Habilidades!$A$48,Habilidades!$B$48), if(C24="Fornecedor 1", SUMIF(C24,Habilidades!$A$49,D24) * SUMIF(C24,Habilidades!$A$49,Habilidades!$B$49), if(C24="Fornecedor 2", SUMIF(C24,Habilidades!$A$50,D24) * SUMIF(C24,Habilidades!$A$50,Habilidades!$B$50), if(C24="Fornecedor 3", SUMIF(C24,Habilidades!$A$51,D24) * SUMIF(C24,Habilidades!$A$51,Habilidades!$B$51), if(C24="Suporte 1", SUMIF(C24,Habilidades!$A$52,D24) * SUMIF(C24,Habilidades!$A$52,Habilidades!$B$52), if(C24="Suporte 2", SUMIF(C24,Habilidades!$A$53,D24) * SUMIF(C24,Habilidades!$A$53,Habilidades!$B$53), if(C24="Suporte 3", SUMIF(C24,Habilidades!$A$54,D24) * SUMIF(C24,Habilidades!$A$54,Habilidades!$B$54), if(C24="Caça-tesouros 1", SUMIF(C24,Habilidades!$A$55,D24) * SUMIF(C24,Habilidades!$A$55,Habilidades!$B$55), if(C24="Caça-tesouros 2", SUMIF(C24,Habilidades!$A$56,D24) * SUMIF(C24,Habilidades!$A$56,Habilidades!$B$56), if(C24="Caça-tesouros 3", SUMIF(C24,Habilidades!$A$57,D24) * SUMIF(C24,Habilidades!$A$57,Habilidades!$B$57), if(C24="Velocista 1", SUMIF(C24,Habilidades!$A$77,D24) * SUMIF(C24,Habilidades!$A$77,Habilidades!$B$77), if(C24="Velocista 2", SUMIF(C24,Habilidades!$A$78,D24) * SUMIF(C24,Habilidades!$A$78,Habilidades!$B$78), if(C24="Velocista 3", SUMIF(C24,Habilidades!$A$79,D24) * SUMIF(C24,Habilidades!$A$79,Habilidades!$B$79), "-"))))))))))))))))))))))))))))))))))))))</f>
        <v>-</v>
      </c>
      <c r="F24" s="110"/>
      <c r="G24" s="145"/>
      <c r="H24" s="145"/>
      <c r="I24" s="145"/>
      <c r="J24" s="145"/>
      <c r="K24" s="145"/>
      <c r="L24" s="145"/>
      <c r="M24" s="110"/>
      <c r="N24" s="110"/>
    </row>
    <row r="25">
      <c r="C25" s="133" t="str">
        <f>IFERROR(__xludf.DUMMYFUNCTION("""COMPUTED_VALUE"""),"Curandeiro 3")</f>
        <v>Curandeiro 3</v>
      </c>
      <c r="D25" s="129">
        <f t="shared" si="2"/>
        <v>1</v>
      </c>
      <c r="E25" s="130">
        <f>if(C25="Detectar Segredo", SUMIF(C25,Habilidades!$A$11,D25) * SUMIF(C25,Habilidades!$A$11,Habilidades!$B$11), if(C25="Encontrar mágica", SUMIF(C25,Habilidades!$A$12,D25) * SUMIF(C25,Habilidades!$A$12,Habilidades!$B$12), if(C25="Cuidadoso 1", SUMIF(C25,Habilidades!$A$22,D25) * SUMIF(C25,Habilidades!$A$22,Habilidades!$B$22), if(C25="Cuidadoso 2", SUMIF(C25,Habilidades!$A$23,D39) * SUMIF(C25,Habilidades!$A$23,Habilidades!$B$23), if(C25="Cuidadoso 3", SUMIF(C25,Habilidades!$A$24,D25) * SUMIF(C25,Habilidades!$A$24,Habilidades!$B$24), if(C25="Ganancioso 1", SUMIF(C25,Habilidades!$A$25,D25) * SUMIF(C25,Habilidades!$A$25,Habilidades!$B$25), if(C25="Ganancioso 2", SUMIF(C25,Habilidades!$A$26,D25) * SUMIF(C25,Habilidades!$A$26,Habilidades!$B$26), if(C25="Ganancioso 3", SUMIF(C25,Habilidades!$A$27,D25) * SUMIF(C25,Habilidades!$A$27,Habilidades!$B$27), if(C25="Curandeiro 1", SUMIF(C25,Habilidades!$A$28,D25) * SUMIF(C25,Habilidades!$A$28,Habilidades!$B$28), if(C25="Curandeiro 2", SUMIF(C25,Habilidades!$A$29,D25) * SUMIF(C25,Habilidades!$A$29,Habilidades!$B$29), if(C25="Curandeiro 3", SUMIF(C25,Habilidades!$A$30,D25) * SUMIF(C25,Habilidades!$A$30,Habilidades!$B$30), if(C25="Sortudo 1", SUMIF(C25,Habilidades!$A$31,D25) * SUMIF(C25,Habilidades!$A$31,Habilidades!$B$31), if(C25="Sortudo 2", SUMIF(C25,Habilidades!$A$32,D25) * SUMIF(C25,Habilidades!$A$32,Habilidades!$B$32), if(C25="Sortudo 3", SUMIF(C25,Habilidades!$A$33,D25) * SUMIF(C25,Habilidades!$A$33,Habilidades!$B$33), if(C25="Protetor 1", SUMIF(C25,Habilidades!$A$34,D25) * SUMIF(C25,Habilidades!$A$34,Habilidades!$B$34), if(C25="Protetor 2", SUMIF(C25,Habilidades!$A$35,D25) * SUMIF(C25,Habilidades!$A$35,Habilidades!$B$35), if(C25="Protetor 3", SUMIF(C25,Habilidades!$A$36,D25) * SUMIF(C25,Habilidades!$A$36,Habilidades!$B$36), if(C25="Engenhoso 1", SUMIF(C25,Habilidades!$A$40,D25) * SUMIF(C25,Habilidades!$A$40,Habilidades!$B$40), if(C25="Engenhoso 2", SUMIF(C25,Habilidades!$A$41,D25) * SUMIF(C25,Habilidades!$A$41,Habilidades!$B$41), if(C25="Engenhoso 3", SUMIF(C25,Habilidades!$A$42,D25) * SUMIF(C25,Habilidades!$A$42,Habilidades!$B$42), if(C25="Reviver 1", SUMIF(C25,Habilidades!$A$43,D25) * SUMIF(C25,Habilidades!$A$43,Habilidades!$B$43), if(C25="Reviver 2", SUMIF(C25,Habilidades!$A$44,D25) * SUMIF(C25,Habilidades!$A$44,Habilidades!$B$44), if(C25="Reviver 3", SUMIF(C25,Habilidades!$A$45,D25) * SUMIF(C25,Habilidades!$A$45,Habilidades!$B$45), if(C25="Catador 1", SUMIF(C25,Habilidades!$A$46,D25) * SUMIF(C25,Habilidades!$A$46,Habilidades!$B$46), if(C25="Catador 2", SUMIF(C25,Habilidades!$A$47,D25) * SUMIF(C25,Habilidades!$A$47,Habilidades!$B$47), if(C25="Catador 3", SUMIF(C25,Habilidades!$A$48,D25) * SUMIF(C25,Habilidades!$A$48,Habilidades!$B$48), if(C25="Fornecedor 1", SUMIF(C25,Habilidades!$A$49,D25) * SUMIF(C25,Habilidades!$A$49,Habilidades!$B$49), if(C25="Fornecedor 2", SUMIF(C25,Habilidades!$A$50,D25) * SUMIF(C25,Habilidades!$A$50,Habilidades!$B$50), if(C25="Fornecedor 3", SUMIF(C25,Habilidades!$A$51,D25) * SUMIF(C25,Habilidades!$A$51,Habilidades!$B$51), if(C25="Suporte 1", SUMIF(C25,Habilidades!$A$52,D25) * SUMIF(C25,Habilidades!$A$52,Habilidades!$B$52), if(C25="Suporte 2", SUMIF(C25,Habilidades!$A$53,D25) * SUMIF(C25,Habilidades!$A$53,Habilidades!$B$53), if(C25="Suporte 3", SUMIF(C25,Habilidades!$A$54,D25) * SUMIF(C25,Habilidades!$A$54,Habilidades!$B$54), if(C25="Caça-tesouros 1", SUMIF(C25,Habilidades!$A$55,D25) * SUMIF(C25,Habilidades!$A$55,Habilidades!$B$55), if(C25="Caça-tesouros 2", SUMIF(C25,Habilidades!$A$56,D25) * SUMIF(C25,Habilidades!$A$56,Habilidades!$B$56), if(C25="Caça-tesouros 3", SUMIF(C25,Habilidades!$A$57,D25) * SUMIF(C25,Habilidades!$A$57,Habilidades!$B$57), if(C25="Velocista 1", SUMIF(C25,Habilidades!$A$77,D25) * SUMIF(C25,Habilidades!$A$77,Habilidades!$B$77), if(C25="Velocista 2", SUMIF(C25,Habilidades!$A$78,D25) * SUMIF(C25,Habilidades!$A$78,Habilidades!$B$78), if(C25="Velocista 3", SUMIF(C25,Habilidades!$A$79,D25) * SUMIF(C25,Habilidades!$A$79,Habilidades!$B$79), "-"))))))))))))))))))))))))))))))))))))))</f>
        <v>50</v>
      </c>
      <c r="F25" s="110"/>
      <c r="G25" s="145"/>
      <c r="H25" s="145"/>
      <c r="I25" s="145"/>
      <c r="J25" s="145"/>
      <c r="K25" s="145"/>
      <c r="L25" s="145"/>
      <c r="M25" s="110"/>
      <c r="N25" s="110"/>
    </row>
    <row r="26">
      <c r="C26" s="133" t="str">
        <f>IFERROR(__xludf.DUMMYFUNCTION("""COMPUTED_VALUE"""),"Defesa")</f>
        <v>Defesa</v>
      </c>
      <c r="D26" s="129">
        <f t="shared" si="2"/>
        <v>1</v>
      </c>
      <c r="E26" s="130" t="str">
        <f>if(C26="Detectar Segredo", SUMIF(C26,Habilidades!$A$11,D26) * SUMIF(C26,Habilidades!$A$11,Habilidades!$B$11), if(C26="Encontrar mágica", SUMIF(C26,Habilidades!$A$12,D26) * SUMIF(C26,Habilidades!$A$12,Habilidades!$B$12), if(C26="Cuidadoso 1", SUMIF(C26,Habilidades!$A$22,D26) * SUMIF(C26,Habilidades!$A$22,Habilidades!$B$22), if(C26="Cuidadoso 2", SUMIF(C26,Habilidades!$A$23,D40) * SUMIF(C26,Habilidades!$A$23,Habilidades!$B$23), if(C26="Cuidadoso 3", SUMIF(C26,Habilidades!$A$24,D26) * SUMIF(C26,Habilidades!$A$24,Habilidades!$B$24), if(C26="Ganancioso 1", SUMIF(C26,Habilidades!$A$25,D26) * SUMIF(C26,Habilidades!$A$25,Habilidades!$B$25), if(C26="Ganancioso 2", SUMIF(C26,Habilidades!$A$26,D26) * SUMIF(C26,Habilidades!$A$26,Habilidades!$B$26), if(C26="Ganancioso 3", SUMIF(C26,Habilidades!$A$27,D26) * SUMIF(C26,Habilidades!$A$27,Habilidades!$B$27), if(C26="Curandeiro 1", SUMIF(C26,Habilidades!$A$28,D26) * SUMIF(C26,Habilidades!$A$28,Habilidades!$B$28), if(C26="Curandeiro 2", SUMIF(C26,Habilidades!$A$29,D26) * SUMIF(C26,Habilidades!$A$29,Habilidades!$B$29), if(C26="Curandeiro 3", SUMIF(C26,Habilidades!$A$30,D26) * SUMIF(C26,Habilidades!$A$30,Habilidades!$B$30), if(C26="Sortudo 1", SUMIF(C26,Habilidades!$A$31,D26) * SUMIF(C26,Habilidades!$A$31,Habilidades!$B$31), if(C26="Sortudo 2", SUMIF(C26,Habilidades!$A$32,D26) * SUMIF(C26,Habilidades!$A$32,Habilidades!$B$32), if(C26="Sortudo 3", SUMIF(C26,Habilidades!$A$33,D26) * SUMIF(C26,Habilidades!$A$33,Habilidades!$B$33), if(C26="Protetor 1", SUMIF(C26,Habilidades!$A$34,D26) * SUMIF(C26,Habilidades!$A$34,Habilidades!$B$34), if(C26="Protetor 2", SUMIF(C26,Habilidades!$A$35,D26) * SUMIF(C26,Habilidades!$A$35,Habilidades!$B$35), if(C26="Protetor 3", SUMIF(C26,Habilidades!$A$36,D26) * SUMIF(C26,Habilidades!$A$36,Habilidades!$B$36), if(C26="Engenhoso 1", SUMIF(C26,Habilidades!$A$40,D26) * SUMIF(C26,Habilidades!$A$40,Habilidades!$B$40), if(C26="Engenhoso 2", SUMIF(C26,Habilidades!$A$41,D26) * SUMIF(C26,Habilidades!$A$41,Habilidades!$B$41), if(C26="Engenhoso 3", SUMIF(C26,Habilidades!$A$42,D26) * SUMIF(C26,Habilidades!$A$42,Habilidades!$B$42), if(C26="Reviver 1", SUMIF(C26,Habilidades!$A$43,D26) * SUMIF(C26,Habilidades!$A$43,Habilidades!$B$43), if(C26="Reviver 2", SUMIF(C26,Habilidades!$A$44,D26) * SUMIF(C26,Habilidades!$A$44,Habilidades!$B$44), if(C26="Reviver 3", SUMIF(C26,Habilidades!$A$45,D26) * SUMIF(C26,Habilidades!$A$45,Habilidades!$B$45), if(C26="Catador 1", SUMIF(C26,Habilidades!$A$46,D26) * SUMIF(C26,Habilidades!$A$46,Habilidades!$B$46), if(C26="Catador 2", SUMIF(C26,Habilidades!$A$47,D26) * SUMIF(C26,Habilidades!$A$47,Habilidades!$B$47), if(C26="Catador 3", SUMIF(C26,Habilidades!$A$48,D26) * SUMIF(C26,Habilidades!$A$48,Habilidades!$B$48), if(C26="Fornecedor 1", SUMIF(C26,Habilidades!$A$49,D26) * SUMIF(C26,Habilidades!$A$49,Habilidades!$B$49), if(C26="Fornecedor 2", SUMIF(C26,Habilidades!$A$50,D26) * SUMIF(C26,Habilidades!$A$50,Habilidades!$B$50), if(C26="Fornecedor 3", SUMIF(C26,Habilidades!$A$51,D26) * SUMIF(C26,Habilidades!$A$51,Habilidades!$B$51), if(C26="Suporte 1", SUMIF(C26,Habilidades!$A$52,D26) * SUMIF(C26,Habilidades!$A$52,Habilidades!$B$52), if(C26="Suporte 2", SUMIF(C26,Habilidades!$A$53,D26) * SUMIF(C26,Habilidades!$A$53,Habilidades!$B$53), if(C26="Suporte 3", SUMIF(C26,Habilidades!$A$54,D26) * SUMIF(C26,Habilidades!$A$54,Habilidades!$B$54), if(C26="Caça-tesouros 1", SUMIF(C26,Habilidades!$A$55,D26) * SUMIF(C26,Habilidades!$A$55,Habilidades!$B$55), if(C26="Caça-tesouros 2", SUMIF(C26,Habilidades!$A$56,D26) * SUMIF(C26,Habilidades!$A$56,Habilidades!$B$56), if(C26="Caça-tesouros 3", SUMIF(C26,Habilidades!$A$57,D26) * SUMIF(C26,Habilidades!$A$57,Habilidades!$B$57), if(C26="Velocista 1", SUMIF(C26,Habilidades!$A$77,D26) * SUMIF(C26,Habilidades!$A$77,Habilidades!$B$77), if(C26="Velocista 2", SUMIF(C26,Habilidades!$A$78,D26) * SUMIF(C26,Habilidades!$A$78,Habilidades!$B$78), if(C26="Velocista 3", SUMIF(C26,Habilidades!$A$79,D26) * SUMIF(C26,Habilidades!$A$79,Habilidades!$B$79), "-"))))))))))))))))))))))))))))))))))))))</f>
        <v>-</v>
      </c>
      <c r="F26" s="110"/>
      <c r="G26" s="145"/>
      <c r="H26" s="145"/>
      <c r="I26" s="145"/>
      <c r="J26" s="145"/>
      <c r="K26" s="145"/>
      <c r="L26" s="145"/>
      <c r="M26" s="110"/>
      <c r="N26" s="110"/>
    </row>
    <row r="27">
      <c r="C27" s="133" t="str">
        <f>IFERROR(__xludf.DUMMYFUNCTION("""COMPUTED_VALUE"""),"Detectar segredo")</f>
        <v>Detectar segredo</v>
      </c>
      <c r="D27" s="129">
        <f t="shared" si="2"/>
        <v>1</v>
      </c>
      <c r="E27" s="130">
        <f>if(C27="Detectar Segredo", SUMIF(C27,Habilidades!$A$11,D27) * SUMIF(C27,Habilidades!$A$11,Habilidades!$B$11), if(C27="Encontrar mágica", SUMIF(C27,Habilidades!$A$12,D27) * SUMIF(C27,Habilidades!$A$12,Habilidades!$B$12), if(C27="Cuidadoso 1", SUMIF(C27,Habilidades!$A$22,D27) * SUMIF(C27,Habilidades!$A$22,Habilidades!$B$22), if(C27="Cuidadoso 2", SUMIF(C27,Habilidades!$A$23,D41) * SUMIF(C27,Habilidades!$A$23,Habilidades!$B$23), if(C27="Cuidadoso 3", SUMIF(C27,Habilidades!$A$24,D27) * SUMIF(C27,Habilidades!$A$24,Habilidades!$B$24), if(C27="Ganancioso 1", SUMIF(C27,Habilidades!$A$25,D27) * SUMIF(C27,Habilidades!$A$25,Habilidades!$B$25), if(C27="Ganancioso 2", SUMIF(C27,Habilidades!$A$26,D27) * SUMIF(C27,Habilidades!$A$26,Habilidades!$B$26), if(C27="Ganancioso 3", SUMIF(C27,Habilidades!$A$27,D27) * SUMIF(C27,Habilidades!$A$27,Habilidades!$B$27), if(C27="Curandeiro 1", SUMIF(C27,Habilidades!$A$28,D27) * SUMIF(C27,Habilidades!$A$28,Habilidades!$B$28), if(C27="Curandeiro 2", SUMIF(C27,Habilidades!$A$29,D27) * SUMIF(C27,Habilidades!$A$29,Habilidades!$B$29), if(C27="Curandeiro 3", SUMIF(C27,Habilidades!$A$30,D27) * SUMIF(C27,Habilidades!$A$30,Habilidades!$B$30), if(C27="Sortudo 1", SUMIF(C27,Habilidades!$A$31,D27) * SUMIF(C27,Habilidades!$A$31,Habilidades!$B$31), if(C27="Sortudo 2", SUMIF(C27,Habilidades!$A$32,D27) * SUMIF(C27,Habilidades!$A$32,Habilidades!$B$32), if(C27="Sortudo 3", SUMIF(C27,Habilidades!$A$33,D27) * SUMIF(C27,Habilidades!$A$33,Habilidades!$B$33), if(C27="Protetor 1", SUMIF(C27,Habilidades!$A$34,D27) * SUMIF(C27,Habilidades!$A$34,Habilidades!$B$34), if(C27="Protetor 2", SUMIF(C27,Habilidades!$A$35,D27) * SUMIF(C27,Habilidades!$A$35,Habilidades!$B$35), if(C27="Protetor 3", SUMIF(C27,Habilidades!$A$36,D27) * SUMIF(C27,Habilidades!$A$36,Habilidades!$B$36), if(C27="Engenhoso 1", SUMIF(C27,Habilidades!$A$40,D27) * SUMIF(C27,Habilidades!$A$40,Habilidades!$B$40), if(C27="Engenhoso 2", SUMIF(C27,Habilidades!$A$41,D27) * SUMIF(C27,Habilidades!$A$41,Habilidades!$B$41), if(C27="Engenhoso 3", SUMIF(C27,Habilidades!$A$42,D27) * SUMIF(C27,Habilidades!$A$42,Habilidades!$B$42), if(C27="Reviver 1", SUMIF(C27,Habilidades!$A$43,D27) * SUMIF(C27,Habilidades!$A$43,Habilidades!$B$43), if(C27="Reviver 2", SUMIF(C27,Habilidades!$A$44,D27) * SUMIF(C27,Habilidades!$A$44,Habilidades!$B$44), if(C27="Reviver 3", SUMIF(C27,Habilidades!$A$45,D27) * SUMIF(C27,Habilidades!$A$45,Habilidades!$B$45), if(C27="Catador 1", SUMIF(C27,Habilidades!$A$46,D27) * SUMIF(C27,Habilidades!$A$46,Habilidades!$B$46), if(C27="Catador 2", SUMIF(C27,Habilidades!$A$47,D27) * SUMIF(C27,Habilidades!$A$47,Habilidades!$B$47), if(C27="Catador 3", SUMIF(C27,Habilidades!$A$48,D27) * SUMIF(C27,Habilidades!$A$48,Habilidades!$B$48), if(C27="Fornecedor 1", SUMIF(C27,Habilidades!$A$49,D27) * SUMIF(C27,Habilidades!$A$49,Habilidades!$B$49), if(C27="Fornecedor 2", SUMIF(C27,Habilidades!$A$50,D27) * SUMIF(C27,Habilidades!$A$50,Habilidades!$B$50), if(C27="Fornecedor 3", SUMIF(C27,Habilidades!$A$51,D27) * SUMIF(C27,Habilidades!$A$51,Habilidades!$B$51), if(C27="Suporte 1", SUMIF(C27,Habilidades!$A$52,D27) * SUMIF(C27,Habilidades!$A$52,Habilidades!$B$52), if(C27="Suporte 2", SUMIF(C27,Habilidades!$A$53,D27) * SUMIF(C27,Habilidades!$A$53,Habilidades!$B$53), if(C27="Suporte 3", SUMIF(C27,Habilidades!$A$54,D27) * SUMIF(C27,Habilidades!$A$54,Habilidades!$B$54), if(C27="Caça-tesouros 1", SUMIF(C27,Habilidades!$A$55,D27) * SUMIF(C27,Habilidades!$A$55,Habilidades!$B$55), if(C27="Caça-tesouros 2", SUMIF(C27,Habilidades!$A$56,D27) * SUMIF(C27,Habilidades!$A$56,Habilidades!$B$56), if(C27="Caça-tesouros 3", SUMIF(C27,Habilidades!$A$57,D27) * SUMIF(C27,Habilidades!$A$57,Habilidades!$B$57), if(C27="Velocista 1", SUMIF(C27,Habilidades!$A$77,D27) * SUMIF(C27,Habilidades!$A$77,Habilidades!$B$77), if(C27="Velocista 2", SUMIF(C27,Habilidades!$A$78,D27) * SUMIF(C27,Habilidades!$A$78,Habilidades!$B$78), if(C27="Velocista 3", SUMIF(C27,Habilidades!$A$79,D27) * SUMIF(C27,Habilidades!$A$79,Habilidades!$B$79), "-"))))))))))))))))))))))))))))))))))))))</f>
        <v>6</v>
      </c>
      <c r="F27" s="110"/>
      <c r="G27" s="145"/>
      <c r="H27" s="145"/>
      <c r="I27" s="145"/>
      <c r="J27" s="145"/>
      <c r="K27" s="145"/>
      <c r="L27" s="145"/>
      <c r="M27" s="110"/>
      <c r="N27" s="110"/>
    </row>
    <row r="28">
      <c r="C28" s="133" t="str">
        <f>IFERROR(__xludf.DUMMYFUNCTION("""COMPUTED_VALUE"""),"Encontrar mágica")</f>
        <v>Encontrar mágica</v>
      </c>
      <c r="D28" s="129">
        <f t="shared" si="2"/>
        <v>25</v>
      </c>
      <c r="E28" s="130">
        <f>if(C28="Detectar Segredo", SUMIF(C28,Habilidades!$A$11,D28) * SUMIF(C28,Habilidades!$A$11,Habilidades!$B$11), if(C28="Encontrar mágica", SUMIF(C28,Habilidades!$A$12,D28) * SUMIF(C28,Habilidades!$A$12,Habilidades!$B$12), if(C28="Cuidadoso 1", SUMIF(C28,Habilidades!$A$22,D28) * SUMIF(C28,Habilidades!$A$22,Habilidades!$B$22), if(C28="Cuidadoso 2", SUMIF(C28,Habilidades!$A$23,D42) * SUMIF(C28,Habilidades!$A$23,Habilidades!$B$23), if(C28="Cuidadoso 3", SUMIF(C28,Habilidades!$A$24,D28) * SUMIF(C28,Habilidades!$A$24,Habilidades!$B$24), if(C28="Ganancioso 1", SUMIF(C28,Habilidades!$A$25,D28) * SUMIF(C28,Habilidades!$A$25,Habilidades!$B$25), if(C28="Ganancioso 2", SUMIF(C28,Habilidades!$A$26,D28) * SUMIF(C28,Habilidades!$A$26,Habilidades!$B$26), if(C28="Ganancioso 3", SUMIF(C28,Habilidades!$A$27,D28) * SUMIF(C28,Habilidades!$A$27,Habilidades!$B$27), if(C28="Curandeiro 1", SUMIF(C28,Habilidades!$A$28,D28) * SUMIF(C28,Habilidades!$A$28,Habilidades!$B$28), if(C28="Curandeiro 2", SUMIF(C28,Habilidades!$A$29,D28) * SUMIF(C28,Habilidades!$A$29,Habilidades!$B$29), if(C28="Curandeiro 3", SUMIF(C28,Habilidades!$A$30,D28) * SUMIF(C28,Habilidades!$A$30,Habilidades!$B$30), if(C28="Sortudo 1", SUMIF(C28,Habilidades!$A$31,D28) * SUMIF(C28,Habilidades!$A$31,Habilidades!$B$31), if(C28="Sortudo 2", SUMIF(C28,Habilidades!$A$32,D28) * SUMIF(C28,Habilidades!$A$32,Habilidades!$B$32), if(C28="Sortudo 3", SUMIF(C28,Habilidades!$A$33,D28) * SUMIF(C28,Habilidades!$A$33,Habilidades!$B$33), if(C28="Protetor 1", SUMIF(C28,Habilidades!$A$34,D28) * SUMIF(C28,Habilidades!$A$34,Habilidades!$B$34), if(C28="Protetor 2", SUMIF(C28,Habilidades!$A$35,D28) * SUMIF(C28,Habilidades!$A$35,Habilidades!$B$35), if(C28="Protetor 3", SUMIF(C28,Habilidades!$A$36,D28) * SUMIF(C28,Habilidades!$A$36,Habilidades!$B$36), if(C28="Engenhoso 1", SUMIF(C28,Habilidades!$A$40,D28) * SUMIF(C28,Habilidades!$A$40,Habilidades!$B$40), if(C28="Engenhoso 2", SUMIF(C28,Habilidades!$A$41,D28) * SUMIF(C28,Habilidades!$A$41,Habilidades!$B$41), if(C28="Engenhoso 3", SUMIF(C28,Habilidades!$A$42,D28) * SUMIF(C28,Habilidades!$A$42,Habilidades!$B$42), if(C28="Reviver 1", SUMIF(C28,Habilidades!$A$43,D28) * SUMIF(C28,Habilidades!$A$43,Habilidades!$B$43), if(C28="Reviver 2", SUMIF(C28,Habilidades!$A$44,D28) * SUMIF(C28,Habilidades!$A$44,Habilidades!$B$44), if(C28="Reviver 3", SUMIF(C28,Habilidades!$A$45,D28) * SUMIF(C28,Habilidades!$A$45,Habilidades!$B$45), if(C28="Catador 1", SUMIF(C28,Habilidades!$A$46,D28) * SUMIF(C28,Habilidades!$A$46,Habilidades!$B$46), if(C28="Catador 2", SUMIF(C28,Habilidades!$A$47,D28) * SUMIF(C28,Habilidades!$A$47,Habilidades!$B$47), if(C28="Catador 3", SUMIF(C28,Habilidades!$A$48,D28) * SUMIF(C28,Habilidades!$A$48,Habilidades!$B$48), if(C28="Fornecedor 1", SUMIF(C28,Habilidades!$A$49,D28) * SUMIF(C28,Habilidades!$A$49,Habilidades!$B$49), if(C28="Fornecedor 2", SUMIF(C28,Habilidades!$A$50,D28) * SUMIF(C28,Habilidades!$A$50,Habilidades!$B$50), if(C28="Fornecedor 3", SUMIF(C28,Habilidades!$A$51,D28) * SUMIF(C28,Habilidades!$A$51,Habilidades!$B$51), if(C28="Suporte 1", SUMIF(C28,Habilidades!$A$52,D28) * SUMIF(C28,Habilidades!$A$52,Habilidades!$B$52), if(C28="Suporte 2", SUMIF(C28,Habilidades!$A$53,D28) * SUMIF(C28,Habilidades!$A$53,Habilidades!$B$53), if(C28="Suporte 3", SUMIF(C28,Habilidades!$A$54,D28) * SUMIF(C28,Habilidades!$A$54,Habilidades!$B$54), if(C28="Caça-tesouros 1", SUMIF(C28,Habilidades!$A$55,D28) * SUMIF(C28,Habilidades!$A$55,Habilidades!$B$55), if(C28="Caça-tesouros 2", SUMIF(C28,Habilidades!$A$56,D28) * SUMIF(C28,Habilidades!$A$56,Habilidades!$B$56), if(C28="Caça-tesouros 3", SUMIF(C28,Habilidades!$A$57,D28) * SUMIF(C28,Habilidades!$A$57,Habilidades!$B$57), if(C28="Velocista 1", SUMIF(C28,Habilidades!$A$77,D28) * SUMIF(C28,Habilidades!$A$77,Habilidades!$B$77), if(C28="Velocista 2", SUMIF(C28,Habilidades!$A$78,D28) * SUMIF(C28,Habilidades!$A$78,Habilidades!$B$78), if(C28="Velocista 3", SUMIF(C28,Habilidades!$A$79,D28) * SUMIF(C28,Habilidades!$A$79,Habilidades!$B$79), "-"))))))))))))))))))))))))))))))))))))))</f>
        <v>300</v>
      </c>
      <c r="F28" s="110"/>
      <c r="G28" s="145"/>
      <c r="H28" s="145"/>
      <c r="I28" s="145"/>
      <c r="J28" s="145"/>
      <c r="K28" s="145"/>
      <c r="L28" s="145"/>
      <c r="M28" s="110"/>
      <c r="N28" s="110"/>
    </row>
    <row r="29">
      <c r="C29" s="133" t="str">
        <f>IFERROR(__xludf.DUMMYFUNCTION("""COMPUTED_VALUE"""),"Energético 3")</f>
        <v>Energético 3</v>
      </c>
      <c r="D29" s="129">
        <f t="shared" si="2"/>
        <v>5</v>
      </c>
      <c r="E29" s="130" t="str">
        <f>if(C29="Detectar Segredo", SUMIF(C29,Habilidades!$A$11,D29) * SUMIF(C29,Habilidades!$A$11,Habilidades!$B$11), if(C29="Encontrar mágica", SUMIF(C29,Habilidades!$A$12,D29) * SUMIF(C29,Habilidades!$A$12,Habilidades!$B$12), if(C29="Cuidadoso 1", SUMIF(C29,Habilidades!$A$22,D29) * SUMIF(C29,Habilidades!$A$22,Habilidades!$B$22), if(C29="Cuidadoso 2", SUMIF(C29,Habilidades!$A$23,D43) * SUMIF(C29,Habilidades!$A$23,Habilidades!$B$23), if(C29="Cuidadoso 3", SUMIF(C29,Habilidades!$A$24,D29) * SUMIF(C29,Habilidades!$A$24,Habilidades!$B$24), if(C29="Ganancioso 1", SUMIF(C29,Habilidades!$A$25,D29) * SUMIF(C29,Habilidades!$A$25,Habilidades!$B$25), if(C29="Ganancioso 2", SUMIF(C29,Habilidades!$A$26,D29) * SUMIF(C29,Habilidades!$A$26,Habilidades!$B$26), if(C29="Ganancioso 3", SUMIF(C29,Habilidades!$A$27,D29) * SUMIF(C29,Habilidades!$A$27,Habilidades!$B$27), if(C29="Curandeiro 1", SUMIF(C29,Habilidades!$A$28,D29) * SUMIF(C29,Habilidades!$A$28,Habilidades!$B$28), if(C29="Curandeiro 2", SUMIF(C29,Habilidades!$A$29,D29) * SUMIF(C29,Habilidades!$A$29,Habilidades!$B$29), if(C29="Curandeiro 3", SUMIF(C29,Habilidades!$A$30,D29) * SUMIF(C29,Habilidades!$A$30,Habilidades!$B$30), if(C29="Sortudo 1", SUMIF(C29,Habilidades!$A$31,D29) * SUMIF(C29,Habilidades!$A$31,Habilidades!$B$31), if(C29="Sortudo 2", SUMIF(C29,Habilidades!$A$32,D29) * SUMIF(C29,Habilidades!$A$32,Habilidades!$B$32), if(C29="Sortudo 3", SUMIF(C29,Habilidades!$A$33,D29) * SUMIF(C29,Habilidades!$A$33,Habilidades!$B$33), if(C29="Protetor 1", SUMIF(C29,Habilidades!$A$34,D29) * SUMIF(C29,Habilidades!$A$34,Habilidades!$B$34), if(C29="Protetor 2", SUMIF(C29,Habilidades!$A$35,D29) * SUMIF(C29,Habilidades!$A$35,Habilidades!$B$35), if(C29="Protetor 3", SUMIF(C29,Habilidades!$A$36,D29) * SUMIF(C29,Habilidades!$A$36,Habilidades!$B$36), if(C29="Engenhoso 1", SUMIF(C29,Habilidades!$A$40,D29) * SUMIF(C29,Habilidades!$A$40,Habilidades!$B$40), if(C29="Engenhoso 2", SUMIF(C29,Habilidades!$A$41,D29) * SUMIF(C29,Habilidades!$A$41,Habilidades!$B$41), if(C29="Engenhoso 3", SUMIF(C29,Habilidades!$A$42,D29) * SUMIF(C29,Habilidades!$A$42,Habilidades!$B$42), if(C29="Reviver 1", SUMIF(C29,Habilidades!$A$43,D29) * SUMIF(C29,Habilidades!$A$43,Habilidades!$B$43), if(C29="Reviver 2", SUMIF(C29,Habilidades!$A$44,D29) * SUMIF(C29,Habilidades!$A$44,Habilidades!$B$44), if(C29="Reviver 3", SUMIF(C29,Habilidades!$A$45,D29) * SUMIF(C29,Habilidades!$A$45,Habilidades!$B$45), if(C29="Catador 1", SUMIF(C29,Habilidades!$A$46,D29) * SUMIF(C29,Habilidades!$A$46,Habilidades!$B$46), if(C29="Catador 2", SUMIF(C29,Habilidades!$A$47,D29) * SUMIF(C29,Habilidades!$A$47,Habilidades!$B$47), if(C29="Catador 3", SUMIF(C29,Habilidades!$A$48,D29) * SUMIF(C29,Habilidades!$A$48,Habilidades!$B$48), if(C29="Fornecedor 1", SUMIF(C29,Habilidades!$A$49,D29) * SUMIF(C29,Habilidades!$A$49,Habilidades!$B$49), if(C29="Fornecedor 2", SUMIF(C29,Habilidades!$A$50,D29) * SUMIF(C29,Habilidades!$A$50,Habilidades!$B$50), if(C29="Fornecedor 3", SUMIF(C29,Habilidades!$A$51,D29) * SUMIF(C29,Habilidades!$A$51,Habilidades!$B$51), if(C29="Suporte 1", SUMIF(C29,Habilidades!$A$52,D29) * SUMIF(C29,Habilidades!$A$52,Habilidades!$B$52), if(C29="Suporte 2", SUMIF(C29,Habilidades!$A$53,D29) * SUMIF(C29,Habilidades!$A$53,Habilidades!$B$53), if(C29="Suporte 3", SUMIF(C29,Habilidades!$A$54,D29) * SUMIF(C29,Habilidades!$A$54,Habilidades!$B$54), if(C29="Caça-tesouros 1", SUMIF(C29,Habilidades!$A$55,D29) * SUMIF(C29,Habilidades!$A$55,Habilidades!$B$55), if(C29="Caça-tesouros 2", SUMIF(C29,Habilidades!$A$56,D29) * SUMIF(C29,Habilidades!$A$56,Habilidades!$B$56), if(C29="Caça-tesouros 3", SUMIF(C29,Habilidades!$A$57,D29) * SUMIF(C29,Habilidades!$A$57,Habilidades!$B$57), if(C29="Velocista 1", SUMIF(C29,Habilidades!$A$77,D29) * SUMIF(C29,Habilidades!$A$77,Habilidades!$B$77), if(C29="Velocista 2", SUMIF(C29,Habilidades!$A$78,D29) * SUMIF(C29,Habilidades!$A$78,Habilidades!$B$78), if(C29="Velocista 3", SUMIF(C29,Habilidades!$A$79,D29) * SUMIF(C29,Habilidades!$A$79,Habilidades!$B$79), "-"))))))))))))))))))))))))))))))))))))))</f>
        <v>-</v>
      </c>
      <c r="F29" s="110"/>
      <c r="G29" s="150"/>
      <c r="H29" s="150"/>
      <c r="I29" s="150"/>
      <c r="J29" s="150"/>
      <c r="K29" s="148"/>
      <c r="L29" s="148"/>
      <c r="M29" s="47"/>
      <c r="N29" s="47"/>
    </row>
    <row r="30">
      <c r="C30" s="133" t="str">
        <f>IFERROR(__xludf.DUMMYFUNCTION("""COMPUTED_VALUE"""),"Engenhoso 2")</f>
        <v>Engenhoso 2</v>
      </c>
      <c r="D30" s="129">
        <f t="shared" si="2"/>
        <v>1</v>
      </c>
      <c r="E30" s="130">
        <f>if(C30="Detectar Segredo", SUMIF(C30,Habilidades!$A$11,D30) * SUMIF(C30,Habilidades!$A$11,Habilidades!$B$11), if(C30="Encontrar mágica", SUMIF(C30,Habilidades!$A$12,D30) * SUMIF(C30,Habilidades!$A$12,Habilidades!$B$12), if(C30="Cuidadoso 1", SUMIF(C30,Habilidades!$A$22,D30) * SUMIF(C30,Habilidades!$A$22,Habilidades!$B$22), if(C30="Cuidadoso 2", SUMIF(C30,Habilidades!$A$23,D44) * SUMIF(C30,Habilidades!$A$23,Habilidades!$B$23), if(C30="Cuidadoso 3", SUMIF(C30,Habilidades!$A$24,D30) * SUMIF(C30,Habilidades!$A$24,Habilidades!$B$24), if(C30="Ganancioso 1", SUMIF(C30,Habilidades!$A$25,D30) * SUMIF(C30,Habilidades!$A$25,Habilidades!$B$25), if(C30="Ganancioso 2", SUMIF(C30,Habilidades!$A$26,D30) * SUMIF(C30,Habilidades!$A$26,Habilidades!$B$26), if(C30="Ganancioso 3", SUMIF(C30,Habilidades!$A$27,D30) * SUMIF(C30,Habilidades!$A$27,Habilidades!$B$27), if(C30="Curandeiro 1", SUMIF(C30,Habilidades!$A$28,D30) * SUMIF(C30,Habilidades!$A$28,Habilidades!$B$28), if(C30="Curandeiro 2", SUMIF(C30,Habilidades!$A$29,D30) * SUMIF(C30,Habilidades!$A$29,Habilidades!$B$29), if(C30="Curandeiro 3", SUMIF(C30,Habilidades!$A$30,D30) * SUMIF(C30,Habilidades!$A$30,Habilidades!$B$30), if(C30="Sortudo 1", SUMIF(C30,Habilidades!$A$31,D30) * SUMIF(C30,Habilidades!$A$31,Habilidades!$B$31), if(C30="Sortudo 2", SUMIF(C30,Habilidades!$A$32,D30) * SUMIF(C30,Habilidades!$A$32,Habilidades!$B$32), if(C30="Sortudo 3", SUMIF(C30,Habilidades!$A$33,D30) * SUMIF(C30,Habilidades!$A$33,Habilidades!$B$33), if(C30="Protetor 1", SUMIF(C30,Habilidades!$A$34,D30) * SUMIF(C30,Habilidades!$A$34,Habilidades!$B$34), if(C30="Protetor 2", SUMIF(C30,Habilidades!$A$35,D30) * SUMIF(C30,Habilidades!$A$35,Habilidades!$B$35), if(C30="Protetor 3", SUMIF(C30,Habilidades!$A$36,D30) * SUMIF(C30,Habilidades!$A$36,Habilidades!$B$36), if(C30="Engenhoso 1", SUMIF(C30,Habilidades!$A$40,D30) * SUMIF(C30,Habilidades!$A$40,Habilidades!$B$40), if(C30="Engenhoso 2", SUMIF(C30,Habilidades!$A$41,D30) * SUMIF(C30,Habilidades!$A$41,Habilidades!$B$41), if(C30="Engenhoso 3", SUMIF(C30,Habilidades!$A$42,D30) * SUMIF(C30,Habilidades!$A$42,Habilidades!$B$42), if(C30="Reviver 1", SUMIF(C30,Habilidades!$A$43,D30) * SUMIF(C30,Habilidades!$A$43,Habilidades!$B$43), if(C30="Reviver 2", SUMIF(C30,Habilidades!$A$44,D30) * SUMIF(C30,Habilidades!$A$44,Habilidades!$B$44), if(C30="Reviver 3", SUMIF(C30,Habilidades!$A$45,D30) * SUMIF(C30,Habilidades!$A$45,Habilidades!$B$45), if(C30="Catador 1", SUMIF(C30,Habilidades!$A$46,D30) * SUMIF(C30,Habilidades!$A$46,Habilidades!$B$46), if(C30="Catador 2", SUMIF(C30,Habilidades!$A$47,D30) * SUMIF(C30,Habilidades!$A$47,Habilidades!$B$47), if(C30="Catador 3", SUMIF(C30,Habilidades!$A$48,D30) * SUMIF(C30,Habilidades!$A$48,Habilidades!$B$48), if(C30="Fornecedor 1", SUMIF(C30,Habilidades!$A$49,D30) * SUMIF(C30,Habilidades!$A$49,Habilidades!$B$49), if(C30="Fornecedor 2", SUMIF(C30,Habilidades!$A$50,D30) * SUMIF(C30,Habilidades!$A$50,Habilidades!$B$50), if(C30="Fornecedor 3", SUMIF(C30,Habilidades!$A$51,D30) * SUMIF(C30,Habilidades!$A$51,Habilidades!$B$51), if(C30="Suporte 1", SUMIF(C30,Habilidades!$A$52,D30) * SUMIF(C30,Habilidades!$A$52,Habilidades!$B$52), if(C30="Suporte 2", SUMIF(C30,Habilidades!$A$53,D30) * SUMIF(C30,Habilidades!$A$53,Habilidades!$B$53), if(C30="Suporte 3", SUMIF(C30,Habilidades!$A$54,D30) * SUMIF(C30,Habilidades!$A$54,Habilidades!$B$54), if(C30="Caça-tesouros 1", SUMIF(C30,Habilidades!$A$55,D30) * SUMIF(C30,Habilidades!$A$55,Habilidades!$B$55), if(C30="Caça-tesouros 2", SUMIF(C30,Habilidades!$A$56,D30) * SUMIF(C30,Habilidades!$A$56,Habilidades!$B$56), if(C30="Caça-tesouros 3", SUMIF(C30,Habilidades!$A$57,D30) * SUMIF(C30,Habilidades!$A$57,Habilidades!$B$57), if(C30="Velocista 1", SUMIF(C30,Habilidades!$A$77,D30) * SUMIF(C30,Habilidades!$A$77,Habilidades!$B$77), if(C30="Velocista 2", SUMIF(C30,Habilidades!$A$78,D30) * SUMIF(C30,Habilidades!$A$78,Habilidades!$B$78), if(C30="Velocista 3", SUMIF(C30,Habilidades!$A$79,D30) * SUMIF(C30,Habilidades!$A$79,Habilidades!$B$79), "-"))))))))))))))))))))))))))))))))))))))</f>
        <v>2</v>
      </c>
      <c r="F30" s="110"/>
      <c r="G30" s="145"/>
      <c r="H30" s="145"/>
      <c r="I30" s="145"/>
      <c r="J30" s="145"/>
      <c r="K30" s="148"/>
      <c r="L30" s="148"/>
      <c r="M30" s="47"/>
      <c r="N30" s="47"/>
    </row>
    <row r="31">
      <c r="C31" s="133" t="str">
        <f>IFERROR(__xludf.DUMMYFUNCTION("""COMPUTED_VALUE"""),"Engenhoso 3")</f>
        <v>Engenhoso 3</v>
      </c>
      <c r="D31" s="129">
        <f t="shared" si="2"/>
        <v>1</v>
      </c>
      <c r="E31" s="130">
        <f>if(C31="Detectar Segredo", SUMIF(C31,Habilidades!$A$11,D31) * SUMIF(C31,Habilidades!$A$11,Habilidades!$B$11), if(C31="Encontrar mágica", SUMIF(C31,Habilidades!$A$12,D31) * SUMIF(C31,Habilidades!$A$12,Habilidades!$B$12), if(C31="Cuidadoso 1", SUMIF(C31,Habilidades!$A$22,D31) * SUMIF(C31,Habilidades!$A$22,Habilidades!$B$22), if(C31="Cuidadoso 2", SUMIF(C31,Habilidades!$A$23,D45) * SUMIF(C31,Habilidades!$A$23,Habilidades!$B$23), if(C31="Cuidadoso 3", SUMIF(C31,Habilidades!$A$24,D31) * SUMIF(C31,Habilidades!$A$24,Habilidades!$B$24), if(C31="Ganancioso 1", SUMIF(C31,Habilidades!$A$25,D31) * SUMIF(C31,Habilidades!$A$25,Habilidades!$B$25), if(C31="Ganancioso 2", SUMIF(C31,Habilidades!$A$26,D31) * SUMIF(C31,Habilidades!$A$26,Habilidades!$B$26), if(C31="Ganancioso 3", SUMIF(C31,Habilidades!$A$27,D31) * SUMIF(C31,Habilidades!$A$27,Habilidades!$B$27), if(C31="Curandeiro 1", SUMIF(C31,Habilidades!$A$28,D31) * SUMIF(C31,Habilidades!$A$28,Habilidades!$B$28), if(C31="Curandeiro 2", SUMIF(C31,Habilidades!$A$29,D31) * SUMIF(C31,Habilidades!$A$29,Habilidades!$B$29), if(C31="Curandeiro 3", SUMIF(C31,Habilidades!$A$30,D31) * SUMIF(C31,Habilidades!$A$30,Habilidades!$B$30), if(C31="Sortudo 1", SUMIF(C31,Habilidades!$A$31,D31) * SUMIF(C31,Habilidades!$A$31,Habilidades!$B$31), if(C31="Sortudo 2", SUMIF(C31,Habilidades!$A$32,D31) * SUMIF(C31,Habilidades!$A$32,Habilidades!$B$32), if(C31="Sortudo 3", SUMIF(C31,Habilidades!$A$33,D31) * SUMIF(C31,Habilidades!$A$33,Habilidades!$B$33), if(C31="Protetor 1", SUMIF(C31,Habilidades!$A$34,D31) * SUMIF(C31,Habilidades!$A$34,Habilidades!$B$34), if(C31="Protetor 2", SUMIF(C31,Habilidades!$A$35,D31) * SUMIF(C31,Habilidades!$A$35,Habilidades!$B$35), if(C31="Protetor 3", SUMIF(C31,Habilidades!$A$36,D31) * SUMIF(C31,Habilidades!$A$36,Habilidades!$B$36), if(C31="Engenhoso 1", SUMIF(C31,Habilidades!$A$40,D31) * SUMIF(C31,Habilidades!$A$40,Habilidades!$B$40), if(C31="Engenhoso 2", SUMIF(C31,Habilidades!$A$41,D31) * SUMIF(C31,Habilidades!$A$41,Habilidades!$B$41), if(C31="Engenhoso 3", SUMIF(C31,Habilidades!$A$42,D31) * SUMIF(C31,Habilidades!$A$42,Habilidades!$B$42), if(C31="Reviver 1", SUMIF(C31,Habilidades!$A$43,D31) * SUMIF(C31,Habilidades!$A$43,Habilidades!$B$43), if(C31="Reviver 2", SUMIF(C31,Habilidades!$A$44,D31) * SUMIF(C31,Habilidades!$A$44,Habilidades!$B$44), if(C31="Reviver 3", SUMIF(C31,Habilidades!$A$45,D31) * SUMIF(C31,Habilidades!$A$45,Habilidades!$B$45), if(C31="Catador 1", SUMIF(C31,Habilidades!$A$46,D31) * SUMIF(C31,Habilidades!$A$46,Habilidades!$B$46), if(C31="Catador 2", SUMIF(C31,Habilidades!$A$47,D31) * SUMIF(C31,Habilidades!$A$47,Habilidades!$B$47), if(C31="Catador 3", SUMIF(C31,Habilidades!$A$48,D31) * SUMIF(C31,Habilidades!$A$48,Habilidades!$B$48), if(C31="Fornecedor 1", SUMIF(C31,Habilidades!$A$49,D31) * SUMIF(C31,Habilidades!$A$49,Habilidades!$B$49), if(C31="Fornecedor 2", SUMIF(C31,Habilidades!$A$50,D31) * SUMIF(C31,Habilidades!$A$50,Habilidades!$B$50), if(C31="Fornecedor 3", SUMIF(C31,Habilidades!$A$51,D31) * SUMIF(C31,Habilidades!$A$51,Habilidades!$B$51), if(C31="Suporte 1", SUMIF(C31,Habilidades!$A$52,D31) * SUMIF(C31,Habilidades!$A$52,Habilidades!$B$52), if(C31="Suporte 2", SUMIF(C31,Habilidades!$A$53,D31) * SUMIF(C31,Habilidades!$A$53,Habilidades!$B$53), if(C31="Suporte 3", SUMIF(C31,Habilidades!$A$54,D31) * SUMIF(C31,Habilidades!$A$54,Habilidades!$B$54), if(C31="Caça-tesouros 1", SUMIF(C31,Habilidades!$A$55,D31) * SUMIF(C31,Habilidades!$A$55,Habilidades!$B$55), if(C31="Caça-tesouros 2", SUMIF(C31,Habilidades!$A$56,D31) * SUMIF(C31,Habilidades!$A$56,Habilidades!$B$56), if(C31="Caça-tesouros 3", SUMIF(C31,Habilidades!$A$57,D31) * SUMIF(C31,Habilidades!$A$57,Habilidades!$B$57), if(C31="Velocista 1", SUMIF(C31,Habilidades!$A$77,D31) * SUMIF(C31,Habilidades!$A$77,Habilidades!$B$77), if(C31="Velocista 2", SUMIF(C31,Habilidades!$A$78,D31) * SUMIF(C31,Habilidades!$A$78,Habilidades!$B$78), if(C31="Velocista 3", SUMIF(C31,Habilidades!$A$79,D31) * SUMIF(C31,Habilidades!$A$79,Habilidades!$B$79), "-"))))))))))))))))))))))))))))))))))))))</f>
        <v>3</v>
      </c>
      <c r="F31" s="110"/>
      <c r="G31" s="145"/>
      <c r="H31" s="145"/>
      <c r="I31" s="145"/>
      <c r="J31" s="145"/>
      <c r="K31" s="148"/>
      <c r="L31" s="148"/>
      <c r="M31" s="47"/>
      <c r="N31" s="47"/>
    </row>
    <row r="32">
      <c r="C32" s="133" t="str">
        <f>IFERROR(__xludf.DUMMYFUNCTION("""COMPUTED_VALUE"""),"Gangster 3")</f>
        <v>Gangster 3</v>
      </c>
      <c r="D32" s="129">
        <f t="shared" si="2"/>
        <v>1</v>
      </c>
      <c r="E32" s="130" t="str">
        <f>if(C32="Detectar Segredo", SUMIF(C32,Habilidades!$A$11,D32) * SUMIF(C32,Habilidades!$A$11,Habilidades!$B$11), if(C32="Encontrar mágica", SUMIF(C32,Habilidades!$A$12,D32) * SUMIF(C32,Habilidades!$A$12,Habilidades!$B$12), if(C32="Cuidadoso 1", SUMIF(C32,Habilidades!$A$22,D32) * SUMIF(C32,Habilidades!$A$22,Habilidades!$B$22), if(C32="Cuidadoso 2", SUMIF(C32,Habilidades!$A$23,D46) * SUMIF(C32,Habilidades!$A$23,Habilidades!$B$23), if(C32="Cuidadoso 3", SUMIF(C32,Habilidades!$A$24,D32) * SUMIF(C32,Habilidades!$A$24,Habilidades!$B$24), if(C32="Ganancioso 1", SUMIF(C32,Habilidades!$A$25,D32) * SUMIF(C32,Habilidades!$A$25,Habilidades!$B$25), if(C32="Ganancioso 2", SUMIF(C32,Habilidades!$A$26,D32) * SUMIF(C32,Habilidades!$A$26,Habilidades!$B$26), if(C32="Ganancioso 3", SUMIF(C32,Habilidades!$A$27,D32) * SUMIF(C32,Habilidades!$A$27,Habilidades!$B$27), if(C32="Curandeiro 1", SUMIF(C32,Habilidades!$A$28,D32) * SUMIF(C32,Habilidades!$A$28,Habilidades!$B$28), if(C32="Curandeiro 2", SUMIF(C32,Habilidades!$A$29,D32) * SUMIF(C32,Habilidades!$A$29,Habilidades!$B$29), if(C32="Curandeiro 3", SUMIF(C32,Habilidades!$A$30,D32) * SUMIF(C32,Habilidades!$A$30,Habilidades!$B$30), if(C32="Sortudo 1", SUMIF(C32,Habilidades!$A$31,D32) * SUMIF(C32,Habilidades!$A$31,Habilidades!$B$31), if(C32="Sortudo 2", SUMIF(C32,Habilidades!$A$32,D32) * SUMIF(C32,Habilidades!$A$32,Habilidades!$B$32), if(C32="Sortudo 3", SUMIF(C32,Habilidades!$A$33,D32) * SUMIF(C32,Habilidades!$A$33,Habilidades!$B$33), if(C32="Protetor 1", SUMIF(C32,Habilidades!$A$34,D32) * SUMIF(C32,Habilidades!$A$34,Habilidades!$B$34), if(C32="Protetor 2", SUMIF(C32,Habilidades!$A$35,D32) * SUMIF(C32,Habilidades!$A$35,Habilidades!$B$35), if(C32="Protetor 3", SUMIF(C32,Habilidades!$A$36,D32) * SUMIF(C32,Habilidades!$A$36,Habilidades!$B$36), if(C32="Engenhoso 1", SUMIF(C32,Habilidades!$A$40,D32) * SUMIF(C32,Habilidades!$A$40,Habilidades!$B$40), if(C32="Engenhoso 2", SUMIF(C32,Habilidades!$A$41,D32) * SUMIF(C32,Habilidades!$A$41,Habilidades!$B$41), if(C32="Engenhoso 3", SUMIF(C32,Habilidades!$A$42,D32) * SUMIF(C32,Habilidades!$A$42,Habilidades!$B$42), if(C32="Reviver 1", SUMIF(C32,Habilidades!$A$43,D32) * SUMIF(C32,Habilidades!$A$43,Habilidades!$B$43), if(C32="Reviver 2", SUMIF(C32,Habilidades!$A$44,D32) * SUMIF(C32,Habilidades!$A$44,Habilidades!$B$44), if(C32="Reviver 3", SUMIF(C32,Habilidades!$A$45,D32) * SUMIF(C32,Habilidades!$A$45,Habilidades!$B$45), if(C32="Catador 1", SUMIF(C32,Habilidades!$A$46,D32) * SUMIF(C32,Habilidades!$A$46,Habilidades!$B$46), if(C32="Catador 2", SUMIF(C32,Habilidades!$A$47,D32) * SUMIF(C32,Habilidades!$A$47,Habilidades!$B$47), if(C32="Catador 3", SUMIF(C32,Habilidades!$A$48,D32) * SUMIF(C32,Habilidades!$A$48,Habilidades!$B$48), if(C32="Fornecedor 1", SUMIF(C32,Habilidades!$A$49,D32) * SUMIF(C32,Habilidades!$A$49,Habilidades!$B$49), if(C32="Fornecedor 2", SUMIF(C32,Habilidades!$A$50,D32) * SUMIF(C32,Habilidades!$A$50,Habilidades!$B$50), if(C32="Fornecedor 3", SUMIF(C32,Habilidades!$A$51,D32) * SUMIF(C32,Habilidades!$A$51,Habilidades!$B$51), if(C32="Suporte 1", SUMIF(C32,Habilidades!$A$52,D32) * SUMIF(C32,Habilidades!$A$52,Habilidades!$B$52), if(C32="Suporte 2", SUMIF(C32,Habilidades!$A$53,D32) * SUMIF(C32,Habilidades!$A$53,Habilidades!$B$53), if(C32="Suporte 3", SUMIF(C32,Habilidades!$A$54,D32) * SUMIF(C32,Habilidades!$A$54,Habilidades!$B$54), if(C32="Caça-tesouros 1", SUMIF(C32,Habilidades!$A$55,D32) * SUMIF(C32,Habilidades!$A$55,Habilidades!$B$55), if(C32="Caça-tesouros 2", SUMIF(C32,Habilidades!$A$56,D32) * SUMIF(C32,Habilidades!$A$56,Habilidades!$B$56), if(C32="Caça-tesouros 3", SUMIF(C32,Habilidades!$A$57,D32) * SUMIF(C32,Habilidades!$A$57,Habilidades!$B$57), if(C32="Velocista 1", SUMIF(C32,Habilidades!$A$77,D32) * SUMIF(C32,Habilidades!$A$77,Habilidades!$B$77), if(C32="Velocista 2", SUMIF(C32,Habilidades!$A$78,D32) * SUMIF(C32,Habilidades!$A$78,Habilidades!$B$78), if(C32="Velocista 3", SUMIF(C32,Habilidades!$A$79,D32) * SUMIF(C32,Habilidades!$A$79,Habilidades!$B$79), "-"))))))))))))))))))))))))))))))))))))))</f>
        <v>-</v>
      </c>
      <c r="F32" s="110"/>
      <c r="G32" s="145"/>
      <c r="H32" s="145"/>
      <c r="I32" s="145"/>
      <c r="J32" s="145"/>
      <c r="K32" s="148"/>
      <c r="L32" s="148"/>
      <c r="M32" s="47"/>
      <c r="N32" s="47"/>
    </row>
    <row r="33">
      <c r="C33" s="142" t="str">
        <f>IFERROR(__xludf.DUMMYFUNCTION("""COMPUTED_VALUE"""),"Líder 1")</f>
        <v>Líder 1</v>
      </c>
      <c r="D33" s="129">
        <f t="shared" si="2"/>
        <v>1</v>
      </c>
      <c r="E33" s="130" t="str">
        <f>if(C33="Detectar Segredo", SUMIF(C33,Habilidades!$A$11,D33) * SUMIF(C33,Habilidades!$A$11,Habilidades!$B$11), if(C33="Encontrar mágica", SUMIF(C33,Habilidades!$A$12,D33) * SUMIF(C33,Habilidades!$A$12,Habilidades!$B$12), if(C33="Cuidadoso 1", SUMIF(C33,Habilidades!$A$22,D33) * SUMIF(C33,Habilidades!$A$22,Habilidades!$B$22), if(C33="Cuidadoso 2", SUMIF(C33,Habilidades!$A$23,D47) * SUMIF(C33,Habilidades!$A$23,Habilidades!$B$23), if(C33="Cuidadoso 3", SUMIF(C33,Habilidades!$A$24,D33) * SUMIF(C33,Habilidades!$A$24,Habilidades!$B$24), if(C33="Ganancioso 1", SUMIF(C33,Habilidades!$A$25,D33) * SUMIF(C33,Habilidades!$A$25,Habilidades!$B$25), if(C33="Ganancioso 2", SUMIF(C33,Habilidades!$A$26,D33) * SUMIF(C33,Habilidades!$A$26,Habilidades!$B$26), if(C33="Ganancioso 3", SUMIF(C33,Habilidades!$A$27,D33) * SUMIF(C33,Habilidades!$A$27,Habilidades!$B$27), if(C33="Curandeiro 1", SUMIF(C33,Habilidades!$A$28,D33) * SUMIF(C33,Habilidades!$A$28,Habilidades!$B$28), if(C33="Curandeiro 2", SUMIF(C33,Habilidades!$A$29,D33) * SUMIF(C33,Habilidades!$A$29,Habilidades!$B$29), if(C33="Curandeiro 3", SUMIF(C33,Habilidades!$A$30,D33) * SUMIF(C33,Habilidades!$A$30,Habilidades!$B$30), if(C33="Sortudo 1", SUMIF(C33,Habilidades!$A$31,D33) * SUMIF(C33,Habilidades!$A$31,Habilidades!$B$31), if(C33="Sortudo 2", SUMIF(C33,Habilidades!$A$32,D33) * SUMIF(C33,Habilidades!$A$32,Habilidades!$B$32), if(C33="Sortudo 3", SUMIF(C33,Habilidades!$A$33,D33) * SUMIF(C33,Habilidades!$A$33,Habilidades!$B$33), if(C33="Protetor 1", SUMIF(C33,Habilidades!$A$34,D33) * SUMIF(C33,Habilidades!$A$34,Habilidades!$B$34), if(C33="Protetor 2", SUMIF(C33,Habilidades!$A$35,D33) * SUMIF(C33,Habilidades!$A$35,Habilidades!$B$35), if(C33="Protetor 3", SUMIF(C33,Habilidades!$A$36,D33) * SUMIF(C33,Habilidades!$A$36,Habilidades!$B$36), if(C33="Engenhoso 1", SUMIF(C33,Habilidades!$A$40,D33) * SUMIF(C33,Habilidades!$A$40,Habilidades!$B$40), if(C33="Engenhoso 2", SUMIF(C33,Habilidades!$A$41,D33) * SUMIF(C33,Habilidades!$A$41,Habilidades!$B$41), if(C33="Engenhoso 3", SUMIF(C33,Habilidades!$A$42,D33) * SUMIF(C33,Habilidades!$A$42,Habilidades!$B$42), if(C33="Reviver 1", SUMIF(C33,Habilidades!$A$43,D33) * SUMIF(C33,Habilidades!$A$43,Habilidades!$B$43), if(C33="Reviver 2", SUMIF(C33,Habilidades!$A$44,D33) * SUMIF(C33,Habilidades!$A$44,Habilidades!$B$44), if(C33="Reviver 3", SUMIF(C33,Habilidades!$A$45,D33) * SUMIF(C33,Habilidades!$A$45,Habilidades!$B$45), if(C33="Catador 1", SUMIF(C33,Habilidades!$A$46,D33) * SUMIF(C33,Habilidades!$A$46,Habilidades!$B$46), if(C33="Catador 2", SUMIF(C33,Habilidades!$A$47,D33) * SUMIF(C33,Habilidades!$A$47,Habilidades!$B$47), if(C33="Catador 3", SUMIF(C33,Habilidades!$A$48,D33) * SUMIF(C33,Habilidades!$A$48,Habilidades!$B$48), if(C33="Fornecedor 1", SUMIF(C33,Habilidades!$A$49,D33) * SUMIF(C33,Habilidades!$A$49,Habilidades!$B$49), if(C33="Fornecedor 2", SUMIF(C33,Habilidades!$A$50,D33) * SUMIF(C33,Habilidades!$A$50,Habilidades!$B$50), if(C33="Fornecedor 3", SUMIF(C33,Habilidades!$A$51,D33) * SUMIF(C33,Habilidades!$A$51,Habilidades!$B$51), if(C33="Suporte 1", SUMIF(C33,Habilidades!$A$52,D33) * SUMIF(C33,Habilidades!$A$52,Habilidades!$B$52), if(C33="Suporte 2", SUMIF(C33,Habilidades!$A$53,D33) * SUMIF(C33,Habilidades!$A$53,Habilidades!$B$53), if(C33="Suporte 3", SUMIF(C33,Habilidades!$A$54,D33) * SUMIF(C33,Habilidades!$A$54,Habilidades!$B$54), if(C33="Caça-tesouros 1", SUMIF(C33,Habilidades!$A$55,D33) * SUMIF(C33,Habilidades!$A$55,Habilidades!$B$55), if(C33="Caça-tesouros 2", SUMIF(C33,Habilidades!$A$56,D33) * SUMIF(C33,Habilidades!$A$56,Habilidades!$B$56), if(C33="Caça-tesouros 3", SUMIF(C33,Habilidades!$A$57,D33) * SUMIF(C33,Habilidades!$A$57,Habilidades!$B$57), if(C33="Velocista 1", SUMIF(C33,Habilidades!$A$77,D33) * SUMIF(C33,Habilidades!$A$77,Habilidades!$B$77), if(C33="Velocista 2", SUMIF(C33,Habilidades!$A$78,D33) * SUMIF(C33,Habilidades!$A$78,Habilidades!$B$78), if(C33="Velocista 3", SUMIF(C33,Habilidades!$A$79,D33) * SUMIF(C33,Habilidades!$A$79,Habilidades!$B$79), "-"))))))))))))))))))))))))))))))))))))))</f>
        <v>-</v>
      </c>
      <c r="F33" s="110"/>
      <c r="G33" s="145"/>
      <c r="H33" s="145"/>
      <c r="I33" s="145"/>
      <c r="J33" s="145"/>
      <c r="K33" s="148"/>
      <c r="L33" s="148"/>
      <c r="M33" s="47"/>
      <c r="N33" s="47"/>
    </row>
    <row r="34">
      <c r="C34" s="142" t="str">
        <f>IFERROR(__xludf.DUMMYFUNCTION("""COMPUTED_VALUE"""),"Mestre das armas")</f>
        <v>Mestre das armas</v>
      </c>
      <c r="D34" s="129">
        <f t="shared" si="2"/>
        <v>1</v>
      </c>
      <c r="E34" s="130" t="str">
        <f>if(C34="Detectar Segredo", SUMIF(C34,Habilidades!$A$11,D34) * SUMIF(C34,Habilidades!$A$11,Habilidades!$B$11), if(C34="Encontrar mágica", SUMIF(C34,Habilidades!$A$12,D34) * SUMIF(C34,Habilidades!$A$12,Habilidades!$B$12), if(C34="Cuidadoso 1", SUMIF(C34,Habilidades!$A$22,D34) * SUMIF(C34,Habilidades!$A$22,Habilidades!$B$22), if(C34="Cuidadoso 2", SUMIF(C34,Habilidades!$A$23,D48) * SUMIF(C34,Habilidades!$A$23,Habilidades!$B$23), if(C34="Cuidadoso 3", SUMIF(C34,Habilidades!$A$24,D34) * SUMIF(C34,Habilidades!$A$24,Habilidades!$B$24), if(C34="Ganancioso 1", SUMIF(C34,Habilidades!$A$25,D34) * SUMIF(C34,Habilidades!$A$25,Habilidades!$B$25), if(C34="Ganancioso 2", SUMIF(C34,Habilidades!$A$26,D34) * SUMIF(C34,Habilidades!$A$26,Habilidades!$B$26), if(C34="Ganancioso 3", SUMIF(C34,Habilidades!$A$27,D34) * SUMIF(C34,Habilidades!$A$27,Habilidades!$B$27), if(C34="Curandeiro 1", SUMIF(C34,Habilidades!$A$28,D34) * SUMIF(C34,Habilidades!$A$28,Habilidades!$B$28), if(C34="Curandeiro 2", SUMIF(C34,Habilidades!$A$29,D34) * SUMIF(C34,Habilidades!$A$29,Habilidades!$B$29), if(C34="Curandeiro 3", SUMIF(C34,Habilidades!$A$30,D34) * SUMIF(C34,Habilidades!$A$30,Habilidades!$B$30), if(C34="Sortudo 1", SUMIF(C34,Habilidades!$A$31,D34) * SUMIF(C34,Habilidades!$A$31,Habilidades!$B$31), if(C34="Sortudo 2", SUMIF(C34,Habilidades!$A$32,D34) * SUMIF(C34,Habilidades!$A$32,Habilidades!$B$32), if(C34="Sortudo 3", SUMIF(C34,Habilidades!$A$33,D34) * SUMIF(C34,Habilidades!$A$33,Habilidades!$B$33), if(C34="Protetor 1", SUMIF(C34,Habilidades!$A$34,D34) * SUMIF(C34,Habilidades!$A$34,Habilidades!$B$34), if(C34="Protetor 2", SUMIF(C34,Habilidades!$A$35,D34) * SUMIF(C34,Habilidades!$A$35,Habilidades!$B$35), if(C34="Protetor 3", SUMIF(C34,Habilidades!$A$36,D34) * SUMIF(C34,Habilidades!$A$36,Habilidades!$B$36), if(C34="Engenhoso 1", SUMIF(C34,Habilidades!$A$40,D34) * SUMIF(C34,Habilidades!$A$40,Habilidades!$B$40), if(C34="Engenhoso 2", SUMIF(C34,Habilidades!$A$41,D34) * SUMIF(C34,Habilidades!$A$41,Habilidades!$B$41), if(C34="Engenhoso 3", SUMIF(C34,Habilidades!$A$42,D34) * SUMIF(C34,Habilidades!$A$42,Habilidades!$B$42), if(C34="Reviver 1", SUMIF(C34,Habilidades!$A$43,D34) * SUMIF(C34,Habilidades!$A$43,Habilidades!$B$43), if(C34="Reviver 2", SUMIF(C34,Habilidades!$A$44,D34) * SUMIF(C34,Habilidades!$A$44,Habilidades!$B$44), if(C34="Reviver 3", SUMIF(C34,Habilidades!$A$45,D34) * SUMIF(C34,Habilidades!$A$45,Habilidades!$B$45), if(C34="Catador 1", SUMIF(C34,Habilidades!$A$46,D34) * SUMIF(C34,Habilidades!$A$46,Habilidades!$B$46), if(C34="Catador 2", SUMIF(C34,Habilidades!$A$47,D34) * SUMIF(C34,Habilidades!$A$47,Habilidades!$B$47), if(C34="Catador 3", SUMIF(C34,Habilidades!$A$48,D34) * SUMIF(C34,Habilidades!$A$48,Habilidades!$B$48), if(C34="Fornecedor 1", SUMIF(C34,Habilidades!$A$49,D34) * SUMIF(C34,Habilidades!$A$49,Habilidades!$B$49), if(C34="Fornecedor 2", SUMIF(C34,Habilidades!$A$50,D34) * SUMIF(C34,Habilidades!$A$50,Habilidades!$B$50), if(C34="Fornecedor 3", SUMIF(C34,Habilidades!$A$51,D34) * SUMIF(C34,Habilidades!$A$51,Habilidades!$B$51), if(C34="Suporte 1", SUMIF(C34,Habilidades!$A$52,D34) * SUMIF(C34,Habilidades!$A$52,Habilidades!$B$52), if(C34="Suporte 2", SUMIF(C34,Habilidades!$A$53,D34) * SUMIF(C34,Habilidades!$A$53,Habilidades!$B$53), if(C34="Suporte 3", SUMIF(C34,Habilidades!$A$54,D34) * SUMIF(C34,Habilidades!$A$54,Habilidades!$B$54), if(C34="Caça-tesouros 1", SUMIF(C34,Habilidades!$A$55,D34) * SUMIF(C34,Habilidades!$A$55,Habilidades!$B$55), if(C34="Caça-tesouros 2", SUMIF(C34,Habilidades!$A$56,D34) * SUMIF(C34,Habilidades!$A$56,Habilidades!$B$56), if(C34="Caça-tesouros 3", SUMIF(C34,Habilidades!$A$57,D34) * SUMIF(C34,Habilidades!$A$57,Habilidades!$B$57), if(C34="Velocista 1", SUMIF(C34,Habilidades!$A$77,D34) * SUMIF(C34,Habilidades!$A$77,Habilidades!$B$77), if(C34="Velocista 2", SUMIF(C34,Habilidades!$A$78,D34) * SUMIF(C34,Habilidades!$A$78,Habilidades!$B$78), if(C34="Velocista 3", SUMIF(C34,Habilidades!$A$79,D34) * SUMIF(C34,Habilidades!$A$79,Habilidades!$B$79), "-"))))))))))))))))))))))))))))))))))))))</f>
        <v>-</v>
      </c>
      <c r="F34" s="110"/>
      <c r="G34" s="145"/>
      <c r="H34" s="145"/>
      <c r="I34" s="145"/>
      <c r="J34" s="145"/>
      <c r="K34" s="145"/>
      <c r="L34" s="145"/>
      <c r="M34" s="110"/>
      <c r="N34" s="110"/>
    </row>
    <row r="35">
      <c r="C35" s="142" t="str">
        <f>IFERROR(__xludf.DUMMYFUNCTION("""COMPUTED_VALUE"""),"Protetor 1")</f>
        <v>Protetor 1</v>
      </c>
      <c r="D35" s="129">
        <f t="shared" si="2"/>
        <v>1</v>
      </c>
      <c r="E35" s="130">
        <f>if(C35="Detectar Segredo", SUMIF(C35,Habilidades!$A$11,D35) * SUMIF(C35,Habilidades!$A$11,Habilidades!$B$11), if(C35="Encontrar mágica", SUMIF(C35,Habilidades!$A$12,D35) * SUMIF(C35,Habilidades!$A$12,Habilidades!$B$12), if(C35="Cuidadoso 1", SUMIF(C35,Habilidades!$A$22,D35) * SUMIF(C35,Habilidades!$A$22,Habilidades!$B$22), if(C35="Cuidadoso 2", SUMIF(C35,Habilidades!$A$23,D49) * SUMIF(C35,Habilidades!$A$23,Habilidades!$B$23), if(C35="Cuidadoso 3", SUMIF(C35,Habilidades!$A$24,D35) * SUMIF(C35,Habilidades!$A$24,Habilidades!$B$24), if(C35="Ganancioso 1", SUMIF(C35,Habilidades!$A$25,D35) * SUMIF(C35,Habilidades!$A$25,Habilidades!$B$25), if(C35="Ganancioso 2", SUMIF(C35,Habilidades!$A$26,D35) * SUMIF(C35,Habilidades!$A$26,Habilidades!$B$26), if(C35="Ganancioso 3", SUMIF(C35,Habilidades!$A$27,D35) * SUMIF(C35,Habilidades!$A$27,Habilidades!$B$27), if(C35="Curandeiro 1", SUMIF(C35,Habilidades!$A$28,D35) * SUMIF(C35,Habilidades!$A$28,Habilidades!$B$28), if(C35="Curandeiro 2", SUMIF(C35,Habilidades!$A$29,D35) * SUMIF(C35,Habilidades!$A$29,Habilidades!$B$29), if(C35="Curandeiro 3", SUMIF(C35,Habilidades!$A$30,D35) * SUMIF(C35,Habilidades!$A$30,Habilidades!$B$30), if(C35="Sortudo 1", SUMIF(C35,Habilidades!$A$31,D35) * SUMIF(C35,Habilidades!$A$31,Habilidades!$B$31), if(C35="Sortudo 2", SUMIF(C35,Habilidades!$A$32,D35) * SUMIF(C35,Habilidades!$A$32,Habilidades!$B$32), if(C35="Sortudo 3", SUMIF(C35,Habilidades!$A$33,D35) * SUMIF(C35,Habilidades!$A$33,Habilidades!$B$33), if(C35="Protetor 1", SUMIF(C35,Habilidades!$A$34,D35) * SUMIF(C35,Habilidades!$A$34,Habilidades!$B$34), if(C35="Protetor 2", SUMIF(C35,Habilidades!$A$35,D35) * SUMIF(C35,Habilidades!$A$35,Habilidades!$B$35), if(C35="Protetor 3", SUMIF(C35,Habilidades!$A$36,D35) * SUMIF(C35,Habilidades!$A$36,Habilidades!$B$36), if(C35="Engenhoso 1", SUMIF(C35,Habilidades!$A$40,D35) * SUMIF(C35,Habilidades!$A$40,Habilidades!$B$40), if(C35="Engenhoso 2", SUMIF(C35,Habilidades!$A$41,D35) * SUMIF(C35,Habilidades!$A$41,Habilidades!$B$41), if(C35="Engenhoso 3", SUMIF(C35,Habilidades!$A$42,D35) * SUMIF(C35,Habilidades!$A$42,Habilidades!$B$42), if(C35="Reviver 1", SUMIF(C35,Habilidades!$A$43,D35) * SUMIF(C35,Habilidades!$A$43,Habilidades!$B$43), if(C35="Reviver 2", SUMIF(C35,Habilidades!$A$44,D35) * SUMIF(C35,Habilidades!$A$44,Habilidades!$B$44), if(C35="Reviver 3", SUMIF(C35,Habilidades!$A$45,D35) * SUMIF(C35,Habilidades!$A$45,Habilidades!$B$45), if(C35="Catador 1", SUMIF(C35,Habilidades!$A$46,D35) * SUMIF(C35,Habilidades!$A$46,Habilidades!$B$46), if(C35="Catador 2", SUMIF(C35,Habilidades!$A$47,D35) * SUMIF(C35,Habilidades!$A$47,Habilidades!$B$47), if(C35="Catador 3", SUMIF(C35,Habilidades!$A$48,D35) * SUMIF(C35,Habilidades!$A$48,Habilidades!$B$48), if(C35="Fornecedor 1", SUMIF(C35,Habilidades!$A$49,D35) * SUMIF(C35,Habilidades!$A$49,Habilidades!$B$49), if(C35="Fornecedor 2", SUMIF(C35,Habilidades!$A$50,D35) * SUMIF(C35,Habilidades!$A$50,Habilidades!$B$50), if(C35="Fornecedor 3", SUMIF(C35,Habilidades!$A$51,D35) * SUMIF(C35,Habilidades!$A$51,Habilidades!$B$51), if(C35="Suporte 1", SUMIF(C35,Habilidades!$A$52,D35) * SUMIF(C35,Habilidades!$A$52,Habilidades!$B$52), if(C35="Suporte 2", SUMIF(C35,Habilidades!$A$53,D35) * SUMIF(C35,Habilidades!$A$53,Habilidades!$B$53), if(C35="Suporte 3", SUMIF(C35,Habilidades!$A$54,D35) * SUMIF(C35,Habilidades!$A$54,Habilidades!$B$54), if(C35="Caça-tesouros 1", SUMIF(C35,Habilidades!$A$55,D35) * SUMIF(C35,Habilidades!$A$55,Habilidades!$B$55), if(C35="Caça-tesouros 2", SUMIF(C35,Habilidades!$A$56,D35) * SUMIF(C35,Habilidades!$A$56,Habilidades!$B$56), if(C35="Caça-tesouros 3", SUMIF(C35,Habilidades!$A$57,D35) * SUMIF(C35,Habilidades!$A$57,Habilidades!$B$57), if(C35="Velocista 1", SUMIF(C35,Habilidades!$A$77,D35) * SUMIF(C35,Habilidades!$A$77,Habilidades!$B$77), if(C35="Velocista 2", SUMIF(C35,Habilidades!$A$78,D35) * SUMIF(C35,Habilidades!$A$78,Habilidades!$B$78), if(C35="Velocista 3", SUMIF(C35,Habilidades!$A$79,D35) * SUMIF(C35,Habilidades!$A$79,Habilidades!$B$79), "-"))))))))))))))))))))))))))))))))))))))</f>
        <v>2</v>
      </c>
      <c r="F35" s="110"/>
      <c r="G35" s="145"/>
      <c r="H35" s="145"/>
      <c r="I35" s="145"/>
      <c r="J35" s="145"/>
      <c r="K35" s="145"/>
      <c r="L35" s="145"/>
      <c r="M35" s="110"/>
      <c r="N35" s="110"/>
    </row>
    <row r="36">
      <c r="C36" s="142" t="str">
        <f>IFERROR(__xludf.DUMMYFUNCTION("""COMPUTED_VALUE"""),"Protetor 2")</f>
        <v>Protetor 2</v>
      </c>
      <c r="D36" s="129">
        <f t="shared" si="2"/>
        <v>1</v>
      </c>
      <c r="E36" s="130">
        <f>if(C36="Detectar Segredo", SUMIF(C36,Habilidades!$A$11,D36) * SUMIF(C36,Habilidades!$A$11,Habilidades!$B$11), if(C36="Encontrar mágica", SUMIF(C36,Habilidades!$A$12,D36) * SUMIF(C36,Habilidades!$A$12,Habilidades!$B$12), if(C36="Cuidadoso 1", SUMIF(C36,Habilidades!$A$22,D36) * SUMIF(C36,Habilidades!$A$22,Habilidades!$B$22), if(C36="Cuidadoso 2", SUMIF(C36,Habilidades!$A$23,D50) * SUMIF(C36,Habilidades!$A$23,Habilidades!$B$23), if(C36="Cuidadoso 3", SUMIF(C36,Habilidades!$A$24,D36) * SUMIF(C36,Habilidades!$A$24,Habilidades!$B$24), if(C36="Ganancioso 1", SUMIF(C36,Habilidades!$A$25,D36) * SUMIF(C36,Habilidades!$A$25,Habilidades!$B$25), if(C36="Ganancioso 2", SUMIF(C36,Habilidades!$A$26,D36) * SUMIF(C36,Habilidades!$A$26,Habilidades!$B$26), if(C36="Ganancioso 3", SUMIF(C36,Habilidades!$A$27,D36) * SUMIF(C36,Habilidades!$A$27,Habilidades!$B$27), if(C36="Curandeiro 1", SUMIF(C36,Habilidades!$A$28,D36) * SUMIF(C36,Habilidades!$A$28,Habilidades!$B$28), if(C36="Curandeiro 2", SUMIF(C36,Habilidades!$A$29,D36) * SUMIF(C36,Habilidades!$A$29,Habilidades!$B$29), if(C36="Curandeiro 3", SUMIF(C36,Habilidades!$A$30,D36) * SUMIF(C36,Habilidades!$A$30,Habilidades!$B$30), if(C36="Sortudo 1", SUMIF(C36,Habilidades!$A$31,D36) * SUMIF(C36,Habilidades!$A$31,Habilidades!$B$31), if(C36="Sortudo 2", SUMIF(C36,Habilidades!$A$32,D36) * SUMIF(C36,Habilidades!$A$32,Habilidades!$B$32), if(C36="Sortudo 3", SUMIF(C36,Habilidades!$A$33,D36) * SUMIF(C36,Habilidades!$A$33,Habilidades!$B$33), if(C36="Protetor 1", SUMIF(C36,Habilidades!$A$34,D36) * SUMIF(C36,Habilidades!$A$34,Habilidades!$B$34), if(C36="Protetor 2", SUMIF(C36,Habilidades!$A$35,D36) * SUMIF(C36,Habilidades!$A$35,Habilidades!$B$35), if(C36="Protetor 3", SUMIF(C36,Habilidades!$A$36,D36) * SUMIF(C36,Habilidades!$A$36,Habilidades!$B$36), if(C36="Engenhoso 1", SUMIF(C36,Habilidades!$A$40,D36) * SUMIF(C36,Habilidades!$A$40,Habilidades!$B$40), if(C36="Engenhoso 2", SUMIF(C36,Habilidades!$A$41,D36) * SUMIF(C36,Habilidades!$A$41,Habilidades!$B$41), if(C36="Engenhoso 3", SUMIF(C36,Habilidades!$A$42,D36) * SUMIF(C36,Habilidades!$A$42,Habilidades!$B$42), if(C36="Reviver 1", SUMIF(C36,Habilidades!$A$43,D36) * SUMIF(C36,Habilidades!$A$43,Habilidades!$B$43), if(C36="Reviver 2", SUMIF(C36,Habilidades!$A$44,D36) * SUMIF(C36,Habilidades!$A$44,Habilidades!$B$44), if(C36="Reviver 3", SUMIF(C36,Habilidades!$A$45,D36) * SUMIF(C36,Habilidades!$A$45,Habilidades!$B$45), if(C36="Catador 1", SUMIF(C36,Habilidades!$A$46,D36) * SUMIF(C36,Habilidades!$A$46,Habilidades!$B$46), if(C36="Catador 2", SUMIF(C36,Habilidades!$A$47,D36) * SUMIF(C36,Habilidades!$A$47,Habilidades!$B$47), if(C36="Catador 3", SUMIF(C36,Habilidades!$A$48,D36) * SUMIF(C36,Habilidades!$A$48,Habilidades!$B$48), if(C36="Fornecedor 1", SUMIF(C36,Habilidades!$A$49,D36) * SUMIF(C36,Habilidades!$A$49,Habilidades!$B$49), if(C36="Fornecedor 2", SUMIF(C36,Habilidades!$A$50,D36) * SUMIF(C36,Habilidades!$A$50,Habilidades!$B$50), if(C36="Fornecedor 3", SUMIF(C36,Habilidades!$A$51,D36) * SUMIF(C36,Habilidades!$A$51,Habilidades!$B$51), if(C36="Suporte 1", SUMIF(C36,Habilidades!$A$52,D36) * SUMIF(C36,Habilidades!$A$52,Habilidades!$B$52), if(C36="Suporte 2", SUMIF(C36,Habilidades!$A$53,D36) * SUMIF(C36,Habilidades!$A$53,Habilidades!$B$53), if(C36="Suporte 3", SUMIF(C36,Habilidades!$A$54,D36) * SUMIF(C36,Habilidades!$A$54,Habilidades!$B$54), if(C36="Caça-tesouros 1", SUMIF(C36,Habilidades!$A$55,D36) * SUMIF(C36,Habilidades!$A$55,Habilidades!$B$55), if(C36="Caça-tesouros 2", SUMIF(C36,Habilidades!$A$56,D36) * SUMIF(C36,Habilidades!$A$56,Habilidades!$B$56), if(C36="Caça-tesouros 3", SUMIF(C36,Habilidades!$A$57,D36) * SUMIF(C36,Habilidades!$A$57,Habilidades!$B$57), if(C36="Velocista 1", SUMIF(C36,Habilidades!$A$77,D36) * SUMIF(C36,Habilidades!$A$77,Habilidades!$B$77), if(C36="Velocista 2", SUMIF(C36,Habilidades!$A$78,D36) * SUMIF(C36,Habilidades!$A$78,Habilidades!$B$78), if(C36="Velocista 3", SUMIF(C36,Habilidades!$A$79,D36) * SUMIF(C36,Habilidades!$A$79,Habilidades!$B$79), "-"))))))))))))))))))))))))))))))))))))))</f>
        <v>5</v>
      </c>
      <c r="F36" s="110"/>
      <c r="G36" s="145"/>
      <c r="H36" s="145"/>
      <c r="I36" s="145"/>
      <c r="J36" s="145"/>
      <c r="K36" s="145"/>
      <c r="L36" s="145"/>
      <c r="M36" s="110"/>
      <c r="N36" s="110"/>
    </row>
    <row r="37">
      <c r="C37" s="142" t="str">
        <f>IFERROR(__xludf.DUMMYFUNCTION("""COMPUTED_VALUE"""),"Resistente 3")</f>
        <v>Resistente 3</v>
      </c>
      <c r="D37" s="129">
        <f t="shared" si="2"/>
        <v>1</v>
      </c>
      <c r="E37" s="130" t="str">
        <f>if(C37="Detectar Segredo", SUMIF(C37,Habilidades!$A$11,D37) * SUMIF(C37,Habilidades!$A$11,Habilidades!$B$11), if(C37="Encontrar mágica", SUMIF(C37,Habilidades!$A$12,D37) * SUMIF(C37,Habilidades!$A$12,Habilidades!$B$12), if(C37="Cuidadoso 1", SUMIF(C37,Habilidades!$A$22,D37) * SUMIF(C37,Habilidades!$A$22,Habilidades!$B$22), if(C37="Cuidadoso 2", SUMIF(C37,Habilidades!$A$23,D51) * SUMIF(C37,Habilidades!$A$23,Habilidades!$B$23), if(C37="Cuidadoso 3", SUMIF(C37,Habilidades!$A$24,D37) * SUMIF(C37,Habilidades!$A$24,Habilidades!$B$24), if(C37="Ganancioso 1", SUMIF(C37,Habilidades!$A$25,D37) * SUMIF(C37,Habilidades!$A$25,Habilidades!$B$25), if(C37="Ganancioso 2", SUMIF(C37,Habilidades!$A$26,D37) * SUMIF(C37,Habilidades!$A$26,Habilidades!$B$26), if(C37="Ganancioso 3", SUMIF(C37,Habilidades!$A$27,D37) * SUMIF(C37,Habilidades!$A$27,Habilidades!$B$27), if(C37="Curandeiro 1", SUMIF(C37,Habilidades!$A$28,D37) * SUMIF(C37,Habilidades!$A$28,Habilidades!$B$28), if(C37="Curandeiro 2", SUMIF(C37,Habilidades!$A$29,D37) * SUMIF(C37,Habilidades!$A$29,Habilidades!$B$29), if(C37="Curandeiro 3", SUMIF(C37,Habilidades!$A$30,D37) * SUMIF(C37,Habilidades!$A$30,Habilidades!$B$30), if(C37="Sortudo 1", SUMIF(C37,Habilidades!$A$31,D37) * SUMIF(C37,Habilidades!$A$31,Habilidades!$B$31), if(C37="Sortudo 2", SUMIF(C37,Habilidades!$A$32,D37) * SUMIF(C37,Habilidades!$A$32,Habilidades!$B$32), if(C37="Sortudo 3", SUMIF(C37,Habilidades!$A$33,D37) * SUMIF(C37,Habilidades!$A$33,Habilidades!$B$33), if(C37="Protetor 1", SUMIF(C37,Habilidades!$A$34,D37) * SUMIF(C37,Habilidades!$A$34,Habilidades!$B$34), if(C37="Protetor 2", SUMIF(C37,Habilidades!$A$35,D37) * SUMIF(C37,Habilidades!$A$35,Habilidades!$B$35), if(C37="Protetor 3", SUMIF(C37,Habilidades!$A$36,D37) * SUMIF(C37,Habilidades!$A$36,Habilidades!$B$36), if(C37="Engenhoso 1", SUMIF(C37,Habilidades!$A$40,D37) * SUMIF(C37,Habilidades!$A$40,Habilidades!$B$40), if(C37="Engenhoso 2", SUMIF(C37,Habilidades!$A$41,D37) * SUMIF(C37,Habilidades!$A$41,Habilidades!$B$41), if(C37="Engenhoso 3", SUMIF(C37,Habilidades!$A$42,D37) * SUMIF(C37,Habilidades!$A$42,Habilidades!$B$42), if(C37="Reviver 1", SUMIF(C37,Habilidades!$A$43,D37) * SUMIF(C37,Habilidades!$A$43,Habilidades!$B$43), if(C37="Reviver 2", SUMIF(C37,Habilidades!$A$44,D37) * SUMIF(C37,Habilidades!$A$44,Habilidades!$B$44), if(C37="Reviver 3", SUMIF(C37,Habilidades!$A$45,D37) * SUMIF(C37,Habilidades!$A$45,Habilidades!$B$45), if(C37="Catador 1", SUMIF(C37,Habilidades!$A$46,D37) * SUMIF(C37,Habilidades!$A$46,Habilidades!$B$46), if(C37="Catador 2", SUMIF(C37,Habilidades!$A$47,D37) * SUMIF(C37,Habilidades!$A$47,Habilidades!$B$47), if(C37="Catador 3", SUMIF(C37,Habilidades!$A$48,D37) * SUMIF(C37,Habilidades!$A$48,Habilidades!$B$48), if(C37="Fornecedor 1", SUMIF(C37,Habilidades!$A$49,D37) * SUMIF(C37,Habilidades!$A$49,Habilidades!$B$49), if(C37="Fornecedor 2", SUMIF(C37,Habilidades!$A$50,D37) * SUMIF(C37,Habilidades!$A$50,Habilidades!$B$50), if(C37="Fornecedor 3", SUMIF(C37,Habilidades!$A$51,D37) * SUMIF(C37,Habilidades!$A$51,Habilidades!$B$51), if(C37="Suporte 1", SUMIF(C37,Habilidades!$A$52,D37) * SUMIF(C37,Habilidades!$A$52,Habilidades!$B$52), if(C37="Suporte 2", SUMIF(C37,Habilidades!$A$53,D37) * SUMIF(C37,Habilidades!$A$53,Habilidades!$B$53), if(C37="Suporte 3", SUMIF(C37,Habilidades!$A$54,D37) * SUMIF(C37,Habilidades!$A$54,Habilidades!$B$54), if(C37="Caça-tesouros 1", SUMIF(C37,Habilidades!$A$55,D37) * SUMIF(C37,Habilidades!$A$55,Habilidades!$B$55), if(C37="Caça-tesouros 2", SUMIF(C37,Habilidades!$A$56,D37) * SUMIF(C37,Habilidades!$A$56,Habilidades!$B$56), if(C37="Caça-tesouros 3", SUMIF(C37,Habilidades!$A$57,D37) * SUMIF(C37,Habilidades!$A$57,Habilidades!$B$57), if(C37="Velocista 1", SUMIF(C37,Habilidades!$A$77,D37) * SUMIF(C37,Habilidades!$A$77,Habilidades!$B$77), if(C37="Velocista 2", SUMIF(C37,Habilidades!$A$78,D37) * SUMIF(C37,Habilidades!$A$78,Habilidades!$B$78), if(C37="Velocista 3", SUMIF(C37,Habilidades!$A$79,D37) * SUMIF(C37,Habilidades!$A$79,Habilidades!$B$79), "-"))))))))))))))))))))))))))))))))))))))</f>
        <v>-</v>
      </c>
      <c r="F37" s="110"/>
      <c r="G37" s="145"/>
      <c r="H37" s="145"/>
      <c r="I37" s="145"/>
      <c r="J37" s="145"/>
      <c r="K37" s="145"/>
      <c r="L37" s="145"/>
      <c r="M37" s="110"/>
      <c r="N37" s="110"/>
    </row>
    <row r="38">
      <c r="C38" s="142" t="str">
        <f>IFERROR(__xludf.DUMMYFUNCTION("""COMPUTED_VALUE"""),"Reviver 2")</f>
        <v>Reviver 2</v>
      </c>
      <c r="D38" s="129">
        <f t="shared" si="2"/>
        <v>7</v>
      </c>
      <c r="E38" s="130">
        <f>if(C38="Detectar Segredo", SUMIF(C38,Habilidades!$A$11,D38) * SUMIF(C38,Habilidades!$A$11,Habilidades!$B$11), if(C38="Encontrar mágica", SUMIF(C38,Habilidades!$A$12,D38) * SUMIF(C38,Habilidades!$A$12,Habilidades!$B$12), if(C38="Cuidadoso 1", SUMIF(C38,Habilidades!$A$22,D38) * SUMIF(C38,Habilidades!$A$22,Habilidades!$B$22), if(C38="Cuidadoso 2", SUMIF(C38,Habilidades!$A$23,D52) * SUMIF(C38,Habilidades!$A$23,Habilidades!$B$23), if(C38="Cuidadoso 3", SUMIF(C38,Habilidades!$A$24,D38) * SUMIF(C38,Habilidades!$A$24,Habilidades!$B$24), if(C38="Ganancioso 1", SUMIF(C38,Habilidades!$A$25,D38) * SUMIF(C38,Habilidades!$A$25,Habilidades!$B$25), if(C38="Ganancioso 2", SUMIF(C38,Habilidades!$A$26,D38) * SUMIF(C38,Habilidades!$A$26,Habilidades!$B$26), if(C38="Ganancioso 3", SUMIF(C38,Habilidades!$A$27,D38) * SUMIF(C38,Habilidades!$A$27,Habilidades!$B$27), if(C38="Curandeiro 1", SUMIF(C38,Habilidades!$A$28,D38) * SUMIF(C38,Habilidades!$A$28,Habilidades!$B$28), if(C38="Curandeiro 2", SUMIF(C38,Habilidades!$A$29,D38) * SUMIF(C38,Habilidades!$A$29,Habilidades!$B$29), if(C38="Curandeiro 3", SUMIF(C38,Habilidades!$A$30,D38) * SUMIF(C38,Habilidades!$A$30,Habilidades!$B$30), if(C38="Sortudo 1", SUMIF(C38,Habilidades!$A$31,D38) * SUMIF(C38,Habilidades!$A$31,Habilidades!$B$31), if(C38="Sortudo 2", SUMIF(C38,Habilidades!$A$32,D38) * SUMIF(C38,Habilidades!$A$32,Habilidades!$B$32), if(C38="Sortudo 3", SUMIF(C38,Habilidades!$A$33,D38) * SUMIF(C38,Habilidades!$A$33,Habilidades!$B$33), if(C38="Protetor 1", SUMIF(C38,Habilidades!$A$34,D38) * SUMIF(C38,Habilidades!$A$34,Habilidades!$B$34), if(C38="Protetor 2", SUMIF(C38,Habilidades!$A$35,D38) * SUMIF(C38,Habilidades!$A$35,Habilidades!$B$35), if(C38="Protetor 3", SUMIF(C38,Habilidades!$A$36,D38) * SUMIF(C38,Habilidades!$A$36,Habilidades!$B$36), if(C38="Engenhoso 1", SUMIF(C38,Habilidades!$A$40,D38) * SUMIF(C38,Habilidades!$A$40,Habilidades!$B$40), if(C38="Engenhoso 2", SUMIF(C38,Habilidades!$A$41,D38) * SUMIF(C38,Habilidades!$A$41,Habilidades!$B$41), if(C38="Engenhoso 3", SUMIF(C38,Habilidades!$A$42,D38) * SUMIF(C38,Habilidades!$A$42,Habilidades!$B$42), if(C38="Reviver 1", SUMIF(C38,Habilidades!$A$43,D38) * SUMIF(C38,Habilidades!$A$43,Habilidades!$B$43), if(C38="Reviver 2", SUMIF(C38,Habilidades!$A$44,D38) * SUMIF(C38,Habilidades!$A$44,Habilidades!$B$44), if(C38="Reviver 3", SUMIF(C38,Habilidades!$A$45,D38) * SUMIF(C38,Habilidades!$A$45,Habilidades!$B$45), if(C38="Catador 1", SUMIF(C38,Habilidades!$A$46,D38) * SUMIF(C38,Habilidades!$A$46,Habilidades!$B$46), if(C38="Catador 2", SUMIF(C38,Habilidades!$A$47,D38) * SUMIF(C38,Habilidades!$A$47,Habilidades!$B$47), if(C38="Catador 3", SUMIF(C38,Habilidades!$A$48,D38) * SUMIF(C38,Habilidades!$A$48,Habilidades!$B$48), if(C38="Fornecedor 1", SUMIF(C38,Habilidades!$A$49,D38) * SUMIF(C38,Habilidades!$A$49,Habilidades!$B$49), if(C38="Fornecedor 2", SUMIF(C38,Habilidades!$A$50,D38) * SUMIF(C38,Habilidades!$A$50,Habilidades!$B$50), if(C38="Fornecedor 3", SUMIF(C38,Habilidades!$A$51,D38) * SUMIF(C38,Habilidades!$A$51,Habilidades!$B$51), if(C38="Suporte 1", SUMIF(C38,Habilidades!$A$52,D38) * SUMIF(C38,Habilidades!$A$52,Habilidades!$B$52), if(C38="Suporte 2", SUMIF(C38,Habilidades!$A$53,D38) * SUMIF(C38,Habilidades!$A$53,Habilidades!$B$53), if(C38="Suporte 3", SUMIF(C38,Habilidades!$A$54,D38) * SUMIF(C38,Habilidades!$A$54,Habilidades!$B$54), if(C38="Caça-tesouros 1", SUMIF(C38,Habilidades!$A$55,D38) * SUMIF(C38,Habilidades!$A$55,Habilidades!$B$55), if(C38="Caça-tesouros 2", SUMIF(C38,Habilidades!$A$56,D38) * SUMIF(C38,Habilidades!$A$56,Habilidades!$B$56), if(C38="Caça-tesouros 3", SUMIF(C38,Habilidades!$A$57,D38) * SUMIF(C38,Habilidades!$A$57,Habilidades!$B$57), if(C38="Velocista 1", SUMIF(C38,Habilidades!$A$77,D38) * SUMIF(C38,Habilidades!$A$77,Habilidades!$B$77), if(C38="Velocista 2", SUMIF(C38,Habilidades!$A$78,D38) * SUMIF(C38,Habilidades!$A$78,Habilidades!$B$78), if(C38="Velocista 3", SUMIF(C38,Habilidades!$A$79,D38) * SUMIF(C38,Habilidades!$A$79,Habilidades!$B$79), "-"))))))))))))))))))))))))))))))))))))))</f>
        <v>70</v>
      </c>
      <c r="F38" s="110"/>
      <c r="G38" s="145"/>
      <c r="H38" s="145"/>
      <c r="I38" s="145"/>
      <c r="J38" s="145"/>
      <c r="K38" s="145"/>
      <c r="L38" s="145"/>
      <c r="M38" s="110"/>
      <c r="N38" s="110"/>
    </row>
    <row r="39">
      <c r="C39" s="142" t="str">
        <f>IFERROR(__xludf.DUMMYFUNCTION("""COMPUTED_VALUE"""),"Reviver 3")</f>
        <v>Reviver 3</v>
      </c>
      <c r="D39" s="129">
        <f t="shared" si="2"/>
        <v>2</v>
      </c>
      <c r="E39" s="130">
        <f>if(C39="Detectar Segredo", SUMIF(C39,Habilidades!$A$11,D39) * SUMIF(C39,Habilidades!$A$11,Habilidades!$B$11), if(C39="Encontrar mágica", SUMIF(C39,Habilidades!$A$12,D39) * SUMIF(C39,Habilidades!$A$12,Habilidades!$B$12), if(C39="Cuidadoso 1", SUMIF(C39,Habilidades!$A$22,D39) * SUMIF(C39,Habilidades!$A$22,Habilidades!$B$22), if(C39="Cuidadoso 2", SUMIF(C39,Habilidades!$A$23,D53) * SUMIF(C39,Habilidades!$A$23,Habilidades!$B$23), if(C39="Cuidadoso 3", SUMIF(C39,Habilidades!$A$24,D39) * SUMIF(C39,Habilidades!$A$24,Habilidades!$B$24), if(C39="Ganancioso 1", SUMIF(C39,Habilidades!$A$25,D39) * SUMIF(C39,Habilidades!$A$25,Habilidades!$B$25), if(C39="Ganancioso 2", SUMIF(C39,Habilidades!$A$26,D39) * SUMIF(C39,Habilidades!$A$26,Habilidades!$B$26), if(C39="Ganancioso 3", SUMIF(C39,Habilidades!$A$27,D39) * SUMIF(C39,Habilidades!$A$27,Habilidades!$B$27), if(C39="Curandeiro 1", SUMIF(C39,Habilidades!$A$28,D39) * SUMIF(C39,Habilidades!$A$28,Habilidades!$B$28), if(C39="Curandeiro 2", SUMIF(C39,Habilidades!$A$29,D39) * SUMIF(C39,Habilidades!$A$29,Habilidades!$B$29), if(C39="Curandeiro 3", SUMIF(C39,Habilidades!$A$30,D39) * SUMIF(C39,Habilidades!$A$30,Habilidades!$B$30), if(C39="Sortudo 1", SUMIF(C39,Habilidades!$A$31,D39) * SUMIF(C39,Habilidades!$A$31,Habilidades!$B$31), if(C39="Sortudo 2", SUMIF(C39,Habilidades!$A$32,D39) * SUMIF(C39,Habilidades!$A$32,Habilidades!$B$32), if(C39="Sortudo 3", SUMIF(C39,Habilidades!$A$33,D39) * SUMIF(C39,Habilidades!$A$33,Habilidades!$B$33), if(C39="Protetor 1", SUMIF(C39,Habilidades!$A$34,D39) * SUMIF(C39,Habilidades!$A$34,Habilidades!$B$34), if(C39="Protetor 2", SUMIF(C39,Habilidades!$A$35,D39) * SUMIF(C39,Habilidades!$A$35,Habilidades!$B$35), if(C39="Protetor 3", SUMIF(C39,Habilidades!$A$36,D39) * SUMIF(C39,Habilidades!$A$36,Habilidades!$B$36), if(C39="Engenhoso 1", SUMIF(C39,Habilidades!$A$40,D39) * SUMIF(C39,Habilidades!$A$40,Habilidades!$B$40), if(C39="Engenhoso 2", SUMIF(C39,Habilidades!$A$41,D39) * SUMIF(C39,Habilidades!$A$41,Habilidades!$B$41), if(C39="Engenhoso 3", SUMIF(C39,Habilidades!$A$42,D39) * SUMIF(C39,Habilidades!$A$42,Habilidades!$B$42), if(C39="Reviver 1", SUMIF(C39,Habilidades!$A$43,D39) * SUMIF(C39,Habilidades!$A$43,Habilidades!$B$43), if(C39="Reviver 2", SUMIF(C39,Habilidades!$A$44,D39) * SUMIF(C39,Habilidades!$A$44,Habilidades!$B$44), if(C39="Reviver 3", SUMIF(C39,Habilidades!$A$45,D39) * SUMIF(C39,Habilidades!$A$45,Habilidades!$B$45), if(C39="Catador 1", SUMIF(C39,Habilidades!$A$46,D39) * SUMIF(C39,Habilidades!$A$46,Habilidades!$B$46), if(C39="Catador 2", SUMIF(C39,Habilidades!$A$47,D39) * SUMIF(C39,Habilidades!$A$47,Habilidades!$B$47), if(C39="Catador 3", SUMIF(C39,Habilidades!$A$48,D39) * SUMIF(C39,Habilidades!$A$48,Habilidades!$B$48), if(C39="Fornecedor 1", SUMIF(C39,Habilidades!$A$49,D39) * SUMIF(C39,Habilidades!$A$49,Habilidades!$B$49), if(C39="Fornecedor 2", SUMIF(C39,Habilidades!$A$50,D39) * SUMIF(C39,Habilidades!$A$50,Habilidades!$B$50), if(C39="Fornecedor 3", SUMIF(C39,Habilidades!$A$51,D39) * SUMIF(C39,Habilidades!$A$51,Habilidades!$B$51), if(C39="Suporte 1", SUMIF(C39,Habilidades!$A$52,D39) * SUMIF(C39,Habilidades!$A$52,Habilidades!$B$52), if(C39="Suporte 2", SUMIF(C39,Habilidades!$A$53,D39) * SUMIF(C39,Habilidades!$A$53,Habilidades!$B$53), if(C39="Suporte 3", SUMIF(C39,Habilidades!$A$54,D39) * SUMIF(C39,Habilidades!$A$54,Habilidades!$B$54), if(C39="Caça-tesouros 1", SUMIF(C39,Habilidades!$A$55,D39) * SUMIF(C39,Habilidades!$A$55,Habilidades!$B$55), if(C39="Caça-tesouros 2", SUMIF(C39,Habilidades!$A$56,D39) * SUMIF(C39,Habilidades!$A$56,Habilidades!$B$56), if(C39="Caça-tesouros 3", SUMIF(C39,Habilidades!$A$57,D39) * SUMIF(C39,Habilidades!$A$57,Habilidades!$B$57), if(C39="Velocista 1", SUMIF(C39,Habilidades!$A$77,D39) * SUMIF(C39,Habilidades!$A$77,Habilidades!$B$77), if(C39="Velocista 2", SUMIF(C39,Habilidades!$A$78,D39) * SUMIF(C39,Habilidades!$A$78,Habilidades!$B$78), if(C39="Velocista 3", SUMIF(C39,Habilidades!$A$79,D39) * SUMIF(C39,Habilidades!$A$79,Habilidades!$B$79), "-"))))))))))))))))))))))))))))))))))))))</f>
        <v>30</v>
      </c>
      <c r="F39" s="110"/>
      <c r="G39" s="145"/>
      <c r="H39" s="145"/>
      <c r="I39" s="145"/>
      <c r="J39" s="145"/>
      <c r="K39" s="145"/>
      <c r="L39" s="145"/>
      <c r="M39" s="110"/>
      <c r="N39" s="110"/>
    </row>
    <row r="40">
      <c r="C40" s="142" t="str">
        <f>IFERROR(__xludf.DUMMYFUNCTION("""COMPUTED_VALUE"""),"Sábio 3")</f>
        <v>Sábio 3</v>
      </c>
      <c r="D40" s="129">
        <f t="shared" si="2"/>
        <v>1</v>
      </c>
      <c r="E40" s="130" t="str">
        <f>if(C40="Detectar Segredo", SUMIF(C40,Habilidades!$A$11,D40) * SUMIF(C40,Habilidades!$A$11,Habilidades!$B$11), if(C40="Encontrar mágica", SUMIF(C40,Habilidades!$A$12,D40) * SUMIF(C40,Habilidades!$A$12,Habilidades!$B$12), if(C40="Cuidadoso 1", SUMIF(C40,Habilidades!$A$22,D40) * SUMIF(C40,Habilidades!$A$22,Habilidades!$B$22), if(C40="Cuidadoso 2", SUMIF(C40,Habilidades!$A$23,D54) * SUMIF(C40,Habilidades!$A$23,Habilidades!$B$23), if(C40="Cuidadoso 3", SUMIF(C40,Habilidades!$A$24,D40) * SUMIF(C40,Habilidades!$A$24,Habilidades!$B$24), if(C40="Ganancioso 1", SUMIF(C40,Habilidades!$A$25,D40) * SUMIF(C40,Habilidades!$A$25,Habilidades!$B$25), if(C40="Ganancioso 2", SUMIF(C40,Habilidades!$A$26,D40) * SUMIF(C40,Habilidades!$A$26,Habilidades!$B$26), if(C40="Ganancioso 3", SUMIF(C40,Habilidades!$A$27,D40) * SUMIF(C40,Habilidades!$A$27,Habilidades!$B$27), if(C40="Curandeiro 1", SUMIF(C40,Habilidades!$A$28,D40) * SUMIF(C40,Habilidades!$A$28,Habilidades!$B$28), if(C40="Curandeiro 2", SUMIF(C40,Habilidades!$A$29,D40) * SUMIF(C40,Habilidades!$A$29,Habilidades!$B$29), if(C40="Curandeiro 3", SUMIF(C40,Habilidades!$A$30,D40) * SUMIF(C40,Habilidades!$A$30,Habilidades!$B$30), if(C40="Sortudo 1", SUMIF(C40,Habilidades!$A$31,D40) * SUMIF(C40,Habilidades!$A$31,Habilidades!$B$31), if(C40="Sortudo 2", SUMIF(C40,Habilidades!$A$32,D40) * SUMIF(C40,Habilidades!$A$32,Habilidades!$B$32), if(C40="Sortudo 3", SUMIF(C40,Habilidades!$A$33,D40) * SUMIF(C40,Habilidades!$A$33,Habilidades!$B$33), if(C40="Protetor 1", SUMIF(C40,Habilidades!$A$34,D40) * SUMIF(C40,Habilidades!$A$34,Habilidades!$B$34), if(C40="Protetor 2", SUMIF(C40,Habilidades!$A$35,D40) * SUMIF(C40,Habilidades!$A$35,Habilidades!$B$35), if(C40="Protetor 3", SUMIF(C40,Habilidades!$A$36,D40) * SUMIF(C40,Habilidades!$A$36,Habilidades!$B$36), if(C40="Engenhoso 1", SUMIF(C40,Habilidades!$A$40,D40) * SUMIF(C40,Habilidades!$A$40,Habilidades!$B$40), if(C40="Engenhoso 2", SUMIF(C40,Habilidades!$A$41,D40) * SUMIF(C40,Habilidades!$A$41,Habilidades!$B$41), if(C40="Engenhoso 3", SUMIF(C40,Habilidades!$A$42,D40) * SUMIF(C40,Habilidades!$A$42,Habilidades!$B$42), if(C40="Reviver 1", SUMIF(C40,Habilidades!$A$43,D40) * SUMIF(C40,Habilidades!$A$43,Habilidades!$B$43), if(C40="Reviver 2", SUMIF(C40,Habilidades!$A$44,D40) * SUMIF(C40,Habilidades!$A$44,Habilidades!$B$44), if(C40="Reviver 3", SUMIF(C40,Habilidades!$A$45,D40) * SUMIF(C40,Habilidades!$A$45,Habilidades!$B$45), if(C40="Catador 1", SUMIF(C40,Habilidades!$A$46,D40) * SUMIF(C40,Habilidades!$A$46,Habilidades!$B$46), if(C40="Catador 2", SUMIF(C40,Habilidades!$A$47,D40) * SUMIF(C40,Habilidades!$A$47,Habilidades!$B$47), if(C40="Catador 3", SUMIF(C40,Habilidades!$A$48,D40) * SUMIF(C40,Habilidades!$A$48,Habilidades!$B$48), if(C40="Fornecedor 1", SUMIF(C40,Habilidades!$A$49,D40) * SUMIF(C40,Habilidades!$A$49,Habilidades!$B$49), if(C40="Fornecedor 2", SUMIF(C40,Habilidades!$A$50,D40) * SUMIF(C40,Habilidades!$A$50,Habilidades!$B$50), if(C40="Fornecedor 3", SUMIF(C40,Habilidades!$A$51,D40) * SUMIF(C40,Habilidades!$A$51,Habilidades!$B$51), if(C40="Suporte 1", SUMIF(C40,Habilidades!$A$52,D40) * SUMIF(C40,Habilidades!$A$52,Habilidades!$B$52), if(C40="Suporte 2", SUMIF(C40,Habilidades!$A$53,D40) * SUMIF(C40,Habilidades!$A$53,Habilidades!$B$53), if(C40="Suporte 3", SUMIF(C40,Habilidades!$A$54,D40) * SUMIF(C40,Habilidades!$A$54,Habilidades!$B$54), if(C40="Caça-tesouros 1", SUMIF(C40,Habilidades!$A$55,D40) * SUMIF(C40,Habilidades!$A$55,Habilidades!$B$55), if(C40="Caça-tesouros 2", SUMIF(C40,Habilidades!$A$56,D40) * SUMIF(C40,Habilidades!$A$56,Habilidades!$B$56), if(C40="Caça-tesouros 3", SUMIF(C40,Habilidades!$A$57,D40) * SUMIF(C40,Habilidades!$A$57,Habilidades!$B$57), if(C40="Velocista 1", SUMIF(C40,Habilidades!$A$77,D40) * SUMIF(C40,Habilidades!$A$77,Habilidades!$B$77), if(C40="Velocista 2", SUMIF(C40,Habilidades!$A$78,D40) * SUMIF(C40,Habilidades!$A$78,Habilidades!$B$78), if(C40="Velocista 3", SUMIF(C40,Habilidades!$A$79,D40) * SUMIF(C40,Habilidades!$A$79,Habilidades!$B$79), "-"))))))))))))))))))))))))))))))))))))))</f>
        <v>-</v>
      </c>
      <c r="F40" s="110"/>
      <c r="G40" s="145"/>
      <c r="H40" s="145"/>
      <c r="I40" s="145"/>
      <c r="J40" s="145"/>
      <c r="K40" s="145"/>
      <c r="L40" s="145"/>
      <c r="M40" s="110"/>
      <c r="N40" s="110"/>
    </row>
    <row r="41">
      <c r="C41" s="142" t="str">
        <f>IFERROR(__xludf.DUMMYFUNCTION("""COMPUTED_VALUE"""),"Suporte 3")</f>
        <v>Suporte 3</v>
      </c>
      <c r="D41" s="129">
        <f t="shared" si="2"/>
        <v>1</v>
      </c>
      <c r="E41" s="130">
        <f>if(C41="Detectar Segredo", SUMIF(C41,Habilidades!$A$11,D41) * SUMIF(C41,Habilidades!$A$11,Habilidades!$B$11), if(C41="Encontrar mágica", SUMIF(C41,Habilidades!$A$12,D41) * SUMIF(C41,Habilidades!$A$12,Habilidades!$B$12), if(C41="Cuidadoso 1", SUMIF(C41,Habilidades!$A$22,D41) * SUMIF(C41,Habilidades!$A$22,Habilidades!$B$22), if(C41="Cuidadoso 2", SUMIF(C41,Habilidades!$A$23,D55) * SUMIF(C41,Habilidades!$A$23,Habilidades!$B$23), if(C41="Cuidadoso 3", SUMIF(C41,Habilidades!$A$24,D41) * SUMIF(C41,Habilidades!$A$24,Habilidades!$B$24), if(C41="Ganancioso 1", SUMIF(C41,Habilidades!$A$25,D41) * SUMIF(C41,Habilidades!$A$25,Habilidades!$B$25), if(C41="Ganancioso 2", SUMIF(C41,Habilidades!$A$26,D41) * SUMIF(C41,Habilidades!$A$26,Habilidades!$B$26), if(C41="Ganancioso 3", SUMIF(C41,Habilidades!$A$27,D41) * SUMIF(C41,Habilidades!$A$27,Habilidades!$B$27), if(C41="Curandeiro 1", SUMIF(C41,Habilidades!$A$28,D41) * SUMIF(C41,Habilidades!$A$28,Habilidades!$B$28), if(C41="Curandeiro 2", SUMIF(C41,Habilidades!$A$29,D41) * SUMIF(C41,Habilidades!$A$29,Habilidades!$B$29), if(C41="Curandeiro 3", SUMIF(C41,Habilidades!$A$30,D41) * SUMIF(C41,Habilidades!$A$30,Habilidades!$B$30), if(C41="Sortudo 1", SUMIF(C41,Habilidades!$A$31,D41) * SUMIF(C41,Habilidades!$A$31,Habilidades!$B$31), if(C41="Sortudo 2", SUMIF(C41,Habilidades!$A$32,D41) * SUMIF(C41,Habilidades!$A$32,Habilidades!$B$32), if(C41="Sortudo 3", SUMIF(C41,Habilidades!$A$33,D41) * SUMIF(C41,Habilidades!$A$33,Habilidades!$B$33), if(C41="Protetor 1", SUMIF(C41,Habilidades!$A$34,D41) * SUMIF(C41,Habilidades!$A$34,Habilidades!$B$34), if(C41="Protetor 2", SUMIF(C41,Habilidades!$A$35,D41) * SUMIF(C41,Habilidades!$A$35,Habilidades!$B$35), if(C41="Protetor 3", SUMIF(C41,Habilidades!$A$36,D41) * SUMIF(C41,Habilidades!$A$36,Habilidades!$B$36), if(C41="Engenhoso 1", SUMIF(C41,Habilidades!$A$40,D41) * SUMIF(C41,Habilidades!$A$40,Habilidades!$B$40), if(C41="Engenhoso 2", SUMIF(C41,Habilidades!$A$41,D41) * SUMIF(C41,Habilidades!$A$41,Habilidades!$B$41), if(C41="Engenhoso 3", SUMIF(C41,Habilidades!$A$42,D41) * SUMIF(C41,Habilidades!$A$42,Habilidades!$B$42), if(C41="Reviver 1", SUMIF(C41,Habilidades!$A$43,D41) * SUMIF(C41,Habilidades!$A$43,Habilidades!$B$43), if(C41="Reviver 2", SUMIF(C41,Habilidades!$A$44,D41) * SUMIF(C41,Habilidades!$A$44,Habilidades!$B$44), if(C41="Reviver 3", SUMIF(C41,Habilidades!$A$45,D41) * SUMIF(C41,Habilidades!$A$45,Habilidades!$B$45), if(C41="Catador 1", SUMIF(C41,Habilidades!$A$46,D41) * SUMIF(C41,Habilidades!$A$46,Habilidades!$B$46), if(C41="Catador 2", SUMIF(C41,Habilidades!$A$47,D41) * SUMIF(C41,Habilidades!$A$47,Habilidades!$B$47), if(C41="Catador 3", SUMIF(C41,Habilidades!$A$48,D41) * SUMIF(C41,Habilidades!$A$48,Habilidades!$B$48), if(C41="Fornecedor 1", SUMIF(C41,Habilidades!$A$49,D41) * SUMIF(C41,Habilidades!$A$49,Habilidades!$B$49), if(C41="Fornecedor 2", SUMIF(C41,Habilidades!$A$50,D41) * SUMIF(C41,Habilidades!$A$50,Habilidades!$B$50), if(C41="Fornecedor 3", SUMIF(C41,Habilidades!$A$51,D41) * SUMIF(C41,Habilidades!$A$51,Habilidades!$B$51), if(C41="Suporte 1", SUMIF(C41,Habilidades!$A$52,D41) * SUMIF(C41,Habilidades!$A$52,Habilidades!$B$52), if(C41="Suporte 2", SUMIF(C41,Habilidades!$A$53,D41) * SUMIF(C41,Habilidades!$A$53,Habilidades!$B$53), if(C41="Suporte 3", SUMIF(C41,Habilidades!$A$54,D41) * SUMIF(C41,Habilidades!$A$54,Habilidades!$B$54), if(C41="Caça-tesouros 1", SUMIF(C41,Habilidades!$A$55,D41) * SUMIF(C41,Habilidades!$A$55,Habilidades!$B$55), if(C41="Caça-tesouros 2", SUMIF(C41,Habilidades!$A$56,D41) * SUMIF(C41,Habilidades!$A$56,Habilidades!$B$56), if(C41="Caça-tesouros 3", SUMIF(C41,Habilidades!$A$57,D41) * SUMIF(C41,Habilidades!$A$57,Habilidades!$B$57), if(C41="Velocista 1", SUMIF(C41,Habilidades!$A$77,D41) * SUMIF(C41,Habilidades!$A$77,Habilidades!$B$77), if(C41="Velocista 2", SUMIF(C41,Habilidades!$A$78,D41) * SUMIF(C41,Habilidades!$A$78,Habilidades!$B$78), if(C41="Velocista 3", SUMIF(C41,Habilidades!$A$79,D41) * SUMIF(C41,Habilidades!$A$79,Habilidades!$B$79), "-"))))))))))))))))))))))))))))))))))))))</f>
        <v>3</v>
      </c>
      <c r="F41" s="110"/>
      <c r="G41" s="145"/>
      <c r="H41" s="145"/>
      <c r="I41" s="145"/>
      <c r="J41" s="145"/>
      <c r="K41" s="145"/>
      <c r="L41" s="145"/>
      <c r="M41" s="110"/>
      <c r="N41" s="110"/>
    </row>
    <row r="42">
      <c r="C42" s="142" t="str">
        <f>IFERROR(__xludf.DUMMYFUNCTION("""COMPUTED_VALUE"""),"Velocista 3")</f>
        <v>Velocista 3</v>
      </c>
      <c r="D42" s="129">
        <f t="shared" si="2"/>
        <v>2</v>
      </c>
      <c r="E42" s="130">
        <f>if(C42="Detectar Segredo", SUMIF(C42,Habilidades!$A$11,D42) * SUMIF(C42,Habilidades!$A$11,Habilidades!$B$11), if(C42="Encontrar mágica", SUMIF(C42,Habilidades!$A$12,D42) * SUMIF(C42,Habilidades!$A$12,Habilidades!$B$12), if(C42="Cuidadoso 1", SUMIF(C42,Habilidades!$A$22,D42) * SUMIF(C42,Habilidades!$A$22,Habilidades!$B$22), if(C42="Cuidadoso 2", SUMIF(C42,Habilidades!$A$23,D56) * SUMIF(C42,Habilidades!$A$23,Habilidades!$B$23), if(C42="Cuidadoso 3", SUMIF(C42,Habilidades!$A$24,D42) * SUMIF(C42,Habilidades!$A$24,Habilidades!$B$24), if(C42="Ganancioso 1", SUMIF(C42,Habilidades!$A$25,D42) * SUMIF(C42,Habilidades!$A$25,Habilidades!$B$25), if(C42="Ganancioso 2", SUMIF(C42,Habilidades!$A$26,D42) * SUMIF(C42,Habilidades!$A$26,Habilidades!$B$26), if(C42="Ganancioso 3", SUMIF(C42,Habilidades!$A$27,D42) * SUMIF(C42,Habilidades!$A$27,Habilidades!$B$27), if(C42="Curandeiro 1", SUMIF(C42,Habilidades!$A$28,D42) * SUMIF(C42,Habilidades!$A$28,Habilidades!$B$28), if(C42="Curandeiro 2", SUMIF(C42,Habilidades!$A$29,D42) * SUMIF(C42,Habilidades!$A$29,Habilidades!$B$29), if(C42="Curandeiro 3", SUMIF(C42,Habilidades!$A$30,D42) * SUMIF(C42,Habilidades!$A$30,Habilidades!$B$30), if(C42="Sortudo 1", SUMIF(C42,Habilidades!$A$31,D42) * SUMIF(C42,Habilidades!$A$31,Habilidades!$B$31), if(C42="Sortudo 2", SUMIF(C42,Habilidades!$A$32,D42) * SUMIF(C42,Habilidades!$A$32,Habilidades!$B$32), if(C42="Sortudo 3", SUMIF(C42,Habilidades!$A$33,D42) * SUMIF(C42,Habilidades!$A$33,Habilidades!$B$33), if(C42="Protetor 1", SUMIF(C42,Habilidades!$A$34,D42) * SUMIF(C42,Habilidades!$A$34,Habilidades!$B$34), if(C42="Protetor 2", SUMIF(C42,Habilidades!$A$35,D42) * SUMIF(C42,Habilidades!$A$35,Habilidades!$B$35), if(C42="Protetor 3", SUMIF(C42,Habilidades!$A$36,D42) * SUMIF(C42,Habilidades!$A$36,Habilidades!$B$36), if(C42="Engenhoso 1", SUMIF(C42,Habilidades!$A$40,D42) * SUMIF(C42,Habilidades!$A$40,Habilidades!$B$40), if(C42="Engenhoso 2", SUMIF(C42,Habilidades!$A$41,D42) * SUMIF(C42,Habilidades!$A$41,Habilidades!$B$41), if(C42="Engenhoso 3", SUMIF(C42,Habilidades!$A$42,D42) * SUMIF(C42,Habilidades!$A$42,Habilidades!$B$42), if(C42="Reviver 1", SUMIF(C42,Habilidades!$A$43,D42) * SUMIF(C42,Habilidades!$A$43,Habilidades!$B$43), if(C42="Reviver 2", SUMIF(C42,Habilidades!$A$44,D42) * SUMIF(C42,Habilidades!$A$44,Habilidades!$B$44), if(C42="Reviver 3", SUMIF(C42,Habilidades!$A$45,D42) * SUMIF(C42,Habilidades!$A$45,Habilidades!$B$45), if(C42="Catador 1", SUMIF(C42,Habilidades!$A$46,D42) * SUMIF(C42,Habilidades!$A$46,Habilidades!$B$46), if(C42="Catador 2", SUMIF(C42,Habilidades!$A$47,D42) * SUMIF(C42,Habilidades!$A$47,Habilidades!$B$47), if(C42="Catador 3", SUMIF(C42,Habilidades!$A$48,D42) * SUMIF(C42,Habilidades!$A$48,Habilidades!$B$48), if(C42="Fornecedor 1", SUMIF(C42,Habilidades!$A$49,D42) * SUMIF(C42,Habilidades!$A$49,Habilidades!$B$49), if(C42="Fornecedor 2", SUMIF(C42,Habilidades!$A$50,D42) * SUMIF(C42,Habilidades!$A$50,Habilidades!$B$50), if(C42="Fornecedor 3", SUMIF(C42,Habilidades!$A$51,D42) * SUMIF(C42,Habilidades!$A$51,Habilidades!$B$51), if(C42="Suporte 1", SUMIF(C42,Habilidades!$A$52,D42) * SUMIF(C42,Habilidades!$A$52,Habilidades!$B$52), if(C42="Suporte 2", SUMIF(C42,Habilidades!$A$53,D42) * SUMIF(C42,Habilidades!$A$53,Habilidades!$B$53), if(C42="Suporte 3", SUMIF(C42,Habilidades!$A$54,D42) * SUMIF(C42,Habilidades!$A$54,Habilidades!$B$54), if(C42="Caça-tesouros 1", SUMIF(C42,Habilidades!$A$55,D42) * SUMIF(C42,Habilidades!$A$55,Habilidades!$B$55), if(C42="Caça-tesouros 2", SUMIF(C42,Habilidades!$A$56,D42) * SUMIF(C42,Habilidades!$A$56,Habilidades!$B$56), if(C42="Caça-tesouros 3", SUMIF(C42,Habilidades!$A$57,D42) * SUMIF(C42,Habilidades!$A$57,Habilidades!$B$57), if(C42="Velocista 1", SUMIF(C42,Habilidades!$A$77,D42) * SUMIF(C42,Habilidades!$A$77,Habilidades!$B$77), if(C42="Velocista 2", SUMIF(C42,Habilidades!$A$78,D42) * SUMIF(C42,Habilidades!$A$78,Habilidades!$B$78), if(C42="Velocista 3", SUMIF(C42,Habilidades!$A$79,D42) * SUMIF(C42,Habilidades!$A$79,Habilidades!$B$79), "-"))))))))))))))))))))))))))))))))))))))</f>
        <v>100</v>
      </c>
      <c r="F42" s="110"/>
      <c r="G42" s="145"/>
      <c r="H42" s="145"/>
      <c r="I42" s="145"/>
      <c r="J42" s="145"/>
      <c r="K42" s="145"/>
      <c r="L42" s="145"/>
      <c r="M42" s="110"/>
      <c r="N42" s="110"/>
    </row>
    <row r="43">
      <c r="C43" s="142"/>
      <c r="D43" s="129">
        <f t="shared" si="2"/>
        <v>0</v>
      </c>
      <c r="E43" s="130" t="str">
        <f>if(C43="Detectar Segredo", SUMIF(C43,Habilidades!$A$11,D43) * SUMIF(C43,Habilidades!$A$11,Habilidades!$B$11), if(C43="Encontrar mágica", SUMIF(C43,Habilidades!$A$12,D43) * SUMIF(C43,Habilidades!$A$12,Habilidades!$B$12), if(C43="Cuidadoso 1", SUMIF(C43,Habilidades!$A$22,D43) * SUMIF(C43,Habilidades!$A$22,Habilidades!$B$22), if(C43="Cuidadoso 2", SUMIF(C43,Habilidades!$A$23,D57) * SUMIF(C43,Habilidades!$A$23,Habilidades!$B$23), if(C43="Cuidadoso 3", SUMIF(C43,Habilidades!$A$24,D43) * SUMIF(C43,Habilidades!$A$24,Habilidades!$B$24), if(C43="Ganancioso 1", SUMIF(C43,Habilidades!$A$25,D43) * SUMIF(C43,Habilidades!$A$25,Habilidades!$B$25), if(C43="Ganancioso 2", SUMIF(C43,Habilidades!$A$26,D43) * SUMIF(C43,Habilidades!$A$26,Habilidades!$B$26), if(C43="Ganancioso 3", SUMIF(C43,Habilidades!$A$27,D43) * SUMIF(C43,Habilidades!$A$27,Habilidades!$B$27), if(C43="Curandeiro 1", SUMIF(C43,Habilidades!$A$28,D43) * SUMIF(C43,Habilidades!$A$28,Habilidades!$B$28), if(C43="Curandeiro 2", SUMIF(C43,Habilidades!$A$29,D43) * SUMIF(C43,Habilidades!$A$29,Habilidades!$B$29), if(C43="Curandeiro 3", SUMIF(C43,Habilidades!$A$30,D43) * SUMIF(C43,Habilidades!$A$30,Habilidades!$B$30), if(C43="Sortudo 1", SUMIF(C43,Habilidades!$A$31,D43) * SUMIF(C43,Habilidades!$A$31,Habilidades!$B$31), if(C43="Sortudo 2", SUMIF(C43,Habilidades!$A$32,D43) * SUMIF(C43,Habilidades!$A$32,Habilidades!$B$32), if(C43="Sortudo 3", SUMIF(C43,Habilidades!$A$33,D43) * SUMIF(C43,Habilidades!$A$33,Habilidades!$B$33), if(C43="Protetor 1", SUMIF(C43,Habilidades!$A$34,D43) * SUMIF(C43,Habilidades!$A$34,Habilidades!$B$34), if(C43="Protetor 2", SUMIF(C43,Habilidades!$A$35,D43) * SUMIF(C43,Habilidades!$A$35,Habilidades!$B$35), if(C43="Protetor 3", SUMIF(C43,Habilidades!$A$36,D43) * SUMIF(C43,Habilidades!$A$36,Habilidades!$B$36), if(C43="Engenhoso 1", SUMIF(C43,Habilidades!$A$40,D43) * SUMIF(C43,Habilidades!$A$40,Habilidades!$B$40), if(C43="Engenhoso 2", SUMIF(C43,Habilidades!$A$41,D43) * SUMIF(C43,Habilidades!$A$41,Habilidades!$B$41), if(C43="Engenhoso 3", SUMIF(C43,Habilidades!$A$42,D43) * SUMIF(C43,Habilidades!$A$42,Habilidades!$B$42), if(C43="Reviver 1", SUMIF(C43,Habilidades!$A$43,D43) * SUMIF(C43,Habilidades!$A$43,Habilidades!$B$43), if(C43="Reviver 2", SUMIF(C43,Habilidades!$A$44,D43) * SUMIF(C43,Habilidades!$A$44,Habilidades!$B$44), if(C43="Reviver 3", SUMIF(C43,Habilidades!$A$45,D43) * SUMIF(C43,Habilidades!$A$45,Habilidades!$B$45), if(C43="Catador 1", SUMIF(C43,Habilidades!$A$46,D43) * SUMIF(C43,Habilidades!$A$46,Habilidades!$B$46), if(C43="Catador 2", SUMIF(C43,Habilidades!$A$47,D43) * SUMIF(C43,Habilidades!$A$47,Habilidades!$B$47), if(C43="Catador 3", SUMIF(C43,Habilidades!$A$48,D43) * SUMIF(C43,Habilidades!$A$48,Habilidades!$B$48), if(C43="Fornecedor 1", SUMIF(C43,Habilidades!$A$49,D43) * SUMIF(C43,Habilidades!$A$49,Habilidades!$B$49), if(C43="Fornecedor 2", SUMIF(C43,Habilidades!$A$50,D43) * SUMIF(C43,Habilidades!$A$50,Habilidades!$B$50), if(C43="Fornecedor 3", SUMIF(C43,Habilidades!$A$51,D43) * SUMIF(C43,Habilidades!$A$51,Habilidades!$B$51), if(C43="Suporte 1", SUMIF(C43,Habilidades!$A$52,D43) * SUMIF(C43,Habilidades!$A$52,Habilidades!$B$52), if(C43="Suporte 2", SUMIF(C43,Habilidades!$A$53,D43) * SUMIF(C43,Habilidades!$A$53,Habilidades!$B$53), if(C43="Suporte 3", SUMIF(C43,Habilidades!$A$54,D43) * SUMIF(C43,Habilidades!$A$54,Habilidades!$B$54), if(C43="Caça-tesouros 1", SUMIF(C43,Habilidades!$A$55,D43) * SUMIF(C43,Habilidades!$A$55,Habilidades!$B$55), if(C43="Caça-tesouros 2", SUMIF(C43,Habilidades!$A$56,D43) * SUMIF(C43,Habilidades!$A$56,Habilidades!$B$56), if(C43="Caça-tesouros 3", SUMIF(C43,Habilidades!$A$57,D43) * SUMIF(C43,Habilidades!$A$57,Habilidades!$B$57), if(C43="Velocista 1", SUMIF(C43,Habilidades!$A$77,D43) * SUMIF(C43,Habilidades!$A$77,Habilidades!$B$77), if(C43="Velocista 2", SUMIF(C43,Habilidades!$A$78,D43) * SUMIF(C43,Habilidades!$A$78,Habilidades!$B$78), if(C43="Velocista 3", SUMIF(C43,Habilidades!$A$79,D43) * SUMIF(C43,Habilidades!$A$79,Habilidades!$B$79), "-"))))))))))))))))))))))))))))))))))))))</f>
        <v>-</v>
      </c>
      <c r="F43" s="110"/>
      <c r="G43" s="110"/>
      <c r="H43" s="110"/>
      <c r="I43" s="110"/>
      <c r="J43" s="110"/>
      <c r="K43" s="110"/>
      <c r="L43" s="110"/>
      <c r="M43" s="110"/>
      <c r="N43" s="110"/>
    </row>
    <row r="44">
      <c r="C44" s="142"/>
      <c r="D44" s="129">
        <f t="shared" si="2"/>
        <v>0</v>
      </c>
      <c r="E44" s="130" t="str">
        <f>if(C44="Detectar Segredo", SUMIF(C44,Habilidades!$A$11,D44) * SUMIF(C44,Habilidades!$A$11,Habilidades!$B$11), if(C44="Encontrar mágica", SUMIF(C44,Habilidades!$A$12,D44) * SUMIF(C44,Habilidades!$A$12,Habilidades!$B$12), if(C44="Cuidadoso 1", SUMIF(C44,Habilidades!$A$22,D44) * SUMIF(C44,Habilidades!$A$22,Habilidades!$B$22), if(C44="Cuidadoso 2", SUMIF(C44,Habilidades!$A$23,D58) * SUMIF(C44,Habilidades!$A$23,Habilidades!$B$23), if(C44="Cuidadoso 3", SUMIF(C44,Habilidades!$A$24,D44) * SUMIF(C44,Habilidades!$A$24,Habilidades!$B$24), if(C44="Ganancioso 1", SUMIF(C44,Habilidades!$A$25,D44) * SUMIF(C44,Habilidades!$A$25,Habilidades!$B$25), if(C44="Ganancioso 2", SUMIF(C44,Habilidades!$A$26,D44) * SUMIF(C44,Habilidades!$A$26,Habilidades!$B$26), if(C44="Ganancioso 3", SUMIF(C44,Habilidades!$A$27,D44) * SUMIF(C44,Habilidades!$A$27,Habilidades!$B$27), if(C44="Curandeiro 1", SUMIF(C44,Habilidades!$A$28,D44) * SUMIF(C44,Habilidades!$A$28,Habilidades!$B$28), if(C44="Curandeiro 2", SUMIF(C44,Habilidades!$A$29,D44) * SUMIF(C44,Habilidades!$A$29,Habilidades!$B$29), if(C44="Curandeiro 3", SUMIF(C44,Habilidades!$A$30,D44) * SUMIF(C44,Habilidades!$A$30,Habilidades!$B$30), if(C44="Sortudo 1", SUMIF(C44,Habilidades!$A$31,D44) * SUMIF(C44,Habilidades!$A$31,Habilidades!$B$31), if(C44="Sortudo 2", SUMIF(C44,Habilidades!$A$32,D44) * SUMIF(C44,Habilidades!$A$32,Habilidades!$B$32), if(C44="Sortudo 3", SUMIF(C44,Habilidades!$A$33,D44) * SUMIF(C44,Habilidades!$A$33,Habilidades!$B$33), if(C44="Protetor 1", SUMIF(C44,Habilidades!$A$34,D44) * SUMIF(C44,Habilidades!$A$34,Habilidades!$B$34), if(C44="Protetor 2", SUMIF(C44,Habilidades!$A$35,D44) * SUMIF(C44,Habilidades!$A$35,Habilidades!$B$35), if(C44="Protetor 3", SUMIF(C44,Habilidades!$A$36,D44) * SUMIF(C44,Habilidades!$A$36,Habilidades!$B$36), if(C44="Engenhoso 1", SUMIF(C44,Habilidades!$A$40,D44) * SUMIF(C44,Habilidades!$A$40,Habilidades!$B$40), if(C44="Engenhoso 2", SUMIF(C44,Habilidades!$A$41,D44) * SUMIF(C44,Habilidades!$A$41,Habilidades!$B$41), if(C44="Engenhoso 3", SUMIF(C44,Habilidades!$A$42,D44) * SUMIF(C44,Habilidades!$A$42,Habilidades!$B$42), if(C44="Reviver 1", SUMIF(C44,Habilidades!$A$43,D44) * SUMIF(C44,Habilidades!$A$43,Habilidades!$B$43), if(C44="Reviver 2", SUMIF(C44,Habilidades!$A$44,D44) * SUMIF(C44,Habilidades!$A$44,Habilidades!$B$44), if(C44="Reviver 3", SUMIF(C44,Habilidades!$A$45,D44) * SUMIF(C44,Habilidades!$A$45,Habilidades!$B$45), if(C44="Catador 1", SUMIF(C44,Habilidades!$A$46,D44) * SUMIF(C44,Habilidades!$A$46,Habilidades!$B$46), if(C44="Catador 2", SUMIF(C44,Habilidades!$A$47,D44) * SUMIF(C44,Habilidades!$A$47,Habilidades!$B$47), if(C44="Catador 3", SUMIF(C44,Habilidades!$A$48,D44) * SUMIF(C44,Habilidades!$A$48,Habilidades!$B$48), if(C44="Fornecedor 1", SUMIF(C44,Habilidades!$A$49,D44) * SUMIF(C44,Habilidades!$A$49,Habilidades!$B$49), if(C44="Fornecedor 2", SUMIF(C44,Habilidades!$A$50,D44) * SUMIF(C44,Habilidades!$A$50,Habilidades!$B$50), if(C44="Fornecedor 3", SUMIF(C44,Habilidades!$A$51,D44) * SUMIF(C44,Habilidades!$A$51,Habilidades!$B$51), if(C44="Suporte 1", SUMIF(C44,Habilidades!$A$52,D44) * SUMIF(C44,Habilidades!$A$52,Habilidades!$B$52), if(C44="Suporte 2", SUMIF(C44,Habilidades!$A$53,D44) * SUMIF(C44,Habilidades!$A$53,Habilidades!$B$53), if(C44="Suporte 3", SUMIF(C44,Habilidades!$A$54,D44) * SUMIF(C44,Habilidades!$A$54,Habilidades!$B$54), if(C44="Caça-tesouros 1", SUMIF(C44,Habilidades!$A$55,D44) * SUMIF(C44,Habilidades!$A$55,Habilidades!$B$55), if(C44="Caça-tesouros 2", SUMIF(C44,Habilidades!$A$56,D44) * SUMIF(C44,Habilidades!$A$56,Habilidades!$B$56), if(C44="Caça-tesouros 3", SUMIF(C44,Habilidades!$A$57,D44) * SUMIF(C44,Habilidades!$A$57,Habilidades!$B$57), if(C44="Velocista 1", SUMIF(C44,Habilidades!$A$77,D44) * SUMIF(C44,Habilidades!$A$77,Habilidades!$B$77), if(C44="Velocista 2", SUMIF(C44,Habilidades!$A$78,D44) * SUMIF(C44,Habilidades!$A$78,Habilidades!$B$78), if(C44="Velocista 3", SUMIF(C44,Habilidades!$A$79,D44) * SUMIF(C44,Habilidades!$A$79,Habilidades!$B$79), "-"))))))))))))))))))))))))))))))))))))))</f>
        <v>-</v>
      </c>
      <c r="F44" s="110"/>
      <c r="G44" s="110"/>
      <c r="H44" s="110"/>
      <c r="I44" s="110"/>
      <c r="J44" s="110"/>
      <c r="K44" s="110"/>
      <c r="L44" s="110"/>
      <c r="M44" s="110"/>
      <c r="N44" s="110"/>
    </row>
    <row r="45">
      <c r="C45" s="142"/>
      <c r="D45" s="129">
        <f t="shared" si="2"/>
        <v>0</v>
      </c>
      <c r="E45" s="130" t="str">
        <f>if(C45="Detectar Segredo", SUMIF(C45,Habilidades!$A$11,D45) * SUMIF(C45,Habilidades!$A$11,Habilidades!$B$11), if(C45="Encontrar mágica", SUMIF(C45,Habilidades!$A$12,D45) * SUMIF(C45,Habilidades!$A$12,Habilidades!$B$12), if(C45="Cuidadoso 1", SUMIF(C45,Habilidades!$A$22,D45) * SUMIF(C45,Habilidades!$A$22,Habilidades!$B$22), if(C45="Cuidadoso 2", SUMIF(C45,Habilidades!$A$23,D59) * SUMIF(C45,Habilidades!$A$23,Habilidades!$B$23), if(C45="Cuidadoso 3", SUMIF(C45,Habilidades!$A$24,D45) * SUMIF(C45,Habilidades!$A$24,Habilidades!$B$24), if(C45="Ganancioso 1", SUMIF(C45,Habilidades!$A$25,D45) * SUMIF(C45,Habilidades!$A$25,Habilidades!$B$25), if(C45="Ganancioso 2", SUMIF(C45,Habilidades!$A$26,D45) * SUMIF(C45,Habilidades!$A$26,Habilidades!$B$26), if(C45="Ganancioso 3", SUMIF(C45,Habilidades!$A$27,D45) * SUMIF(C45,Habilidades!$A$27,Habilidades!$B$27), if(C45="Curandeiro 1", SUMIF(C45,Habilidades!$A$28,D45) * SUMIF(C45,Habilidades!$A$28,Habilidades!$B$28), if(C45="Curandeiro 2", SUMIF(C45,Habilidades!$A$29,D45) * SUMIF(C45,Habilidades!$A$29,Habilidades!$B$29), if(C45="Curandeiro 3", SUMIF(C45,Habilidades!$A$30,D45) * SUMIF(C45,Habilidades!$A$30,Habilidades!$B$30), if(C45="Sortudo 1", SUMIF(C45,Habilidades!$A$31,D45) * SUMIF(C45,Habilidades!$A$31,Habilidades!$B$31), if(C45="Sortudo 2", SUMIF(C45,Habilidades!$A$32,D45) * SUMIF(C45,Habilidades!$A$32,Habilidades!$B$32), if(C45="Sortudo 3", SUMIF(C45,Habilidades!$A$33,D45) * SUMIF(C45,Habilidades!$A$33,Habilidades!$B$33), if(C45="Protetor 1", SUMIF(C45,Habilidades!$A$34,D45) * SUMIF(C45,Habilidades!$A$34,Habilidades!$B$34), if(C45="Protetor 2", SUMIF(C45,Habilidades!$A$35,D45) * SUMIF(C45,Habilidades!$A$35,Habilidades!$B$35), if(C45="Protetor 3", SUMIF(C45,Habilidades!$A$36,D45) * SUMIF(C45,Habilidades!$A$36,Habilidades!$B$36), if(C45="Engenhoso 1", SUMIF(C45,Habilidades!$A$40,D45) * SUMIF(C45,Habilidades!$A$40,Habilidades!$B$40), if(C45="Engenhoso 2", SUMIF(C45,Habilidades!$A$41,D45) * SUMIF(C45,Habilidades!$A$41,Habilidades!$B$41), if(C45="Engenhoso 3", SUMIF(C45,Habilidades!$A$42,D45) * SUMIF(C45,Habilidades!$A$42,Habilidades!$B$42), if(C45="Reviver 1", SUMIF(C45,Habilidades!$A$43,D45) * SUMIF(C45,Habilidades!$A$43,Habilidades!$B$43), if(C45="Reviver 2", SUMIF(C45,Habilidades!$A$44,D45) * SUMIF(C45,Habilidades!$A$44,Habilidades!$B$44), if(C45="Reviver 3", SUMIF(C45,Habilidades!$A$45,D45) * SUMIF(C45,Habilidades!$A$45,Habilidades!$B$45), if(C45="Catador 1", SUMIF(C45,Habilidades!$A$46,D45) * SUMIF(C45,Habilidades!$A$46,Habilidades!$B$46), if(C45="Catador 2", SUMIF(C45,Habilidades!$A$47,D45) * SUMIF(C45,Habilidades!$A$47,Habilidades!$B$47), if(C45="Catador 3", SUMIF(C45,Habilidades!$A$48,D45) * SUMIF(C45,Habilidades!$A$48,Habilidades!$B$48), if(C45="Fornecedor 1", SUMIF(C45,Habilidades!$A$49,D45) * SUMIF(C45,Habilidades!$A$49,Habilidades!$B$49), if(C45="Fornecedor 2", SUMIF(C45,Habilidades!$A$50,D45) * SUMIF(C45,Habilidades!$A$50,Habilidades!$B$50), if(C45="Fornecedor 3", SUMIF(C45,Habilidades!$A$51,D45) * SUMIF(C45,Habilidades!$A$51,Habilidades!$B$51), if(C45="Suporte 1", SUMIF(C45,Habilidades!$A$52,D45) * SUMIF(C45,Habilidades!$A$52,Habilidades!$B$52), if(C45="Suporte 2", SUMIF(C45,Habilidades!$A$53,D45) * SUMIF(C45,Habilidades!$A$53,Habilidades!$B$53), if(C45="Suporte 3", SUMIF(C45,Habilidades!$A$54,D45) * SUMIF(C45,Habilidades!$A$54,Habilidades!$B$54), if(C45="Caça-tesouros 1", SUMIF(C45,Habilidades!$A$55,D45) * SUMIF(C45,Habilidades!$A$55,Habilidades!$B$55), if(C45="Caça-tesouros 2", SUMIF(C45,Habilidades!$A$56,D45) * SUMIF(C45,Habilidades!$A$56,Habilidades!$B$56), if(C45="Caça-tesouros 3", SUMIF(C45,Habilidades!$A$57,D45) * SUMIF(C45,Habilidades!$A$57,Habilidades!$B$57), if(C45="Velocista 1", SUMIF(C45,Habilidades!$A$77,D45) * SUMIF(C45,Habilidades!$A$77,Habilidades!$B$77), if(C45="Velocista 2", SUMIF(C45,Habilidades!$A$78,D45) * SUMIF(C45,Habilidades!$A$78,Habilidades!$B$78), if(C45="Velocista 3", SUMIF(C45,Habilidades!$A$79,D45) * SUMIF(C45,Habilidades!$A$79,Habilidades!$B$79), "-"))))))))))))))))))))))))))))))))))))))</f>
        <v>-</v>
      </c>
      <c r="F45" s="110"/>
      <c r="G45" s="110"/>
      <c r="H45" s="110"/>
      <c r="I45" s="110"/>
      <c r="J45" s="110"/>
      <c r="K45" s="110"/>
      <c r="L45" s="110"/>
      <c r="M45" s="110"/>
      <c r="N45" s="110"/>
    </row>
    <row r="46">
      <c r="C46" s="142"/>
      <c r="D46" s="129">
        <f t="shared" si="2"/>
        <v>0</v>
      </c>
      <c r="E46" s="130" t="str">
        <f>if(C46="Detectar Segredo", SUMIF(C46,Habilidades!$A$11,D46) * SUMIF(C46,Habilidades!$A$11,Habilidades!$B$11), if(C46="Encontrar mágica", SUMIF(C46,Habilidades!$A$12,D46) * SUMIF(C46,Habilidades!$A$12,Habilidades!$B$12), if(C46="Cuidadoso 1", SUMIF(C46,Habilidades!$A$22,D46) * SUMIF(C46,Habilidades!$A$22,Habilidades!$B$22), if(C46="Cuidadoso 2", SUMIF(C46,Habilidades!$A$23,D60) * SUMIF(C46,Habilidades!$A$23,Habilidades!$B$23), if(C46="Cuidadoso 3", SUMIF(C46,Habilidades!$A$24,D46) * SUMIF(C46,Habilidades!$A$24,Habilidades!$B$24), if(C46="Ganancioso 1", SUMIF(C46,Habilidades!$A$25,D46) * SUMIF(C46,Habilidades!$A$25,Habilidades!$B$25), if(C46="Ganancioso 2", SUMIF(C46,Habilidades!$A$26,D46) * SUMIF(C46,Habilidades!$A$26,Habilidades!$B$26), if(C46="Ganancioso 3", SUMIF(C46,Habilidades!$A$27,D46) * SUMIF(C46,Habilidades!$A$27,Habilidades!$B$27), if(C46="Curandeiro 1", SUMIF(C46,Habilidades!$A$28,D46) * SUMIF(C46,Habilidades!$A$28,Habilidades!$B$28), if(C46="Curandeiro 2", SUMIF(C46,Habilidades!$A$29,D46) * SUMIF(C46,Habilidades!$A$29,Habilidades!$B$29), if(C46="Curandeiro 3", SUMIF(C46,Habilidades!$A$30,D46) * SUMIF(C46,Habilidades!$A$30,Habilidades!$B$30), if(C46="Sortudo 1", SUMIF(C46,Habilidades!$A$31,D46) * SUMIF(C46,Habilidades!$A$31,Habilidades!$B$31), if(C46="Sortudo 2", SUMIF(C46,Habilidades!$A$32,D46) * SUMIF(C46,Habilidades!$A$32,Habilidades!$B$32), if(C46="Sortudo 3", SUMIF(C46,Habilidades!$A$33,D46) * SUMIF(C46,Habilidades!$A$33,Habilidades!$B$33), if(C46="Protetor 1", SUMIF(C46,Habilidades!$A$34,D46) * SUMIF(C46,Habilidades!$A$34,Habilidades!$B$34), if(C46="Protetor 2", SUMIF(C46,Habilidades!$A$35,D46) * SUMIF(C46,Habilidades!$A$35,Habilidades!$B$35), if(C46="Protetor 3", SUMIF(C46,Habilidades!$A$36,D46) * SUMIF(C46,Habilidades!$A$36,Habilidades!$B$36), if(C46="Engenhoso 1", SUMIF(C46,Habilidades!$A$40,D46) * SUMIF(C46,Habilidades!$A$40,Habilidades!$B$40), if(C46="Engenhoso 2", SUMIF(C46,Habilidades!$A$41,D46) * SUMIF(C46,Habilidades!$A$41,Habilidades!$B$41), if(C46="Engenhoso 3", SUMIF(C46,Habilidades!$A$42,D46) * SUMIF(C46,Habilidades!$A$42,Habilidades!$B$42), if(C46="Reviver 1", SUMIF(C46,Habilidades!$A$43,D46) * SUMIF(C46,Habilidades!$A$43,Habilidades!$B$43), if(C46="Reviver 2", SUMIF(C46,Habilidades!$A$44,D46) * SUMIF(C46,Habilidades!$A$44,Habilidades!$B$44), if(C46="Reviver 3", SUMIF(C46,Habilidades!$A$45,D46) * SUMIF(C46,Habilidades!$A$45,Habilidades!$B$45), if(C46="Catador 1", SUMIF(C46,Habilidades!$A$46,D46) * SUMIF(C46,Habilidades!$A$46,Habilidades!$B$46), if(C46="Catador 2", SUMIF(C46,Habilidades!$A$47,D46) * SUMIF(C46,Habilidades!$A$47,Habilidades!$B$47), if(C46="Catador 3", SUMIF(C46,Habilidades!$A$48,D46) * SUMIF(C46,Habilidades!$A$48,Habilidades!$B$48), if(C46="Fornecedor 1", SUMIF(C46,Habilidades!$A$49,D46) * SUMIF(C46,Habilidades!$A$49,Habilidades!$B$49), if(C46="Fornecedor 2", SUMIF(C46,Habilidades!$A$50,D46) * SUMIF(C46,Habilidades!$A$50,Habilidades!$B$50), if(C46="Fornecedor 3", SUMIF(C46,Habilidades!$A$51,D46) * SUMIF(C46,Habilidades!$A$51,Habilidades!$B$51), if(C46="Suporte 1", SUMIF(C46,Habilidades!$A$52,D46) * SUMIF(C46,Habilidades!$A$52,Habilidades!$B$52), if(C46="Suporte 2", SUMIF(C46,Habilidades!$A$53,D46) * SUMIF(C46,Habilidades!$A$53,Habilidades!$B$53), if(C46="Suporte 3", SUMIF(C46,Habilidades!$A$54,D46) * SUMIF(C46,Habilidades!$A$54,Habilidades!$B$54), if(C46="Caça-tesouros 1", SUMIF(C46,Habilidades!$A$55,D46) * SUMIF(C46,Habilidades!$A$55,Habilidades!$B$55), if(C46="Caça-tesouros 2", SUMIF(C46,Habilidades!$A$56,D46) * SUMIF(C46,Habilidades!$A$56,Habilidades!$B$56), if(C46="Caça-tesouros 3", SUMIF(C46,Habilidades!$A$57,D46) * SUMIF(C46,Habilidades!$A$57,Habilidades!$B$57), if(C46="Velocista 1", SUMIF(C46,Habilidades!$A$77,D46) * SUMIF(C46,Habilidades!$A$77,Habilidades!$B$77), if(C46="Velocista 2", SUMIF(C46,Habilidades!$A$78,D46) * SUMIF(C46,Habilidades!$A$78,Habilidades!$B$78), if(C46="Velocista 3", SUMIF(C46,Habilidades!$A$79,D46) * SUMIF(C46,Habilidades!$A$79,Habilidades!$B$79), "-"))))))))))))))))))))))))))))))))))))))</f>
        <v>-</v>
      </c>
      <c r="F46" s="110"/>
      <c r="G46" s="110"/>
      <c r="H46" s="110"/>
      <c r="I46" s="110"/>
      <c r="J46" s="110"/>
      <c r="K46" s="110"/>
      <c r="L46" s="110"/>
      <c r="M46" s="110"/>
      <c r="N46" s="110"/>
    </row>
    <row r="47">
      <c r="C47" s="142"/>
      <c r="D47" s="129">
        <f t="shared" si="2"/>
        <v>0</v>
      </c>
      <c r="E47" s="130" t="str">
        <f>if(C47="Detectar Segredo", SUMIF(C47,Habilidades!$A$11,D47) * SUMIF(C47,Habilidades!$A$11,Habilidades!$B$11), if(C47="Encontrar mágica", SUMIF(C47,Habilidades!$A$12,D47) * SUMIF(C47,Habilidades!$A$12,Habilidades!$B$12), if(C47="Cuidadoso 1", SUMIF(C47,Habilidades!$A$22,D47) * SUMIF(C47,Habilidades!$A$22,Habilidades!$B$22), if(C47="Cuidadoso 2", SUMIF(C47,Habilidades!$A$23,D61) * SUMIF(C47,Habilidades!$A$23,Habilidades!$B$23), if(C47="Cuidadoso 3", SUMIF(C47,Habilidades!$A$24,D47) * SUMIF(C47,Habilidades!$A$24,Habilidades!$B$24), if(C47="Ganancioso 1", SUMIF(C47,Habilidades!$A$25,D47) * SUMIF(C47,Habilidades!$A$25,Habilidades!$B$25), if(C47="Ganancioso 2", SUMIF(C47,Habilidades!$A$26,D47) * SUMIF(C47,Habilidades!$A$26,Habilidades!$B$26), if(C47="Ganancioso 3", SUMIF(C47,Habilidades!$A$27,D47) * SUMIF(C47,Habilidades!$A$27,Habilidades!$B$27), if(C47="Curandeiro 1", SUMIF(C47,Habilidades!$A$28,D47) * SUMIF(C47,Habilidades!$A$28,Habilidades!$B$28), if(C47="Curandeiro 2", SUMIF(C47,Habilidades!$A$29,D47) * SUMIF(C47,Habilidades!$A$29,Habilidades!$B$29), if(C47="Curandeiro 3", SUMIF(C47,Habilidades!$A$30,D47) * SUMIF(C47,Habilidades!$A$30,Habilidades!$B$30), if(C47="Sortudo 1", SUMIF(C47,Habilidades!$A$31,D47) * SUMIF(C47,Habilidades!$A$31,Habilidades!$B$31), if(C47="Sortudo 2", SUMIF(C47,Habilidades!$A$32,D47) * SUMIF(C47,Habilidades!$A$32,Habilidades!$B$32), if(C47="Sortudo 3", SUMIF(C47,Habilidades!$A$33,D47) * SUMIF(C47,Habilidades!$A$33,Habilidades!$B$33), if(C47="Protetor 1", SUMIF(C47,Habilidades!$A$34,D47) * SUMIF(C47,Habilidades!$A$34,Habilidades!$B$34), if(C47="Protetor 2", SUMIF(C47,Habilidades!$A$35,D47) * SUMIF(C47,Habilidades!$A$35,Habilidades!$B$35), if(C47="Protetor 3", SUMIF(C47,Habilidades!$A$36,D47) * SUMIF(C47,Habilidades!$A$36,Habilidades!$B$36), if(C47="Engenhoso 1", SUMIF(C47,Habilidades!$A$40,D47) * SUMIF(C47,Habilidades!$A$40,Habilidades!$B$40), if(C47="Engenhoso 2", SUMIF(C47,Habilidades!$A$41,D47) * SUMIF(C47,Habilidades!$A$41,Habilidades!$B$41), if(C47="Engenhoso 3", SUMIF(C47,Habilidades!$A$42,D47) * SUMIF(C47,Habilidades!$A$42,Habilidades!$B$42), if(C47="Reviver 1", SUMIF(C47,Habilidades!$A$43,D47) * SUMIF(C47,Habilidades!$A$43,Habilidades!$B$43), if(C47="Reviver 2", SUMIF(C47,Habilidades!$A$44,D47) * SUMIF(C47,Habilidades!$A$44,Habilidades!$B$44), if(C47="Reviver 3", SUMIF(C47,Habilidades!$A$45,D47) * SUMIF(C47,Habilidades!$A$45,Habilidades!$B$45), if(C47="Catador 1", SUMIF(C47,Habilidades!$A$46,D47) * SUMIF(C47,Habilidades!$A$46,Habilidades!$B$46), if(C47="Catador 2", SUMIF(C47,Habilidades!$A$47,D47) * SUMIF(C47,Habilidades!$A$47,Habilidades!$B$47), if(C47="Catador 3", SUMIF(C47,Habilidades!$A$48,D47) * SUMIF(C47,Habilidades!$A$48,Habilidades!$B$48), if(C47="Fornecedor 1", SUMIF(C47,Habilidades!$A$49,D47) * SUMIF(C47,Habilidades!$A$49,Habilidades!$B$49), if(C47="Fornecedor 2", SUMIF(C47,Habilidades!$A$50,D47) * SUMIF(C47,Habilidades!$A$50,Habilidades!$B$50), if(C47="Fornecedor 3", SUMIF(C47,Habilidades!$A$51,D47) * SUMIF(C47,Habilidades!$A$51,Habilidades!$B$51), if(C47="Suporte 1", SUMIF(C47,Habilidades!$A$52,D47) * SUMIF(C47,Habilidades!$A$52,Habilidades!$B$52), if(C47="Suporte 2", SUMIF(C47,Habilidades!$A$53,D47) * SUMIF(C47,Habilidades!$A$53,Habilidades!$B$53), if(C47="Suporte 3", SUMIF(C47,Habilidades!$A$54,D47) * SUMIF(C47,Habilidades!$A$54,Habilidades!$B$54), if(C47="Caça-tesouros 1", SUMIF(C47,Habilidades!$A$55,D47) * SUMIF(C47,Habilidades!$A$55,Habilidades!$B$55), if(C47="Caça-tesouros 2", SUMIF(C47,Habilidades!$A$56,D47) * SUMIF(C47,Habilidades!$A$56,Habilidades!$B$56), if(C47="Caça-tesouros 3", SUMIF(C47,Habilidades!$A$57,D47) * SUMIF(C47,Habilidades!$A$57,Habilidades!$B$57), if(C47="Velocista 1", SUMIF(C47,Habilidades!$A$77,D47) * SUMIF(C47,Habilidades!$A$77,Habilidades!$B$77), if(C47="Velocista 2", SUMIF(C47,Habilidades!$A$78,D47) * SUMIF(C47,Habilidades!$A$78,Habilidades!$B$78), if(C47="Velocista 3", SUMIF(C47,Habilidades!$A$79,D47) * SUMIF(C47,Habilidades!$A$79,Habilidades!$B$79), "-"))))))))))))))))))))))))))))))))))))))</f>
        <v>-</v>
      </c>
      <c r="F47" s="110"/>
      <c r="G47" s="110"/>
      <c r="H47" s="110"/>
      <c r="I47" s="110"/>
      <c r="J47" s="110"/>
      <c r="K47" s="110"/>
      <c r="L47" s="110"/>
      <c r="M47" s="110"/>
      <c r="N47" s="110"/>
    </row>
    <row r="48">
      <c r="C48" s="142"/>
      <c r="D48" s="129">
        <f t="shared" si="2"/>
        <v>0</v>
      </c>
      <c r="E48" s="130" t="str">
        <f>if(C48="Detectar Segredo", SUMIF(C48,Habilidades!$A$11,D48) * SUMIF(C48,Habilidades!$A$11,Habilidades!$B$11), if(C48="Encontrar mágica", SUMIF(C48,Habilidades!$A$12,D48) * SUMIF(C48,Habilidades!$A$12,Habilidades!$B$12), if(C48="Cuidadoso 1", SUMIF(C48,Habilidades!$A$22,D48) * SUMIF(C48,Habilidades!$A$22,Habilidades!$B$22), if(C48="Cuidadoso 2", SUMIF(C48,Habilidades!$A$23,D62) * SUMIF(C48,Habilidades!$A$23,Habilidades!$B$23), if(C48="Cuidadoso 3", SUMIF(C48,Habilidades!$A$24,D48) * SUMIF(C48,Habilidades!$A$24,Habilidades!$B$24), if(C48="Ganancioso 1", SUMIF(C48,Habilidades!$A$25,D48) * SUMIF(C48,Habilidades!$A$25,Habilidades!$B$25), if(C48="Ganancioso 2", SUMIF(C48,Habilidades!$A$26,D48) * SUMIF(C48,Habilidades!$A$26,Habilidades!$B$26), if(C48="Ganancioso 3", SUMIF(C48,Habilidades!$A$27,D48) * SUMIF(C48,Habilidades!$A$27,Habilidades!$B$27), if(C48="Curandeiro 1", SUMIF(C48,Habilidades!$A$28,D48) * SUMIF(C48,Habilidades!$A$28,Habilidades!$B$28), if(C48="Curandeiro 2", SUMIF(C48,Habilidades!$A$29,D48) * SUMIF(C48,Habilidades!$A$29,Habilidades!$B$29), if(C48="Curandeiro 3", SUMIF(C48,Habilidades!$A$30,D48) * SUMIF(C48,Habilidades!$A$30,Habilidades!$B$30), if(C48="Sortudo 1", SUMIF(C48,Habilidades!$A$31,D48) * SUMIF(C48,Habilidades!$A$31,Habilidades!$B$31), if(C48="Sortudo 2", SUMIF(C48,Habilidades!$A$32,D48) * SUMIF(C48,Habilidades!$A$32,Habilidades!$B$32), if(C48="Sortudo 3", SUMIF(C48,Habilidades!$A$33,D48) * SUMIF(C48,Habilidades!$A$33,Habilidades!$B$33), if(C48="Protetor 1", SUMIF(C48,Habilidades!$A$34,D48) * SUMIF(C48,Habilidades!$A$34,Habilidades!$B$34), if(C48="Protetor 2", SUMIF(C48,Habilidades!$A$35,D48) * SUMIF(C48,Habilidades!$A$35,Habilidades!$B$35), if(C48="Protetor 3", SUMIF(C48,Habilidades!$A$36,D48) * SUMIF(C48,Habilidades!$A$36,Habilidades!$B$36), if(C48="Engenhoso 1", SUMIF(C48,Habilidades!$A$40,D48) * SUMIF(C48,Habilidades!$A$40,Habilidades!$B$40), if(C48="Engenhoso 2", SUMIF(C48,Habilidades!$A$41,D48) * SUMIF(C48,Habilidades!$A$41,Habilidades!$B$41), if(C48="Engenhoso 3", SUMIF(C48,Habilidades!$A$42,D48) * SUMIF(C48,Habilidades!$A$42,Habilidades!$B$42), if(C48="Reviver 1", SUMIF(C48,Habilidades!$A$43,D48) * SUMIF(C48,Habilidades!$A$43,Habilidades!$B$43), if(C48="Reviver 2", SUMIF(C48,Habilidades!$A$44,D48) * SUMIF(C48,Habilidades!$A$44,Habilidades!$B$44), if(C48="Reviver 3", SUMIF(C48,Habilidades!$A$45,D48) * SUMIF(C48,Habilidades!$A$45,Habilidades!$B$45), if(C48="Catador 1", SUMIF(C48,Habilidades!$A$46,D48) * SUMIF(C48,Habilidades!$A$46,Habilidades!$B$46), if(C48="Catador 2", SUMIF(C48,Habilidades!$A$47,D48) * SUMIF(C48,Habilidades!$A$47,Habilidades!$B$47), if(C48="Catador 3", SUMIF(C48,Habilidades!$A$48,D48) * SUMIF(C48,Habilidades!$A$48,Habilidades!$B$48), if(C48="Fornecedor 1", SUMIF(C48,Habilidades!$A$49,D48) * SUMIF(C48,Habilidades!$A$49,Habilidades!$B$49), if(C48="Fornecedor 2", SUMIF(C48,Habilidades!$A$50,D48) * SUMIF(C48,Habilidades!$A$50,Habilidades!$B$50), if(C48="Fornecedor 3", SUMIF(C48,Habilidades!$A$51,D48) * SUMIF(C48,Habilidades!$A$51,Habilidades!$B$51), if(C48="Suporte 1", SUMIF(C48,Habilidades!$A$52,D48) * SUMIF(C48,Habilidades!$A$52,Habilidades!$B$52), if(C48="Suporte 2", SUMIF(C48,Habilidades!$A$53,D48) * SUMIF(C48,Habilidades!$A$53,Habilidades!$B$53), if(C48="Suporte 3", SUMIF(C48,Habilidades!$A$54,D48) * SUMIF(C48,Habilidades!$A$54,Habilidades!$B$54), if(C48="Caça-tesouros 1", SUMIF(C48,Habilidades!$A$55,D48) * SUMIF(C48,Habilidades!$A$55,Habilidades!$B$55), if(C48="Caça-tesouros 2", SUMIF(C48,Habilidades!$A$56,D48) * SUMIF(C48,Habilidades!$A$56,Habilidades!$B$56), if(C48="Caça-tesouros 3", SUMIF(C48,Habilidades!$A$57,D48) * SUMIF(C48,Habilidades!$A$57,Habilidades!$B$57), if(C48="Velocista 1", SUMIF(C48,Habilidades!$A$77,D48) * SUMIF(C48,Habilidades!$A$77,Habilidades!$B$77), if(C48="Velocista 2", SUMIF(C48,Habilidades!$A$78,D48) * SUMIF(C48,Habilidades!$A$78,Habilidades!$B$78), if(C48="Velocista 3", SUMIF(C48,Habilidades!$A$79,D48) * SUMIF(C48,Habilidades!$A$79,Habilidades!$B$79), "-"))))))))))))))))))))))))))))))))))))))</f>
        <v>-</v>
      </c>
      <c r="F48" s="110"/>
      <c r="G48" s="110"/>
      <c r="H48" s="110"/>
      <c r="I48" s="110"/>
      <c r="J48" s="110"/>
      <c r="K48" s="110"/>
      <c r="L48" s="110"/>
      <c r="M48" s="110"/>
      <c r="N48" s="110"/>
    </row>
    <row r="49">
      <c r="C49" s="142"/>
      <c r="D49" s="129">
        <f t="shared" si="2"/>
        <v>0</v>
      </c>
      <c r="E49" s="130" t="str">
        <f>if(C49="Detectar Segredo", SUMIF(C49,Habilidades!$A$11,D49) * SUMIF(C49,Habilidades!$A$11,Habilidades!$B$11), if(C49="Encontrar mágica", SUMIF(C49,Habilidades!$A$12,D49) * SUMIF(C49,Habilidades!$A$12,Habilidades!$B$12), if(C49="Cuidadoso 1", SUMIF(C49,Habilidades!$A$22,D49) * SUMIF(C49,Habilidades!$A$22,Habilidades!$B$22), if(C49="Cuidadoso 2", SUMIF(C49,Habilidades!$A$23,D63) * SUMIF(C49,Habilidades!$A$23,Habilidades!$B$23), if(C49="Cuidadoso 3", SUMIF(C49,Habilidades!$A$24,D49) * SUMIF(C49,Habilidades!$A$24,Habilidades!$B$24), if(C49="Ganancioso 1", SUMIF(C49,Habilidades!$A$25,D49) * SUMIF(C49,Habilidades!$A$25,Habilidades!$B$25), if(C49="Ganancioso 2", SUMIF(C49,Habilidades!$A$26,D49) * SUMIF(C49,Habilidades!$A$26,Habilidades!$B$26), if(C49="Ganancioso 3", SUMIF(C49,Habilidades!$A$27,D49) * SUMIF(C49,Habilidades!$A$27,Habilidades!$B$27), if(C49="Curandeiro 1", SUMIF(C49,Habilidades!$A$28,D49) * SUMIF(C49,Habilidades!$A$28,Habilidades!$B$28), if(C49="Curandeiro 2", SUMIF(C49,Habilidades!$A$29,D49) * SUMIF(C49,Habilidades!$A$29,Habilidades!$B$29), if(C49="Curandeiro 3", SUMIF(C49,Habilidades!$A$30,D49) * SUMIF(C49,Habilidades!$A$30,Habilidades!$B$30), if(C49="Sortudo 1", SUMIF(C49,Habilidades!$A$31,D49) * SUMIF(C49,Habilidades!$A$31,Habilidades!$B$31), if(C49="Sortudo 2", SUMIF(C49,Habilidades!$A$32,D49) * SUMIF(C49,Habilidades!$A$32,Habilidades!$B$32), if(C49="Sortudo 3", SUMIF(C49,Habilidades!$A$33,D49) * SUMIF(C49,Habilidades!$A$33,Habilidades!$B$33), if(C49="Protetor 1", SUMIF(C49,Habilidades!$A$34,D49) * SUMIF(C49,Habilidades!$A$34,Habilidades!$B$34), if(C49="Protetor 2", SUMIF(C49,Habilidades!$A$35,D49) * SUMIF(C49,Habilidades!$A$35,Habilidades!$B$35), if(C49="Protetor 3", SUMIF(C49,Habilidades!$A$36,D49) * SUMIF(C49,Habilidades!$A$36,Habilidades!$B$36), if(C49="Engenhoso 1", SUMIF(C49,Habilidades!$A$40,D49) * SUMIF(C49,Habilidades!$A$40,Habilidades!$B$40), if(C49="Engenhoso 2", SUMIF(C49,Habilidades!$A$41,D49) * SUMIF(C49,Habilidades!$A$41,Habilidades!$B$41), if(C49="Engenhoso 3", SUMIF(C49,Habilidades!$A$42,D49) * SUMIF(C49,Habilidades!$A$42,Habilidades!$B$42), if(C49="Reviver 1", SUMIF(C49,Habilidades!$A$43,D49) * SUMIF(C49,Habilidades!$A$43,Habilidades!$B$43), if(C49="Reviver 2", SUMIF(C49,Habilidades!$A$44,D49) * SUMIF(C49,Habilidades!$A$44,Habilidades!$B$44), if(C49="Reviver 3", SUMIF(C49,Habilidades!$A$45,D49) * SUMIF(C49,Habilidades!$A$45,Habilidades!$B$45), if(C49="Catador 1", SUMIF(C49,Habilidades!$A$46,D49) * SUMIF(C49,Habilidades!$A$46,Habilidades!$B$46), if(C49="Catador 2", SUMIF(C49,Habilidades!$A$47,D49) * SUMIF(C49,Habilidades!$A$47,Habilidades!$B$47), if(C49="Catador 3", SUMIF(C49,Habilidades!$A$48,D49) * SUMIF(C49,Habilidades!$A$48,Habilidades!$B$48), if(C49="Fornecedor 1", SUMIF(C49,Habilidades!$A$49,D49) * SUMIF(C49,Habilidades!$A$49,Habilidades!$B$49), if(C49="Fornecedor 2", SUMIF(C49,Habilidades!$A$50,D49) * SUMIF(C49,Habilidades!$A$50,Habilidades!$B$50), if(C49="Fornecedor 3", SUMIF(C49,Habilidades!$A$51,D49) * SUMIF(C49,Habilidades!$A$51,Habilidades!$B$51), if(C49="Suporte 1", SUMIF(C49,Habilidades!$A$52,D49) * SUMIF(C49,Habilidades!$A$52,Habilidades!$B$52), if(C49="Suporte 2", SUMIF(C49,Habilidades!$A$53,D49) * SUMIF(C49,Habilidades!$A$53,Habilidades!$B$53), if(C49="Suporte 3", SUMIF(C49,Habilidades!$A$54,D49) * SUMIF(C49,Habilidades!$A$54,Habilidades!$B$54), if(C49="Caça-tesouros 1", SUMIF(C49,Habilidades!$A$55,D49) * SUMIF(C49,Habilidades!$A$55,Habilidades!$B$55), if(C49="Caça-tesouros 2", SUMIF(C49,Habilidades!$A$56,D49) * SUMIF(C49,Habilidades!$A$56,Habilidades!$B$56), if(C49="Caça-tesouros 3", SUMIF(C49,Habilidades!$A$57,D49) * SUMIF(C49,Habilidades!$A$57,Habilidades!$B$57), if(C49="Velocista 1", SUMIF(C49,Habilidades!$A$77,D49) * SUMIF(C49,Habilidades!$A$77,Habilidades!$B$77), if(C49="Velocista 2", SUMIF(C49,Habilidades!$A$78,D49) * SUMIF(C49,Habilidades!$A$78,Habilidades!$B$78), if(C49="Velocista 3", SUMIF(C49,Habilidades!$A$79,D49) * SUMIF(C49,Habilidades!$A$79,Habilidades!$B$79), "-"))))))))))))))))))))))))))))))))))))))</f>
        <v>-</v>
      </c>
      <c r="F49" s="110"/>
      <c r="G49" s="110"/>
      <c r="H49" s="110"/>
      <c r="I49" s="110"/>
      <c r="J49" s="110"/>
      <c r="K49" s="110"/>
      <c r="L49" s="110"/>
      <c r="M49" s="110"/>
      <c r="N49" s="110"/>
    </row>
    <row r="50">
      <c r="C50" s="142"/>
      <c r="D50" s="129">
        <f t="shared" si="2"/>
        <v>0</v>
      </c>
      <c r="E50" s="130" t="str">
        <f>if(C50="Detectar Segredo", SUMIF(C50,Habilidades!$A$11,D50) * SUMIF(C50,Habilidades!$A$11,Habilidades!$B$11), if(C50="Encontrar mágica", SUMIF(C50,Habilidades!$A$12,D50) * SUMIF(C50,Habilidades!$A$12,Habilidades!$B$12), if(C50="Cuidadoso 1", SUMIF(C50,Habilidades!$A$22,D50) * SUMIF(C50,Habilidades!$A$22,Habilidades!$B$22), if(C50="Cuidadoso 2", SUMIF(C50,Habilidades!$A$23,D64) * SUMIF(C50,Habilidades!$A$23,Habilidades!$B$23), if(C50="Cuidadoso 3", SUMIF(C50,Habilidades!$A$24,D50) * SUMIF(C50,Habilidades!$A$24,Habilidades!$B$24), if(C50="Ganancioso 1", SUMIF(C50,Habilidades!$A$25,D50) * SUMIF(C50,Habilidades!$A$25,Habilidades!$B$25), if(C50="Ganancioso 2", SUMIF(C50,Habilidades!$A$26,D50) * SUMIF(C50,Habilidades!$A$26,Habilidades!$B$26), if(C50="Ganancioso 3", SUMIF(C50,Habilidades!$A$27,D50) * SUMIF(C50,Habilidades!$A$27,Habilidades!$B$27), if(C50="Curandeiro 1", SUMIF(C50,Habilidades!$A$28,D50) * SUMIF(C50,Habilidades!$A$28,Habilidades!$B$28), if(C50="Curandeiro 2", SUMIF(C50,Habilidades!$A$29,D50) * SUMIF(C50,Habilidades!$A$29,Habilidades!$B$29), if(C50="Curandeiro 3", SUMIF(C50,Habilidades!$A$30,D50) * SUMIF(C50,Habilidades!$A$30,Habilidades!$B$30), if(C50="Sortudo 1", SUMIF(C50,Habilidades!$A$31,D50) * SUMIF(C50,Habilidades!$A$31,Habilidades!$B$31), if(C50="Sortudo 2", SUMIF(C50,Habilidades!$A$32,D50) * SUMIF(C50,Habilidades!$A$32,Habilidades!$B$32), if(C50="Sortudo 3", SUMIF(C50,Habilidades!$A$33,D50) * SUMIF(C50,Habilidades!$A$33,Habilidades!$B$33), if(C50="Protetor 1", SUMIF(C50,Habilidades!$A$34,D50) * SUMIF(C50,Habilidades!$A$34,Habilidades!$B$34), if(C50="Protetor 2", SUMIF(C50,Habilidades!$A$35,D50) * SUMIF(C50,Habilidades!$A$35,Habilidades!$B$35), if(C50="Protetor 3", SUMIF(C50,Habilidades!$A$36,D50) * SUMIF(C50,Habilidades!$A$36,Habilidades!$B$36), if(C50="Engenhoso 1", SUMIF(C50,Habilidades!$A$40,D50) * SUMIF(C50,Habilidades!$A$40,Habilidades!$B$40), if(C50="Engenhoso 2", SUMIF(C50,Habilidades!$A$41,D50) * SUMIF(C50,Habilidades!$A$41,Habilidades!$B$41), if(C50="Engenhoso 3", SUMIF(C50,Habilidades!$A$42,D50) * SUMIF(C50,Habilidades!$A$42,Habilidades!$B$42), if(C50="Reviver 1", SUMIF(C50,Habilidades!$A$43,D50) * SUMIF(C50,Habilidades!$A$43,Habilidades!$B$43), if(C50="Reviver 2", SUMIF(C50,Habilidades!$A$44,D50) * SUMIF(C50,Habilidades!$A$44,Habilidades!$B$44), if(C50="Reviver 3", SUMIF(C50,Habilidades!$A$45,D50) * SUMIF(C50,Habilidades!$A$45,Habilidades!$B$45), if(C50="Catador 1", SUMIF(C50,Habilidades!$A$46,D50) * SUMIF(C50,Habilidades!$A$46,Habilidades!$B$46), if(C50="Catador 2", SUMIF(C50,Habilidades!$A$47,D50) * SUMIF(C50,Habilidades!$A$47,Habilidades!$B$47), if(C50="Catador 3", SUMIF(C50,Habilidades!$A$48,D50) * SUMIF(C50,Habilidades!$A$48,Habilidades!$B$48), if(C50="Fornecedor 1", SUMIF(C50,Habilidades!$A$49,D50) * SUMIF(C50,Habilidades!$A$49,Habilidades!$B$49), if(C50="Fornecedor 2", SUMIF(C50,Habilidades!$A$50,D50) * SUMIF(C50,Habilidades!$A$50,Habilidades!$B$50), if(C50="Fornecedor 3", SUMIF(C50,Habilidades!$A$51,D50) * SUMIF(C50,Habilidades!$A$51,Habilidades!$B$51), if(C50="Suporte 1", SUMIF(C50,Habilidades!$A$52,D50) * SUMIF(C50,Habilidades!$A$52,Habilidades!$B$52), if(C50="Suporte 2", SUMIF(C50,Habilidades!$A$53,D50) * SUMIF(C50,Habilidades!$A$53,Habilidades!$B$53), if(C50="Suporte 3", SUMIF(C50,Habilidades!$A$54,D50) * SUMIF(C50,Habilidades!$A$54,Habilidades!$B$54), if(C50="Caça-tesouros 1", SUMIF(C50,Habilidades!$A$55,D50) * SUMIF(C50,Habilidades!$A$55,Habilidades!$B$55), if(C50="Caça-tesouros 2", SUMIF(C50,Habilidades!$A$56,D50) * SUMIF(C50,Habilidades!$A$56,Habilidades!$B$56), if(C50="Caça-tesouros 3", SUMIF(C50,Habilidades!$A$57,D50) * SUMIF(C50,Habilidades!$A$57,Habilidades!$B$57), if(C50="Velocista 1", SUMIF(C50,Habilidades!$A$77,D50) * SUMIF(C50,Habilidades!$A$77,Habilidades!$B$77), if(C50="Velocista 2", SUMIF(C50,Habilidades!$A$78,D50) * SUMIF(C50,Habilidades!$A$78,Habilidades!$B$78), if(C50="Velocista 3", SUMIF(C50,Habilidades!$A$79,D50) * SUMIF(C50,Habilidades!$A$79,Habilidades!$B$79), "-"))))))))))))))))))))))))))))))))))))))</f>
        <v>-</v>
      </c>
      <c r="F50" s="110"/>
      <c r="G50" s="110"/>
      <c r="H50" s="110"/>
      <c r="I50" s="110"/>
      <c r="J50" s="110"/>
      <c r="K50" s="110"/>
      <c r="L50" s="110"/>
      <c r="M50" s="110"/>
      <c r="N50" s="110"/>
    </row>
    <row r="51">
      <c r="C51" s="142"/>
      <c r="D51" s="129">
        <f t="shared" si="2"/>
        <v>0</v>
      </c>
      <c r="E51" s="130" t="str">
        <f>if(C51="Detectar Segredo", SUMIF(C51,Habilidades!$A$11,D51) * SUMIF(C51,Habilidades!$A$11,Habilidades!$B$11), if(C51="Encontrar mágica", SUMIF(C51,Habilidades!$A$12,D51) * SUMIF(C51,Habilidades!$A$12,Habilidades!$B$12), if(C51="Cuidadoso 1", SUMIF(C51,Habilidades!$A$22,D51) * SUMIF(C51,Habilidades!$A$22,Habilidades!$B$22), if(C51="Cuidadoso 2", SUMIF(C51,Habilidades!$A$23,D65) * SUMIF(C51,Habilidades!$A$23,Habilidades!$B$23), if(C51="Cuidadoso 3", SUMIF(C51,Habilidades!$A$24,D51) * SUMIF(C51,Habilidades!$A$24,Habilidades!$B$24), if(C51="Ganancioso 1", SUMIF(C51,Habilidades!$A$25,D51) * SUMIF(C51,Habilidades!$A$25,Habilidades!$B$25), if(C51="Ganancioso 2", SUMIF(C51,Habilidades!$A$26,D51) * SUMIF(C51,Habilidades!$A$26,Habilidades!$B$26), if(C51="Ganancioso 3", SUMIF(C51,Habilidades!$A$27,D51) * SUMIF(C51,Habilidades!$A$27,Habilidades!$B$27), if(C51="Curandeiro 1", SUMIF(C51,Habilidades!$A$28,D51) * SUMIF(C51,Habilidades!$A$28,Habilidades!$B$28), if(C51="Curandeiro 2", SUMIF(C51,Habilidades!$A$29,D51) * SUMIF(C51,Habilidades!$A$29,Habilidades!$B$29), if(C51="Curandeiro 3", SUMIF(C51,Habilidades!$A$30,D51) * SUMIF(C51,Habilidades!$A$30,Habilidades!$B$30), if(C51="Sortudo 1", SUMIF(C51,Habilidades!$A$31,D51) * SUMIF(C51,Habilidades!$A$31,Habilidades!$B$31), if(C51="Sortudo 2", SUMIF(C51,Habilidades!$A$32,D51) * SUMIF(C51,Habilidades!$A$32,Habilidades!$B$32), if(C51="Sortudo 3", SUMIF(C51,Habilidades!$A$33,D51) * SUMIF(C51,Habilidades!$A$33,Habilidades!$B$33), if(C51="Protetor 1", SUMIF(C51,Habilidades!$A$34,D51) * SUMIF(C51,Habilidades!$A$34,Habilidades!$B$34), if(C51="Protetor 2", SUMIF(C51,Habilidades!$A$35,D51) * SUMIF(C51,Habilidades!$A$35,Habilidades!$B$35), if(C51="Protetor 3", SUMIF(C51,Habilidades!$A$36,D51) * SUMIF(C51,Habilidades!$A$36,Habilidades!$B$36), if(C51="Engenhoso 1", SUMIF(C51,Habilidades!$A$40,D51) * SUMIF(C51,Habilidades!$A$40,Habilidades!$B$40), if(C51="Engenhoso 2", SUMIF(C51,Habilidades!$A$41,D51) * SUMIF(C51,Habilidades!$A$41,Habilidades!$B$41), if(C51="Engenhoso 3", SUMIF(C51,Habilidades!$A$42,D51) * SUMIF(C51,Habilidades!$A$42,Habilidades!$B$42), if(C51="Reviver 1", SUMIF(C51,Habilidades!$A$43,D51) * SUMIF(C51,Habilidades!$A$43,Habilidades!$B$43), if(C51="Reviver 2", SUMIF(C51,Habilidades!$A$44,D51) * SUMIF(C51,Habilidades!$A$44,Habilidades!$B$44), if(C51="Reviver 3", SUMIF(C51,Habilidades!$A$45,D51) * SUMIF(C51,Habilidades!$A$45,Habilidades!$B$45), if(C51="Catador 1", SUMIF(C51,Habilidades!$A$46,D51) * SUMIF(C51,Habilidades!$A$46,Habilidades!$B$46), if(C51="Catador 2", SUMIF(C51,Habilidades!$A$47,D51) * SUMIF(C51,Habilidades!$A$47,Habilidades!$B$47), if(C51="Catador 3", SUMIF(C51,Habilidades!$A$48,D51) * SUMIF(C51,Habilidades!$A$48,Habilidades!$B$48), if(C51="Fornecedor 1", SUMIF(C51,Habilidades!$A$49,D51) * SUMIF(C51,Habilidades!$A$49,Habilidades!$B$49), if(C51="Fornecedor 2", SUMIF(C51,Habilidades!$A$50,D51) * SUMIF(C51,Habilidades!$A$50,Habilidades!$B$50), if(C51="Fornecedor 3", SUMIF(C51,Habilidades!$A$51,D51) * SUMIF(C51,Habilidades!$A$51,Habilidades!$B$51), if(C51="Suporte 1", SUMIF(C51,Habilidades!$A$52,D51) * SUMIF(C51,Habilidades!$A$52,Habilidades!$B$52), if(C51="Suporte 2", SUMIF(C51,Habilidades!$A$53,D51) * SUMIF(C51,Habilidades!$A$53,Habilidades!$B$53), if(C51="Suporte 3", SUMIF(C51,Habilidades!$A$54,D51) * SUMIF(C51,Habilidades!$A$54,Habilidades!$B$54), if(C51="Caça-tesouros 1", SUMIF(C51,Habilidades!$A$55,D51) * SUMIF(C51,Habilidades!$A$55,Habilidades!$B$55), if(C51="Caça-tesouros 2", SUMIF(C51,Habilidades!$A$56,D51) * SUMIF(C51,Habilidades!$A$56,Habilidades!$B$56), if(C51="Caça-tesouros 3", SUMIF(C51,Habilidades!$A$57,D51) * SUMIF(C51,Habilidades!$A$57,Habilidades!$B$57), if(C51="Velocista 1", SUMIF(C51,Habilidades!$A$77,D51) * SUMIF(C51,Habilidades!$A$77,Habilidades!$B$77), if(C51="Velocista 2", SUMIF(C51,Habilidades!$A$78,D51) * SUMIF(C51,Habilidades!$A$78,Habilidades!$B$78), if(C51="Velocista 3", SUMIF(C51,Habilidades!$A$79,D51) * SUMIF(C51,Habilidades!$A$79,Habilidades!$B$79), "-"))))))))))))))))))))))))))))))))))))))</f>
        <v>-</v>
      </c>
      <c r="F51" s="110"/>
      <c r="G51" s="110"/>
      <c r="H51" s="110"/>
      <c r="I51" s="110"/>
      <c r="J51" s="110"/>
      <c r="K51" s="110"/>
      <c r="L51" s="110"/>
      <c r="M51" s="110"/>
      <c r="N51" s="110"/>
    </row>
    <row r="52">
      <c r="C52" s="142"/>
      <c r="D52" s="129">
        <f t="shared" si="2"/>
        <v>0</v>
      </c>
      <c r="E52" s="130" t="str">
        <f>if(C52="Detectar Segredo", SUMIF(C52,Habilidades!$A$11,D52) * SUMIF(C52,Habilidades!$A$11,Habilidades!$B$11), if(C52="Encontrar mágica", SUMIF(C52,Habilidades!$A$12,D52) * SUMIF(C52,Habilidades!$A$12,Habilidades!$B$12), if(C52="Cuidadoso 1", SUMIF(C52,Habilidades!$A$22,D52) * SUMIF(C52,Habilidades!$A$22,Habilidades!$B$22), if(C52="Cuidadoso 2", SUMIF(C52,Habilidades!$A$23,D66) * SUMIF(C52,Habilidades!$A$23,Habilidades!$B$23), if(C52="Cuidadoso 3", SUMIF(C52,Habilidades!$A$24,D52) * SUMIF(C52,Habilidades!$A$24,Habilidades!$B$24), if(C52="Ganancioso 1", SUMIF(C52,Habilidades!$A$25,D52) * SUMIF(C52,Habilidades!$A$25,Habilidades!$B$25), if(C52="Ganancioso 2", SUMIF(C52,Habilidades!$A$26,D52) * SUMIF(C52,Habilidades!$A$26,Habilidades!$B$26), if(C52="Ganancioso 3", SUMIF(C52,Habilidades!$A$27,D52) * SUMIF(C52,Habilidades!$A$27,Habilidades!$B$27), if(C52="Curandeiro 1", SUMIF(C52,Habilidades!$A$28,D52) * SUMIF(C52,Habilidades!$A$28,Habilidades!$B$28), if(C52="Curandeiro 2", SUMIF(C52,Habilidades!$A$29,D52) * SUMIF(C52,Habilidades!$A$29,Habilidades!$B$29), if(C52="Curandeiro 3", SUMIF(C52,Habilidades!$A$30,D52) * SUMIF(C52,Habilidades!$A$30,Habilidades!$B$30), if(C52="Sortudo 1", SUMIF(C52,Habilidades!$A$31,D52) * SUMIF(C52,Habilidades!$A$31,Habilidades!$B$31), if(C52="Sortudo 2", SUMIF(C52,Habilidades!$A$32,D52) * SUMIF(C52,Habilidades!$A$32,Habilidades!$B$32), if(C52="Sortudo 3", SUMIF(C52,Habilidades!$A$33,D52) * SUMIF(C52,Habilidades!$A$33,Habilidades!$B$33), if(C52="Protetor 1", SUMIF(C52,Habilidades!$A$34,D52) * SUMIF(C52,Habilidades!$A$34,Habilidades!$B$34), if(C52="Protetor 2", SUMIF(C52,Habilidades!$A$35,D52) * SUMIF(C52,Habilidades!$A$35,Habilidades!$B$35), if(C52="Protetor 3", SUMIF(C52,Habilidades!$A$36,D52) * SUMIF(C52,Habilidades!$A$36,Habilidades!$B$36), if(C52="Engenhoso 1", SUMIF(C52,Habilidades!$A$40,D52) * SUMIF(C52,Habilidades!$A$40,Habilidades!$B$40), if(C52="Engenhoso 2", SUMIF(C52,Habilidades!$A$41,D52) * SUMIF(C52,Habilidades!$A$41,Habilidades!$B$41), if(C52="Engenhoso 3", SUMIF(C52,Habilidades!$A$42,D52) * SUMIF(C52,Habilidades!$A$42,Habilidades!$B$42), if(C52="Reviver 1", SUMIF(C52,Habilidades!$A$43,D52) * SUMIF(C52,Habilidades!$A$43,Habilidades!$B$43), if(C52="Reviver 2", SUMIF(C52,Habilidades!$A$44,D52) * SUMIF(C52,Habilidades!$A$44,Habilidades!$B$44), if(C52="Reviver 3", SUMIF(C52,Habilidades!$A$45,D52) * SUMIF(C52,Habilidades!$A$45,Habilidades!$B$45), if(C52="Catador 1", SUMIF(C52,Habilidades!$A$46,D52) * SUMIF(C52,Habilidades!$A$46,Habilidades!$B$46), if(C52="Catador 2", SUMIF(C52,Habilidades!$A$47,D52) * SUMIF(C52,Habilidades!$A$47,Habilidades!$B$47), if(C52="Catador 3", SUMIF(C52,Habilidades!$A$48,D52) * SUMIF(C52,Habilidades!$A$48,Habilidades!$B$48), if(C52="Fornecedor 1", SUMIF(C52,Habilidades!$A$49,D52) * SUMIF(C52,Habilidades!$A$49,Habilidades!$B$49), if(C52="Fornecedor 2", SUMIF(C52,Habilidades!$A$50,D52) * SUMIF(C52,Habilidades!$A$50,Habilidades!$B$50), if(C52="Fornecedor 3", SUMIF(C52,Habilidades!$A$51,D52) * SUMIF(C52,Habilidades!$A$51,Habilidades!$B$51), if(C52="Suporte 1", SUMIF(C52,Habilidades!$A$52,D52) * SUMIF(C52,Habilidades!$A$52,Habilidades!$B$52), if(C52="Suporte 2", SUMIF(C52,Habilidades!$A$53,D52) * SUMIF(C52,Habilidades!$A$53,Habilidades!$B$53), if(C52="Suporte 3", SUMIF(C52,Habilidades!$A$54,D52) * SUMIF(C52,Habilidades!$A$54,Habilidades!$B$54), if(C52="Caça-tesouros 1", SUMIF(C52,Habilidades!$A$55,D52) * SUMIF(C52,Habilidades!$A$55,Habilidades!$B$55), if(C52="Caça-tesouros 2", SUMIF(C52,Habilidades!$A$56,D52) * SUMIF(C52,Habilidades!$A$56,Habilidades!$B$56), if(C52="Caça-tesouros 3", SUMIF(C52,Habilidades!$A$57,D52) * SUMIF(C52,Habilidades!$A$57,Habilidades!$B$57), if(C52="Velocista 1", SUMIF(C52,Habilidades!$A$77,D52) * SUMIF(C52,Habilidades!$A$77,Habilidades!$B$77), if(C52="Velocista 2", SUMIF(C52,Habilidades!$A$78,D52) * SUMIF(C52,Habilidades!$A$78,Habilidades!$B$78), if(C52="Velocista 3", SUMIF(C52,Habilidades!$A$79,D52) * SUMIF(C52,Habilidades!$A$79,Habilidades!$B$79), "-"))))))))))))))))))))))))))))))))))))))</f>
        <v>-</v>
      </c>
      <c r="F52" s="110"/>
      <c r="G52" s="110"/>
      <c r="H52" s="110"/>
      <c r="I52" s="110"/>
      <c r="J52" s="110"/>
      <c r="K52" s="110"/>
      <c r="L52" s="110"/>
      <c r="M52" s="110"/>
      <c r="N52" s="110"/>
    </row>
    <row r="53">
      <c r="C53" s="142"/>
      <c r="D53" s="129">
        <f t="shared" si="2"/>
        <v>0</v>
      </c>
      <c r="E53" s="130" t="str">
        <f>if(C53="Detectar Segredo", SUMIF(C53,Habilidades!$A$11,D53) * SUMIF(C53,Habilidades!$A$11,Habilidades!$B$11), if(C53="Encontrar mágica", SUMIF(C53,Habilidades!$A$12,D53) * SUMIF(C53,Habilidades!$A$12,Habilidades!$B$12), if(C53="Cuidadoso 1", SUMIF(C53,Habilidades!$A$22,D53) * SUMIF(C53,Habilidades!$A$22,Habilidades!$B$22), if(C53="Cuidadoso 2", SUMIF(C53,Habilidades!$A$23,D67) * SUMIF(C53,Habilidades!$A$23,Habilidades!$B$23), if(C53="Cuidadoso 3", SUMIF(C53,Habilidades!$A$24,D53) * SUMIF(C53,Habilidades!$A$24,Habilidades!$B$24), if(C53="Ganancioso 1", SUMIF(C53,Habilidades!$A$25,D53) * SUMIF(C53,Habilidades!$A$25,Habilidades!$B$25), if(C53="Ganancioso 2", SUMIF(C53,Habilidades!$A$26,D53) * SUMIF(C53,Habilidades!$A$26,Habilidades!$B$26), if(C53="Ganancioso 3", SUMIF(C53,Habilidades!$A$27,D53) * SUMIF(C53,Habilidades!$A$27,Habilidades!$B$27), if(C53="Curandeiro 1", SUMIF(C53,Habilidades!$A$28,D53) * SUMIF(C53,Habilidades!$A$28,Habilidades!$B$28), if(C53="Curandeiro 2", SUMIF(C53,Habilidades!$A$29,D53) * SUMIF(C53,Habilidades!$A$29,Habilidades!$B$29), if(C53="Curandeiro 3", SUMIF(C53,Habilidades!$A$30,D53) * SUMIF(C53,Habilidades!$A$30,Habilidades!$B$30), if(C53="Sortudo 1", SUMIF(C53,Habilidades!$A$31,D53) * SUMIF(C53,Habilidades!$A$31,Habilidades!$B$31), if(C53="Sortudo 2", SUMIF(C53,Habilidades!$A$32,D53) * SUMIF(C53,Habilidades!$A$32,Habilidades!$B$32), if(C53="Sortudo 3", SUMIF(C53,Habilidades!$A$33,D53) * SUMIF(C53,Habilidades!$A$33,Habilidades!$B$33), if(C53="Protetor 1", SUMIF(C53,Habilidades!$A$34,D53) * SUMIF(C53,Habilidades!$A$34,Habilidades!$B$34), if(C53="Protetor 2", SUMIF(C53,Habilidades!$A$35,D53) * SUMIF(C53,Habilidades!$A$35,Habilidades!$B$35), if(C53="Protetor 3", SUMIF(C53,Habilidades!$A$36,D53) * SUMIF(C53,Habilidades!$A$36,Habilidades!$B$36), if(C53="Engenhoso 1", SUMIF(C53,Habilidades!$A$40,D53) * SUMIF(C53,Habilidades!$A$40,Habilidades!$B$40), if(C53="Engenhoso 2", SUMIF(C53,Habilidades!$A$41,D53) * SUMIF(C53,Habilidades!$A$41,Habilidades!$B$41), if(C53="Engenhoso 3", SUMIF(C53,Habilidades!$A$42,D53) * SUMIF(C53,Habilidades!$A$42,Habilidades!$B$42), if(C53="Reviver 1", SUMIF(C53,Habilidades!$A$43,D53) * SUMIF(C53,Habilidades!$A$43,Habilidades!$B$43), if(C53="Reviver 2", SUMIF(C53,Habilidades!$A$44,D53) * SUMIF(C53,Habilidades!$A$44,Habilidades!$B$44), if(C53="Reviver 3", SUMIF(C53,Habilidades!$A$45,D53) * SUMIF(C53,Habilidades!$A$45,Habilidades!$B$45), if(C53="Catador 1", SUMIF(C53,Habilidades!$A$46,D53) * SUMIF(C53,Habilidades!$A$46,Habilidades!$B$46), if(C53="Catador 2", SUMIF(C53,Habilidades!$A$47,D53) * SUMIF(C53,Habilidades!$A$47,Habilidades!$B$47), if(C53="Catador 3", SUMIF(C53,Habilidades!$A$48,D53) * SUMIF(C53,Habilidades!$A$48,Habilidades!$B$48), if(C53="Fornecedor 1", SUMIF(C53,Habilidades!$A$49,D53) * SUMIF(C53,Habilidades!$A$49,Habilidades!$B$49), if(C53="Fornecedor 2", SUMIF(C53,Habilidades!$A$50,D53) * SUMIF(C53,Habilidades!$A$50,Habilidades!$B$50), if(C53="Fornecedor 3", SUMIF(C53,Habilidades!$A$51,D53) * SUMIF(C53,Habilidades!$A$51,Habilidades!$B$51), if(C53="Suporte 1", SUMIF(C53,Habilidades!$A$52,D53) * SUMIF(C53,Habilidades!$A$52,Habilidades!$B$52), if(C53="Suporte 2", SUMIF(C53,Habilidades!$A$53,D53) * SUMIF(C53,Habilidades!$A$53,Habilidades!$B$53), if(C53="Suporte 3", SUMIF(C53,Habilidades!$A$54,D53) * SUMIF(C53,Habilidades!$A$54,Habilidades!$B$54), if(C53="Caça-tesouros 1", SUMIF(C53,Habilidades!$A$55,D53) * SUMIF(C53,Habilidades!$A$55,Habilidades!$B$55), if(C53="Caça-tesouros 2", SUMIF(C53,Habilidades!$A$56,D53) * SUMIF(C53,Habilidades!$A$56,Habilidades!$B$56), if(C53="Caça-tesouros 3", SUMIF(C53,Habilidades!$A$57,D53) * SUMIF(C53,Habilidades!$A$57,Habilidades!$B$57), if(C53="Velocista 1", SUMIF(C53,Habilidades!$A$77,D53) * SUMIF(C53,Habilidades!$A$77,Habilidades!$B$77), if(C53="Velocista 2", SUMIF(C53,Habilidades!$A$78,D53) * SUMIF(C53,Habilidades!$A$78,Habilidades!$B$78), if(C53="Velocista 3", SUMIF(C53,Habilidades!$A$79,D53) * SUMIF(C53,Habilidades!$A$79,Habilidades!$B$79), "-"))))))))))))))))))))))))))))))))))))))</f>
        <v>-</v>
      </c>
      <c r="F53" s="110"/>
      <c r="G53" s="110"/>
      <c r="H53" s="110"/>
      <c r="I53" s="110"/>
      <c r="J53" s="110"/>
      <c r="K53" s="110"/>
      <c r="L53" s="110"/>
      <c r="M53" s="110"/>
      <c r="N53" s="110"/>
    </row>
    <row r="54">
      <c r="C54" s="142"/>
      <c r="D54" s="129">
        <f t="shared" si="2"/>
        <v>0</v>
      </c>
      <c r="E54" s="130" t="str">
        <f>if(C54="Detectar Segredo", SUMIF(C54,Habilidades!$A$11,D54) * SUMIF(C54,Habilidades!$A$11,Habilidades!$B$11), if(C54="Encontrar mágica", SUMIF(C54,Habilidades!$A$12,D54) * SUMIF(C54,Habilidades!$A$12,Habilidades!$B$12), if(C54="Cuidadoso 1", SUMIF(C54,Habilidades!$A$22,D54) * SUMIF(C54,Habilidades!$A$22,Habilidades!$B$22), if(C54="Cuidadoso 2", SUMIF(C54,Habilidades!$A$23,D68) * SUMIF(C54,Habilidades!$A$23,Habilidades!$B$23), if(C54="Cuidadoso 3", SUMIF(C54,Habilidades!$A$24,D54) * SUMIF(C54,Habilidades!$A$24,Habilidades!$B$24), if(C54="Ganancioso 1", SUMIF(C54,Habilidades!$A$25,D54) * SUMIF(C54,Habilidades!$A$25,Habilidades!$B$25), if(C54="Ganancioso 2", SUMIF(C54,Habilidades!$A$26,D54) * SUMIF(C54,Habilidades!$A$26,Habilidades!$B$26), if(C54="Ganancioso 3", SUMIF(C54,Habilidades!$A$27,D54) * SUMIF(C54,Habilidades!$A$27,Habilidades!$B$27), if(C54="Curandeiro 1", SUMIF(C54,Habilidades!$A$28,D54) * SUMIF(C54,Habilidades!$A$28,Habilidades!$B$28), if(C54="Curandeiro 2", SUMIF(C54,Habilidades!$A$29,D54) * SUMIF(C54,Habilidades!$A$29,Habilidades!$B$29), if(C54="Curandeiro 3", SUMIF(C54,Habilidades!$A$30,D54) * SUMIF(C54,Habilidades!$A$30,Habilidades!$B$30), if(C54="Sortudo 1", SUMIF(C54,Habilidades!$A$31,D54) * SUMIF(C54,Habilidades!$A$31,Habilidades!$B$31), if(C54="Sortudo 2", SUMIF(C54,Habilidades!$A$32,D54) * SUMIF(C54,Habilidades!$A$32,Habilidades!$B$32), if(C54="Sortudo 3", SUMIF(C54,Habilidades!$A$33,D54) * SUMIF(C54,Habilidades!$A$33,Habilidades!$B$33), if(C54="Protetor 1", SUMIF(C54,Habilidades!$A$34,D54) * SUMIF(C54,Habilidades!$A$34,Habilidades!$B$34), if(C54="Protetor 2", SUMIF(C54,Habilidades!$A$35,D54) * SUMIF(C54,Habilidades!$A$35,Habilidades!$B$35), if(C54="Protetor 3", SUMIF(C54,Habilidades!$A$36,D54) * SUMIF(C54,Habilidades!$A$36,Habilidades!$B$36), if(C54="Engenhoso 1", SUMIF(C54,Habilidades!$A$40,D54) * SUMIF(C54,Habilidades!$A$40,Habilidades!$B$40), if(C54="Engenhoso 2", SUMIF(C54,Habilidades!$A$41,D54) * SUMIF(C54,Habilidades!$A$41,Habilidades!$B$41), if(C54="Engenhoso 3", SUMIF(C54,Habilidades!$A$42,D54) * SUMIF(C54,Habilidades!$A$42,Habilidades!$B$42), if(C54="Reviver 1", SUMIF(C54,Habilidades!$A$43,D54) * SUMIF(C54,Habilidades!$A$43,Habilidades!$B$43), if(C54="Reviver 2", SUMIF(C54,Habilidades!$A$44,D54) * SUMIF(C54,Habilidades!$A$44,Habilidades!$B$44), if(C54="Reviver 3", SUMIF(C54,Habilidades!$A$45,D54) * SUMIF(C54,Habilidades!$A$45,Habilidades!$B$45), if(C54="Catador 1", SUMIF(C54,Habilidades!$A$46,D54) * SUMIF(C54,Habilidades!$A$46,Habilidades!$B$46), if(C54="Catador 2", SUMIF(C54,Habilidades!$A$47,D54) * SUMIF(C54,Habilidades!$A$47,Habilidades!$B$47), if(C54="Catador 3", SUMIF(C54,Habilidades!$A$48,D54) * SUMIF(C54,Habilidades!$A$48,Habilidades!$B$48), if(C54="Fornecedor 1", SUMIF(C54,Habilidades!$A$49,D54) * SUMIF(C54,Habilidades!$A$49,Habilidades!$B$49), if(C54="Fornecedor 2", SUMIF(C54,Habilidades!$A$50,D54) * SUMIF(C54,Habilidades!$A$50,Habilidades!$B$50), if(C54="Fornecedor 3", SUMIF(C54,Habilidades!$A$51,D54) * SUMIF(C54,Habilidades!$A$51,Habilidades!$B$51), if(C54="Suporte 1", SUMIF(C54,Habilidades!$A$52,D54) * SUMIF(C54,Habilidades!$A$52,Habilidades!$B$52), if(C54="Suporte 2", SUMIF(C54,Habilidades!$A$53,D54) * SUMIF(C54,Habilidades!$A$53,Habilidades!$B$53), if(C54="Suporte 3", SUMIF(C54,Habilidades!$A$54,D54) * SUMIF(C54,Habilidades!$A$54,Habilidades!$B$54), if(C54="Caça-tesouros 1", SUMIF(C54,Habilidades!$A$55,D54) * SUMIF(C54,Habilidades!$A$55,Habilidades!$B$55), if(C54="Caça-tesouros 2", SUMIF(C54,Habilidades!$A$56,D54) * SUMIF(C54,Habilidades!$A$56,Habilidades!$B$56), if(C54="Caça-tesouros 3", SUMIF(C54,Habilidades!$A$57,D54) * SUMIF(C54,Habilidades!$A$57,Habilidades!$B$57), if(C54="Velocista 1", SUMIF(C54,Habilidades!$A$77,D54) * SUMIF(C54,Habilidades!$A$77,Habilidades!$B$77), if(C54="Velocista 2", SUMIF(C54,Habilidades!$A$78,D54) * SUMIF(C54,Habilidades!$A$78,Habilidades!$B$78), if(C54="Velocista 3", SUMIF(C54,Habilidades!$A$79,D54) * SUMIF(C54,Habilidades!$A$79,Habilidades!$B$79), "-"))))))))))))))))))))))))))))))))))))))</f>
        <v>-</v>
      </c>
      <c r="F54" s="110"/>
      <c r="G54" s="110"/>
      <c r="H54" s="110"/>
      <c r="I54" s="110"/>
      <c r="J54" s="110"/>
      <c r="K54" s="110"/>
      <c r="L54" s="110"/>
      <c r="M54" s="110"/>
      <c r="N54" s="110"/>
    </row>
    <row r="55">
      <c r="C55" s="142"/>
      <c r="D55" s="129">
        <f t="shared" si="2"/>
        <v>0</v>
      </c>
      <c r="E55" s="130" t="str">
        <f>if(C55="Detectar Segredo", SUMIF(C55,Habilidades!$A$11,D55) * SUMIF(C55,Habilidades!$A$11,Habilidades!$B$11), if(C55="Encontrar mágica", SUMIF(C55,Habilidades!$A$12,D55) * SUMIF(C55,Habilidades!$A$12,Habilidades!$B$12), if(C55="Cuidadoso 1", SUMIF(C55,Habilidades!$A$22,D55) * SUMIF(C55,Habilidades!$A$22,Habilidades!$B$22), if(C55="Cuidadoso 2", SUMIF(C55,Habilidades!$A$23,D69) * SUMIF(C55,Habilidades!$A$23,Habilidades!$B$23), if(C55="Cuidadoso 3", SUMIF(C55,Habilidades!$A$24,D55) * SUMIF(C55,Habilidades!$A$24,Habilidades!$B$24), if(C55="Ganancioso 1", SUMIF(C55,Habilidades!$A$25,D55) * SUMIF(C55,Habilidades!$A$25,Habilidades!$B$25), if(C55="Ganancioso 2", SUMIF(C55,Habilidades!$A$26,D55) * SUMIF(C55,Habilidades!$A$26,Habilidades!$B$26), if(C55="Ganancioso 3", SUMIF(C55,Habilidades!$A$27,D55) * SUMIF(C55,Habilidades!$A$27,Habilidades!$B$27), if(C55="Curandeiro 1", SUMIF(C55,Habilidades!$A$28,D55) * SUMIF(C55,Habilidades!$A$28,Habilidades!$B$28), if(C55="Curandeiro 2", SUMIF(C55,Habilidades!$A$29,D55) * SUMIF(C55,Habilidades!$A$29,Habilidades!$B$29), if(C55="Curandeiro 3", SUMIF(C55,Habilidades!$A$30,D55) * SUMIF(C55,Habilidades!$A$30,Habilidades!$B$30), if(C55="Sortudo 1", SUMIF(C55,Habilidades!$A$31,D55) * SUMIF(C55,Habilidades!$A$31,Habilidades!$B$31), if(C55="Sortudo 2", SUMIF(C55,Habilidades!$A$32,D55) * SUMIF(C55,Habilidades!$A$32,Habilidades!$B$32), if(C55="Sortudo 3", SUMIF(C55,Habilidades!$A$33,D55) * SUMIF(C55,Habilidades!$A$33,Habilidades!$B$33), if(C55="Protetor 1", SUMIF(C55,Habilidades!$A$34,D55) * SUMIF(C55,Habilidades!$A$34,Habilidades!$B$34), if(C55="Protetor 2", SUMIF(C55,Habilidades!$A$35,D55) * SUMIF(C55,Habilidades!$A$35,Habilidades!$B$35), if(C55="Protetor 3", SUMIF(C55,Habilidades!$A$36,D55) * SUMIF(C55,Habilidades!$A$36,Habilidades!$B$36), if(C55="Engenhoso 1", SUMIF(C55,Habilidades!$A$40,D55) * SUMIF(C55,Habilidades!$A$40,Habilidades!$B$40), if(C55="Engenhoso 2", SUMIF(C55,Habilidades!$A$41,D55) * SUMIF(C55,Habilidades!$A$41,Habilidades!$B$41), if(C55="Engenhoso 3", SUMIF(C55,Habilidades!$A$42,D55) * SUMIF(C55,Habilidades!$A$42,Habilidades!$B$42), if(C55="Reviver 1", SUMIF(C55,Habilidades!$A$43,D55) * SUMIF(C55,Habilidades!$A$43,Habilidades!$B$43), if(C55="Reviver 2", SUMIF(C55,Habilidades!$A$44,D55) * SUMIF(C55,Habilidades!$A$44,Habilidades!$B$44), if(C55="Reviver 3", SUMIF(C55,Habilidades!$A$45,D55) * SUMIF(C55,Habilidades!$A$45,Habilidades!$B$45), if(C55="Catador 1", SUMIF(C55,Habilidades!$A$46,D55) * SUMIF(C55,Habilidades!$A$46,Habilidades!$B$46), if(C55="Catador 2", SUMIF(C55,Habilidades!$A$47,D55) * SUMIF(C55,Habilidades!$A$47,Habilidades!$B$47), if(C55="Catador 3", SUMIF(C55,Habilidades!$A$48,D55) * SUMIF(C55,Habilidades!$A$48,Habilidades!$B$48), if(C55="Fornecedor 1", SUMIF(C55,Habilidades!$A$49,D55) * SUMIF(C55,Habilidades!$A$49,Habilidades!$B$49), if(C55="Fornecedor 2", SUMIF(C55,Habilidades!$A$50,D55) * SUMIF(C55,Habilidades!$A$50,Habilidades!$B$50), if(C55="Fornecedor 3", SUMIF(C55,Habilidades!$A$51,D55) * SUMIF(C55,Habilidades!$A$51,Habilidades!$B$51), if(C55="Suporte 1", SUMIF(C55,Habilidades!$A$52,D55) * SUMIF(C55,Habilidades!$A$52,Habilidades!$B$52), if(C55="Suporte 2", SUMIF(C55,Habilidades!$A$53,D55) * SUMIF(C55,Habilidades!$A$53,Habilidades!$B$53), if(C55="Suporte 3", SUMIF(C55,Habilidades!$A$54,D55) * SUMIF(C55,Habilidades!$A$54,Habilidades!$B$54), if(C55="Caça-tesouros 1", SUMIF(C55,Habilidades!$A$55,D55) * SUMIF(C55,Habilidades!$A$55,Habilidades!$B$55), if(C55="Caça-tesouros 2", SUMIF(C55,Habilidades!$A$56,D55) * SUMIF(C55,Habilidades!$A$56,Habilidades!$B$56), if(C55="Caça-tesouros 3", SUMIF(C55,Habilidades!$A$57,D55) * SUMIF(C55,Habilidades!$A$57,Habilidades!$B$57), if(C55="Velocista 1", SUMIF(C55,Habilidades!$A$77,D55) * SUMIF(C55,Habilidades!$A$77,Habilidades!$B$77), if(C55="Velocista 2", SUMIF(C55,Habilidades!$A$78,D55) * SUMIF(C55,Habilidades!$A$78,Habilidades!$B$78), if(C55="Velocista 3", SUMIF(C55,Habilidades!$A$79,D55) * SUMIF(C55,Habilidades!$A$79,Habilidades!$B$79), "-"))))))))))))))))))))))))))))))))))))))</f>
        <v>-</v>
      </c>
      <c r="F55" s="110"/>
      <c r="G55" s="110"/>
      <c r="H55" s="110"/>
      <c r="I55" s="110"/>
      <c r="J55" s="110"/>
      <c r="K55" s="110"/>
      <c r="L55" s="110"/>
      <c r="M55" s="110"/>
      <c r="N55" s="110"/>
    </row>
    <row r="56">
      <c r="C56" s="142"/>
      <c r="D56" s="129">
        <f t="shared" si="2"/>
        <v>0</v>
      </c>
      <c r="E56" s="130" t="str">
        <f>if(C56="Detectar Segredo", SUMIF(C56,Habilidades!$A$11,D56) * SUMIF(C56,Habilidades!$A$11,Habilidades!$B$11), if(C56="Encontrar mágica", SUMIF(C56,Habilidades!$A$12,D56) * SUMIF(C56,Habilidades!$A$12,Habilidades!$B$12), if(C56="Cuidadoso 1", SUMIF(C56,Habilidades!$A$22,D56) * SUMIF(C56,Habilidades!$A$22,Habilidades!$B$22), if(C56="Cuidadoso 2", SUMIF(C56,Habilidades!$A$23,D70) * SUMIF(C56,Habilidades!$A$23,Habilidades!$B$23), if(C56="Cuidadoso 3", SUMIF(C56,Habilidades!$A$24,D56) * SUMIF(C56,Habilidades!$A$24,Habilidades!$B$24), if(C56="Ganancioso 1", SUMIF(C56,Habilidades!$A$25,D56) * SUMIF(C56,Habilidades!$A$25,Habilidades!$B$25), if(C56="Ganancioso 2", SUMIF(C56,Habilidades!$A$26,D56) * SUMIF(C56,Habilidades!$A$26,Habilidades!$B$26), if(C56="Ganancioso 3", SUMIF(C56,Habilidades!$A$27,D56) * SUMIF(C56,Habilidades!$A$27,Habilidades!$B$27), if(C56="Curandeiro 1", SUMIF(C56,Habilidades!$A$28,D56) * SUMIF(C56,Habilidades!$A$28,Habilidades!$B$28), if(C56="Curandeiro 2", SUMIF(C56,Habilidades!$A$29,D56) * SUMIF(C56,Habilidades!$A$29,Habilidades!$B$29), if(C56="Curandeiro 3", SUMIF(C56,Habilidades!$A$30,D56) * SUMIF(C56,Habilidades!$A$30,Habilidades!$B$30), if(C56="Sortudo 1", SUMIF(C56,Habilidades!$A$31,D56) * SUMIF(C56,Habilidades!$A$31,Habilidades!$B$31), if(C56="Sortudo 2", SUMIF(C56,Habilidades!$A$32,D56) * SUMIF(C56,Habilidades!$A$32,Habilidades!$B$32), if(C56="Sortudo 3", SUMIF(C56,Habilidades!$A$33,D56) * SUMIF(C56,Habilidades!$A$33,Habilidades!$B$33), if(C56="Protetor 1", SUMIF(C56,Habilidades!$A$34,D56) * SUMIF(C56,Habilidades!$A$34,Habilidades!$B$34), if(C56="Protetor 2", SUMIF(C56,Habilidades!$A$35,D56) * SUMIF(C56,Habilidades!$A$35,Habilidades!$B$35), if(C56="Protetor 3", SUMIF(C56,Habilidades!$A$36,D56) * SUMIF(C56,Habilidades!$A$36,Habilidades!$B$36), if(C56="Engenhoso 1", SUMIF(C56,Habilidades!$A$40,D56) * SUMIF(C56,Habilidades!$A$40,Habilidades!$B$40), if(C56="Engenhoso 2", SUMIF(C56,Habilidades!$A$41,D56) * SUMIF(C56,Habilidades!$A$41,Habilidades!$B$41), if(C56="Engenhoso 3", SUMIF(C56,Habilidades!$A$42,D56) * SUMIF(C56,Habilidades!$A$42,Habilidades!$B$42), if(C56="Reviver 1", SUMIF(C56,Habilidades!$A$43,D56) * SUMIF(C56,Habilidades!$A$43,Habilidades!$B$43), if(C56="Reviver 2", SUMIF(C56,Habilidades!$A$44,D56) * SUMIF(C56,Habilidades!$A$44,Habilidades!$B$44), if(C56="Reviver 3", SUMIF(C56,Habilidades!$A$45,D56) * SUMIF(C56,Habilidades!$A$45,Habilidades!$B$45), if(C56="Catador 1", SUMIF(C56,Habilidades!$A$46,D56) * SUMIF(C56,Habilidades!$A$46,Habilidades!$B$46), if(C56="Catador 2", SUMIF(C56,Habilidades!$A$47,D56) * SUMIF(C56,Habilidades!$A$47,Habilidades!$B$47), if(C56="Catador 3", SUMIF(C56,Habilidades!$A$48,D56) * SUMIF(C56,Habilidades!$A$48,Habilidades!$B$48), if(C56="Fornecedor 1", SUMIF(C56,Habilidades!$A$49,D56) * SUMIF(C56,Habilidades!$A$49,Habilidades!$B$49), if(C56="Fornecedor 2", SUMIF(C56,Habilidades!$A$50,D56) * SUMIF(C56,Habilidades!$A$50,Habilidades!$B$50), if(C56="Fornecedor 3", SUMIF(C56,Habilidades!$A$51,D56) * SUMIF(C56,Habilidades!$A$51,Habilidades!$B$51), if(C56="Suporte 1", SUMIF(C56,Habilidades!$A$52,D56) * SUMIF(C56,Habilidades!$A$52,Habilidades!$B$52), if(C56="Suporte 2", SUMIF(C56,Habilidades!$A$53,D56) * SUMIF(C56,Habilidades!$A$53,Habilidades!$B$53), if(C56="Suporte 3", SUMIF(C56,Habilidades!$A$54,D56) * SUMIF(C56,Habilidades!$A$54,Habilidades!$B$54), if(C56="Caça-tesouros 1", SUMIF(C56,Habilidades!$A$55,D56) * SUMIF(C56,Habilidades!$A$55,Habilidades!$B$55), if(C56="Caça-tesouros 2", SUMIF(C56,Habilidades!$A$56,D56) * SUMIF(C56,Habilidades!$A$56,Habilidades!$B$56), if(C56="Caça-tesouros 3", SUMIF(C56,Habilidades!$A$57,D56) * SUMIF(C56,Habilidades!$A$57,Habilidades!$B$57), if(C56="Velocista 1", SUMIF(C56,Habilidades!$A$77,D56) * SUMIF(C56,Habilidades!$A$77,Habilidades!$B$77), if(C56="Velocista 2", SUMIF(C56,Habilidades!$A$78,D56) * SUMIF(C56,Habilidades!$A$78,Habilidades!$B$78), if(C56="Velocista 3", SUMIF(C56,Habilidades!$A$79,D56) * SUMIF(C56,Habilidades!$A$79,Habilidades!$B$79), "-"))))))))))))))))))))))))))))))))))))))</f>
        <v>-</v>
      </c>
      <c r="F56" s="110"/>
      <c r="G56" s="110"/>
      <c r="H56" s="110"/>
      <c r="I56" s="110"/>
      <c r="J56" s="110"/>
      <c r="K56" s="110"/>
      <c r="L56" s="110"/>
      <c r="M56" s="110"/>
      <c r="N56" s="110"/>
    </row>
    <row r="57">
      <c r="C57" s="142"/>
      <c r="D57" s="129">
        <f t="shared" si="2"/>
        <v>0</v>
      </c>
      <c r="E57" s="130" t="str">
        <f>if(C57="Detectar Segredo", SUMIF(C57,Habilidades!$A$11,D57) * SUMIF(C57,Habilidades!$A$11,Habilidades!$B$11), if(C57="Encontrar mágica", SUMIF(C57,Habilidades!$A$12,D57) * SUMIF(C57,Habilidades!$A$12,Habilidades!$B$12), if(C57="Cuidadoso 1", SUMIF(C57,Habilidades!$A$22,D57) * SUMIF(C57,Habilidades!$A$22,Habilidades!$B$22), if(C57="Cuidadoso 2", SUMIF(C57,Habilidades!$A$23,#REF!) * SUMIF(C57,Habilidades!$A$23,Habilidades!$B$23), if(C57="Cuidadoso 3", SUMIF(C57,Habilidades!$A$24,D57) * SUMIF(C57,Habilidades!$A$24,Habilidades!$B$24), if(C57="Ganancioso 1", SUMIF(C57,Habilidades!$A$25,D57) * SUMIF(C57,Habilidades!$A$25,Habilidades!$B$25), if(C57="Ganancioso 2", SUMIF(C57,Habilidades!$A$26,D57) * SUMIF(C57,Habilidades!$A$26,Habilidades!$B$26), if(C57="Ganancioso 3", SUMIF(C57,Habilidades!$A$27,D57) * SUMIF(C57,Habilidades!$A$27,Habilidades!$B$27), if(C57="Curandeiro 1", SUMIF(C57,Habilidades!$A$28,D57) * SUMIF(C57,Habilidades!$A$28,Habilidades!$B$28), if(C57="Curandeiro 2", SUMIF(C57,Habilidades!$A$29,D57) * SUMIF(C57,Habilidades!$A$29,Habilidades!$B$29), if(C57="Curandeiro 3", SUMIF(C57,Habilidades!$A$30,D57) * SUMIF(C57,Habilidades!$A$30,Habilidades!$B$30), if(C57="Sortudo 1", SUMIF(C57,Habilidades!$A$31,D57) * SUMIF(C57,Habilidades!$A$31,Habilidades!$B$31), if(C57="Sortudo 2", SUMIF(C57,Habilidades!$A$32,D57) * SUMIF(C57,Habilidades!$A$32,Habilidades!$B$32), if(C57="Sortudo 3", SUMIF(C57,Habilidades!$A$33,D57) * SUMIF(C57,Habilidades!$A$33,Habilidades!$B$33), if(C57="Protetor 1", SUMIF(C57,Habilidades!$A$34,D57) * SUMIF(C57,Habilidades!$A$34,Habilidades!$B$34), if(C57="Protetor 2", SUMIF(C57,Habilidades!$A$35,D57) * SUMIF(C57,Habilidades!$A$35,Habilidades!$B$35), if(C57="Protetor 3", SUMIF(C57,Habilidades!$A$36,D57) * SUMIF(C57,Habilidades!$A$36,Habilidades!$B$36), if(C57="Engenhoso 1", SUMIF(C57,Habilidades!$A$40,D57) * SUMIF(C57,Habilidades!$A$40,Habilidades!$B$40), if(C57="Engenhoso 2", SUMIF(C57,Habilidades!$A$41,D57) * SUMIF(C57,Habilidades!$A$41,Habilidades!$B$41), if(C57="Engenhoso 3", SUMIF(C57,Habilidades!$A$42,D57) * SUMIF(C57,Habilidades!$A$42,Habilidades!$B$42), if(C57="Reviver 1", SUMIF(C57,Habilidades!$A$43,D57) * SUMIF(C57,Habilidades!$A$43,Habilidades!$B$43), if(C57="Reviver 2", SUMIF(C57,Habilidades!$A$44,D57) * SUMIF(C57,Habilidades!$A$44,Habilidades!$B$44), if(C57="Reviver 3", SUMIF(C57,Habilidades!$A$45,D57) * SUMIF(C57,Habilidades!$A$45,Habilidades!$B$45), if(C57="Catador 1", SUMIF(C57,Habilidades!$A$46,D57) * SUMIF(C57,Habilidades!$A$46,Habilidades!$B$46), if(C57="Catador 2", SUMIF(C57,Habilidades!$A$47,D57) * SUMIF(C57,Habilidades!$A$47,Habilidades!$B$47), if(C57="Catador 3", SUMIF(C57,Habilidades!$A$48,D57) * SUMIF(C57,Habilidades!$A$48,Habilidades!$B$48), if(C57="Fornecedor 1", SUMIF(C57,Habilidades!$A$49,D57) * SUMIF(C57,Habilidades!$A$49,Habilidades!$B$49), if(C57="Fornecedor 2", SUMIF(C57,Habilidades!$A$50,D57) * SUMIF(C57,Habilidades!$A$50,Habilidades!$B$50), if(C57="Fornecedor 3", SUMIF(C57,Habilidades!$A$51,D57) * SUMIF(C57,Habilidades!$A$51,Habilidades!$B$51), if(C57="Suporte 1", SUMIF(C57,Habilidades!$A$52,D57) * SUMIF(C57,Habilidades!$A$52,Habilidades!$B$52), if(C57="Suporte 2", SUMIF(C57,Habilidades!$A$53,D57) * SUMIF(C57,Habilidades!$A$53,Habilidades!$B$53), if(C57="Suporte 3", SUMIF(C57,Habilidades!$A$54,D57) * SUMIF(C57,Habilidades!$A$54,Habilidades!$B$54), if(C57="Caça-tesouros 1", SUMIF(C57,Habilidades!$A$55,D57) * SUMIF(C57,Habilidades!$A$55,Habilidades!$B$55), if(C57="Caça-tesouros 2", SUMIF(C57,Habilidades!$A$56,D57) * SUMIF(C57,Habilidades!$A$56,Habilidades!$B$56), if(C57="Caça-tesouros 3", SUMIF(C57,Habilidades!$A$57,D57) * SUMIF(C57,Habilidades!$A$57,Habilidades!$B$57), if(C57="Velocista 1", SUMIF(C57,Habilidades!$A$77,D57) * SUMIF(C57,Habilidades!$A$77,Habilidades!$B$77), if(C57="Velocista 2", SUMIF(C57,Habilidades!$A$78,D57) * SUMIF(C57,Habilidades!$A$78,Habilidades!$B$78), if(C57="Velocista 3", SUMIF(C57,Habilidades!$A$79,D57) * SUMIF(C57,Habilidades!$A$79,Habilidades!$B$79), "-"))))))))))))))))))))))))))))))))))))))</f>
        <v>-</v>
      </c>
      <c r="F57" s="110"/>
      <c r="G57" s="110"/>
      <c r="H57" s="110"/>
      <c r="I57" s="110"/>
      <c r="J57" s="110"/>
      <c r="K57" s="110"/>
      <c r="L57" s="110"/>
      <c r="M57" s="110"/>
      <c r="N57" s="110"/>
    </row>
    <row r="58">
      <c r="C58" s="142"/>
      <c r="D58" s="129">
        <f t="shared" si="2"/>
        <v>0</v>
      </c>
      <c r="E58" s="130" t="str">
        <f>if(C58="Detectar Segredo", SUMIF(C58,Habilidades!$A$11,D58) * SUMIF(C58,Habilidades!$A$11,Habilidades!$B$11), if(C58="Encontrar mágica", SUMIF(C58,Habilidades!$A$12,D58) * SUMIF(C58,Habilidades!$A$12,Habilidades!$B$12), if(C58="Cuidadoso 1", SUMIF(C58,Habilidades!$A$22,D58) * SUMIF(C58,Habilidades!$A$22,Habilidades!$B$22), if(C58="Cuidadoso 2", SUMIF(C58,Habilidades!$A$23,#REF!) * SUMIF(C58,Habilidades!$A$23,Habilidades!$B$23), if(C58="Cuidadoso 3", SUMIF(C58,Habilidades!$A$24,D58) * SUMIF(C58,Habilidades!$A$24,Habilidades!$B$24), if(C58="Ganancioso 1", SUMIF(C58,Habilidades!$A$25,D58) * SUMIF(C58,Habilidades!$A$25,Habilidades!$B$25), if(C58="Ganancioso 2", SUMIF(C58,Habilidades!$A$26,D58) * SUMIF(C58,Habilidades!$A$26,Habilidades!$B$26), if(C58="Ganancioso 3", SUMIF(C58,Habilidades!$A$27,D58) * SUMIF(C58,Habilidades!$A$27,Habilidades!$B$27), if(C58="Curandeiro 1", SUMIF(C58,Habilidades!$A$28,D58) * SUMIF(C58,Habilidades!$A$28,Habilidades!$B$28), if(C58="Curandeiro 2", SUMIF(C58,Habilidades!$A$29,D58) * SUMIF(C58,Habilidades!$A$29,Habilidades!$B$29), if(C58="Curandeiro 3", SUMIF(C58,Habilidades!$A$30,D58) * SUMIF(C58,Habilidades!$A$30,Habilidades!$B$30), if(C58="Sortudo 1", SUMIF(C58,Habilidades!$A$31,D58) * SUMIF(C58,Habilidades!$A$31,Habilidades!$B$31), if(C58="Sortudo 2", SUMIF(C58,Habilidades!$A$32,D58) * SUMIF(C58,Habilidades!$A$32,Habilidades!$B$32), if(C58="Sortudo 3", SUMIF(C58,Habilidades!$A$33,D58) * SUMIF(C58,Habilidades!$A$33,Habilidades!$B$33), if(C58="Protetor 1", SUMIF(C58,Habilidades!$A$34,D58) * SUMIF(C58,Habilidades!$A$34,Habilidades!$B$34), if(C58="Protetor 2", SUMIF(C58,Habilidades!$A$35,D58) * SUMIF(C58,Habilidades!$A$35,Habilidades!$B$35), if(C58="Protetor 3", SUMIF(C58,Habilidades!$A$36,D58) * SUMIF(C58,Habilidades!$A$36,Habilidades!$B$36), if(C58="Engenhoso 1", SUMIF(C58,Habilidades!$A$40,D58) * SUMIF(C58,Habilidades!$A$40,Habilidades!$B$40), if(C58="Engenhoso 2", SUMIF(C58,Habilidades!$A$41,D58) * SUMIF(C58,Habilidades!$A$41,Habilidades!$B$41), if(C58="Engenhoso 3", SUMIF(C58,Habilidades!$A$42,D58) * SUMIF(C58,Habilidades!$A$42,Habilidades!$B$42), if(C58="Reviver 1", SUMIF(C58,Habilidades!$A$43,D58) * SUMIF(C58,Habilidades!$A$43,Habilidades!$B$43), if(C58="Reviver 2", SUMIF(C58,Habilidades!$A$44,D58) * SUMIF(C58,Habilidades!$A$44,Habilidades!$B$44), if(C58="Reviver 3", SUMIF(C58,Habilidades!$A$45,D58) * SUMIF(C58,Habilidades!$A$45,Habilidades!$B$45), if(C58="Catador 1", SUMIF(C58,Habilidades!$A$46,D58) * SUMIF(C58,Habilidades!$A$46,Habilidades!$B$46), if(C58="Catador 2", SUMIF(C58,Habilidades!$A$47,D58) * SUMIF(C58,Habilidades!$A$47,Habilidades!$B$47), if(C58="Catador 3", SUMIF(C58,Habilidades!$A$48,D58) * SUMIF(C58,Habilidades!$A$48,Habilidades!$B$48), if(C58="Fornecedor 1", SUMIF(C58,Habilidades!$A$49,D58) * SUMIF(C58,Habilidades!$A$49,Habilidades!$B$49), if(C58="Fornecedor 2", SUMIF(C58,Habilidades!$A$50,D58) * SUMIF(C58,Habilidades!$A$50,Habilidades!$B$50), if(C58="Fornecedor 3", SUMIF(C58,Habilidades!$A$51,D58) * SUMIF(C58,Habilidades!$A$51,Habilidades!$B$51), if(C58="Suporte 1", SUMIF(C58,Habilidades!$A$52,D58) * SUMIF(C58,Habilidades!$A$52,Habilidades!$B$52), if(C58="Suporte 2", SUMIF(C58,Habilidades!$A$53,D58) * SUMIF(C58,Habilidades!$A$53,Habilidades!$B$53), if(C58="Suporte 3", SUMIF(C58,Habilidades!$A$54,D58) * SUMIF(C58,Habilidades!$A$54,Habilidades!$B$54), if(C58="Caça-tesouros 1", SUMIF(C58,Habilidades!$A$55,D58) * SUMIF(C58,Habilidades!$A$55,Habilidades!$B$55), if(C58="Caça-tesouros 2", SUMIF(C58,Habilidades!$A$56,D58) * SUMIF(C58,Habilidades!$A$56,Habilidades!$B$56), if(C58="Caça-tesouros 3", SUMIF(C58,Habilidades!$A$57,D58) * SUMIF(C58,Habilidades!$A$57,Habilidades!$B$57), if(C58="Velocista 1", SUMIF(C58,Habilidades!$A$77,D58) * SUMIF(C58,Habilidades!$A$77,Habilidades!$B$77), if(C58="Velocista 2", SUMIF(C58,Habilidades!$A$78,D58) * SUMIF(C58,Habilidades!$A$78,Habilidades!$B$78), if(C58="Velocista 3", SUMIF(C58,Habilidades!$A$79,D58) * SUMIF(C58,Habilidades!$A$79,Habilidades!$B$79), "-"))))))))))))))))))))))))))))))))))))))</f>
        <v>-</v>
      </c>
      <c r="F58" s="110"/>
      <c r="G58" s="110"/>
      <c r="H58" s="110"/>
      <c r="I58" s="110"/>
      <c r="J58" s="110"/>
      <c r="K58" s="110"/>
      <c r="L58" s="110"/>
      <c r="M58" s="110"/>
      <c r="N58" s="110"/>
    </row>
    <row r="59">
      <c r="C59" s="142"/>
      <c r="D59" s="129">
        <f t="shared" si="2"/>
        <v>0</v>
      </c>
      <c r="E59" s="130" t="str">
        <f>if(C59="Detectar Segredo", SUMIF(C59,Habilidades!$A$11,D59) * SUMIF(C59,Habilidades!$A$11,Habilidades!$B$11), if(C59="Encontrar mágica", SUMIF(C59,Habilidades!$A$12,D59) * SUMIF(C59,Habilidades!$A$12,Habilidades!$B$12), if(C59="Cuidadoso 1", SUMIF(C59,Habilidades!$A$22,D59) * SUMIF(C59,Habilidades!$A$22,Habilidades!$B$22), if(C59="Cuidadoso 2", SUMIF(C59,Habilidades!$A$23,#REF!) * SUMIF(C59,Habilidades!$A$23,Habilidades!$B$23), if(C59="Cuidadoso 3", SUMIF(C59,Habilidades!$A$24,D59) * SUMIF(C59,Habilidades!$A$24,Habilidades!$B$24), if(C59="Ganancioso 1", SUMIF(C59,Habilidades!$A$25,D59) * SUMIF(C59,Habilidades!$A$25,Habilidades!$B$25), if(C59="Ganancioso 2", SUMIF(C59,Habilidades!$A$26,D59) * SUMIF(C59,Habilidades!$A$26,Habilidades!$B$26), if(C59="Ganancioso 3", SUMIF(C59,Habilidades!$A$27,D59) * SUMIF(C59,Habilidades!$A$27,Habilidades!$B$27), if(C59="Curandeiro 1", SUMIF(C59,Habilidades!$A$28,D59) * SUMIF(C59,Habilidades!$A$28,Habilidades!$B$28), if(C59="Curandeiro 2", SUMIF(C59,Habilidades!$A$29,D59) * SUMIF(C59,Habilidades!$A$29,Habilidades!$B$29), if(C59="Curandeiro 3", SUMIF(C59,Habilidades!$A$30,D59) * SUMIF(C59,Habilidades!$A$30,Habilidades!$B$30), if(C59="Sortudo 1", SUMIF(C59,Habilidades!$A$31,D59) * SUMIF(C59,Habilidades!$A$31,Habilidades!$B$31), if(C59="Sortudo 2", SUMIF(C59,Habilidades!$A$32,D59) * SUMIF(C59,Habilidades!$A$32,Habilidades!$B$32), if(C59="Sortudo 3", SUMIF(C59,Habilidades!$A$33,D59) * SUMIF(C59,Habilidades!$A$33,Habilidades!$B$33), if(C59="Protetor 1", SUMIF(C59,Habilidades!$A$34,D59) * SUMIF(C59,Habilidades!$A$34,Habilidades!$B$34), if(C59="Protetor 2", SUMIF(C59,Habilidades!$A$35,D59) * SUMIF(C59,Habilidades!$A$35,Habilidades!$B$35), if(C59="Protetor 3", SUMIF(C59,Habilidades!$A$36,D59) * SUMIF(C59,Habilidades!$A$36,Habilidades!$B$36), if(C59="Engenhoso 1", SUMIF(C59,Habilidades!$A$40,D59) * SUMIF(C59,Habilidades!$A$40,Habilidades!$B$40), if(C59="Engenhoso 2", SUMIF(C59,Habilidades!$A$41,D59) * SUMIF(C59,Habilidades!$A$41,Habilidades!$B$41), if(C59="Engenhoso 3", SUMIF(C59,Habilidades!$A$42,D59) * SUMIF(C59,Habilidades!$A$42,Habilidades!$B$42), if(C59="Reviver 1", SUMIF(C59,Habilidades!$A$43,D59) * SUMIF(C59,Habilidades!$A$43,Habilidades!$B$43), if(C59="Reviver 2", SUMIF(C59,Habilidades!$A$44,D59) * SUMIF(C59,Habilidades!$A$44,Habilidades!$B$44), if(C59="Reviver 3", SUMIF(C59,Habilidades!$A$45,D59) * SUMIF(C59,Habilidades!$A$45,Habilidades!$B$45), if(C59="Catador 1", SUMIF(C59,Habilidades!$A$46,D59) * SUMIF(C59,Habilidades!$A$46,Habilidades!$B$46), if(C59="Catador 2", SUMIF(C59,Habilidades!$A$47,D59) * SUMIF(C59,Habilidades!$A$47,Habilidades!$B$47), if(C59="Catador 3", SUMIF(C59,Habilidades!$A$48,D59) * SUMIF(C59,Habilidades!$A$48,Habilidades!$B$48), if(C59="Fornecedor 1", SUMIF(C59,Habilidades!$A$49,D59) * SUMIF(C59,Habilidades!$A$49,Habilidades!$B$49), if(C59="Fornecedor 2", SUMIF(C59,Habilidades!$A$50,D59) * SUMIF(C59,Habilidades!$A$50,Habilidades!$B$50), if(C59="Fornecedor 3", SUMIF(C59,Habilidades!$A$51,D59) * SUMIF(C59,Habilidades!$A$51,Habilidades!$B$51), if(C59="Suporte 1", SUMIF(C59,Habilidades!$A$52,D59) * SUMIF(C59,Habilidades!$A$52,Habilidades!$B$52), if(C59="Suporte 2", SUMIF(C59,Habilidades!$A$53,D59) * SUMIF(C59,Habilidades!$A$53,Habilidades!$B$53), if(C59="Suporte 3", SUMIF(C59,Habilidades!$A$54,D59) * SUMIF(C59,Habilidades!$A$54,Habilidades!$B$54), if(C59="Caça-tesouros 1", SUMIF(C59,Habilidades!$A$55,D59) * SUMIF(C59,Habilidades!$A$55,Habilidades!$B$55), if(C59="Caça-tesouros 2", SUMIF(C59,Habilidades!$A$56,D59) * SUMIF(C59,Habilidades!$A$56,Habilidades!$B$56), if(C59="Caça-tesouros 3", SUMIF(C59,Habilidades!$A$57,D59) * SUMIF(C59,Habilidades!$A$57,Habilidades!$B$57), if(C59="Velocista 1", SUMIF(C59,Habilidades!$A$77,D59) * SUMIF(C59,Habilidades!$A$77,Habilidades!$B$77), if(C59="Velocista 2", SUMIF(C59,Habilidades!$A$78,D59) * SUMIF(C59,Habilidades!$A$78,Habilidades!$B$78), if(C59="Velocista 3", SUMIF(C59,Habilidades!$A$79,D59) * SUMIF(C59,Habilidades!$A$79,Habilidades!$B$79), "-"))))))))))))))))))))))))))))))))))))))</f>
        <v>-</v>
      </c>
      <c r="F59" s="110"/>
      <c r="G59" s="110"/>
      <c r="H59" s="110"/>
      <c r="I59" s="110"/>
      <c r="J59" s="110"/>
      <c r="K59" s="110"/>
      <c r="L59" s="110"/>
      <c r="M59" s="110"/>
      <c r="N59" s="110"/>
    </row>
    <row r="60">
      <c r="C60" s="142"/>
      <c r="D60" s="129">
        <f t="shared" si="2"/>
        <v>0</v>
      </c>
      <c r="E60" s="130" t="str">
        <f>if(C60="Detectar Segredo", SUMIF(C60,Habilidades!$A$11,D60) * SUMIF(C60,Habilidades!$A$11,Habilidades!$B$11), if(C60="Encontrar mágica", SUMIF(C60,Habilidades!$A$12,D60) * SUMIF(C60,Habilidades!$A$12,Habilidades!$B$12), if(C60="Cuidadoso 1", SUMIF(C60,Habilidades!$A$22,D60) * SUMIF(C60,Habilidades!$A$22,Habilidades!$B$22), if(C60="Cuidadoso 2", SUMIF(C60,Habilidades!$A$23,#REF!) * SUMIF(C60,Habilidades!$A$23,Habilidades!$B$23), if(C60="Cuidadoso 3", SUMIF(C60,Habilidades!$A$24,D60) * SUMIF(C60,Habilidades!$A$24,Habilidades!$B$24), if(C60="Ganancioso 1", SUMIF(C60,Habilidades!$A$25,D60) * SUMIF(C60,Habilidades!$A$25,Habilidades!$B$25), if(C60="Ganancioso 2", SUMIF(C60,Habilidades!$A$26,D60) * SUMIF(C60,Habilidades!$A$26,Habilidades!$B$26), if(C60="Ganancioso 3", SUMIF(C60,Habilidades!$A$27,D60) * SUMIF(C60,Habilidades!$A$27,Habilidades!$B$27), if(C60="Curandeiro 1", SUMIF(C60,Habilidades!$A$28,D60) * SUMIF(C60,Habilidades!$A$28,Habilidades!$B$28), if(C60="Curandeiro 2", SUMIF(C60,Habilidades!$A$29,D60) * SUMIF(C60,Habilidades!$A$29,Habilidades!$B$29), if(C60="Curandeiro 3", SUMIF(C60,Habilidades!$A$30,D60) * SUMIF(C60,Habilidades!$A$30,Habilidades!$B$30), if(C60="Sortudo 1", SUMIF(C60,Habilidades!$A$31,D60) * SUMIF(C60,Habilidades!$A$31,Habilidades!$B$31), if(C60="Sortudo 2", SUMIF(C60,Habilidades!$A$32,D60) * SUMIF(C60,Habilidades!$A$32,Habilidades!$B$32), if(C60="Sortudo 3", SUMIF(C60,Habilidades!$A$33,D60) * SUMIF(C60,Habilidades!$A$33,Habilidades!$B$33), if(C60="Protetor 1", SUMIF(C60,Habilidades!$A$34,D60) * SUMIF(C60,Habilidades!$A$34,Habilidades!$B$34), if(C60="Protetor 2", SUMIF(C60,Habilidades!$A$35,D60) * SUMIF(C60,Habilidades!$A$35,Habilidades!$B$35), if(C60="Protetor 3", SUMIF(C60,Habilidades!$A$36,D60) * SUMIF(C60,Habilidades!$A$36,Habilidades!$B$36), if(C60="Engenhoso 1", SUMIF(C60,Habilidades!$A$40,D60) * SUMIF(C60,Habilidades!$A$40,Habilidades!$B$40), if(C60="Engenhoso 2", SUMIF(C60,Habilidades!$A$41,D60) * SUMIF(C60,Habilidades!$A$41,Habilidades!$B$41), if(C60="Engenhoso 3", SUMIF(C60,Habilidades!$A$42,D60) * SUMIF(C60,Habilidades!$A$42,Habilidades!$B$42), if(C60="Reviver 1", SUMIF(C60,Habilidades!$A$43,D60) * SUMIF(C60,Habilidades!$A$43,Habilidades!$B$43), if(C60="Reviver 2", SUMIF(C60,Habilidades!$A$44,D60) * SUMIF(C60,Habilidades!$A$44,Habilidades!$B$44), if(C60="Reviver 3", SUMIF(C60,Habilidades!$A$45,D60) * SUMIF(C60,Habilidades!$A$45,Habilidades!$B$45), if(C60="Catador 1", SUMIF(C60,Habilidades!$A$46,D60) * SUMIF(C60,Habilidades!$A$46,Habilidades!$B$46), if(C60="Catador 2", SUMIF(C60,Habilidades!$A$47,D60) * SUMIF(C60,Habilidades!$A$47,Habilidades!$B$47), if(C60="Catador 3", SUMIF(C60,Habilidades!$A$48,D60) * SUMIF(C60,Habilidades!$A$48,Habilidades!$B$48), if(C60="Fornecedor 1", SUMIF(C60,Habilidades!$A$49,D60) * SUMIF(C60,Habilidades!$A$49,Habilidades!$B$49), if(C60="Fornecedor 2", SUMIF(C60,Habilidades!$A$50,D60) * SUMIF(C60,Habilidades!$A$50,Habilidades!$B$50), if(C60="Fornecedor 3", SUMIF(C60,Habilidades!$A$51,D60) * SUMIF(C60,Habilidades!$A$51,Habilidades!$B$51), if(C60="Suporte 1", SUMIF(C60,Habilidades!$A$52,D60) * SUMIF(C60,Habilidades!$A$52,Habilidades!$B$52), if(C60="Suporte 2", SUMIF(C60,Habilidades!$A$53,D60) * SUMIF(C60,Habilidades!$A$53,Habilidades!$B$53), if(C60="Suporte 3", SUMIF(C60,Habilidades!$A$54,D60) * SUMIF(C60,Habilidades!$A$54,Habilidades!$B$54), if(C60="Caça-tesouros 1", SUMIF(C60,Habilidades!$A$55,D60) * SUMIF(C60,Habilidades!$A$55,Habilidades!$B$55), if(C60="Caça-tesouros 2", SUMIF(C60,Habilidades!$A$56,D60) * SUMIF(C60,Habilidades!$A$56,Habilidades!$B$56), if(C60="Caça-tesouros 3", SUMIF(C60,Habilidades!$A$57,D60) * SUMIF(C60,Habilidades!$A$57,Habilidades!$B$57), if(C60="Velocista 1", SUMIF(C60,Habilidades!$A$77,D60) * SUMIF(C60,Habilidades!$A$77,Habilidades!$B$77), if(C60="Velocista 2", SUMIF(C60,Habilidades!$A$78,D60) * SUMIF(C60,Habilidades!$A$78,Habilidades!$B$78), if(C60="Velocista 3", SUMIF(C60,Habilidades!$A$79,D60) * SUMIF(C60,Habilidades!$A$79,Habilidades!$B$79), "-"))))))))))))))))))))))))))))))))))))))</f>
        <v>-</v>
      </c>
      <c r="F60" s="110"/>
      <c r="G60" s="110"/>
      <c r="H60" s="110"/>
      <c r="I60" s="110"/>
      <c r="J60" s="110"/>
      <c r="K60" s="110"/>
      <c r="L60" s="110"/>
      <c r="M60" s="110"/>
      <c r="N60" s="110"/>
    </row>
    <row r="61"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</row>
    <row r="62"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</row>
    <row r="63"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</row>
    <row r="64"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</row>
    <row r="65"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</row>
    <row r="66"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</row>
    <row r="67"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</row>
    <row r="68"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</row>
    <row r="69"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</row>
    <row r="70"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</sheetData>
  <mergeCells count="6">
    <mergeCell ref="A1:B70"/>
    <mergeCell ref="C10:M10"/>
    <mergeCell ref="K19:L19"/>
    <mergeCell ref="K20:L20"/>
    <mergeCell ref="H22:I22"/>
    <mergeCell ref="H23:I23"/>
  </mergeCells>
  <conditionalFormatting sqref="H20">
    <cfRule type="cellIs" dxfId="6" priority="1" operator="greaterThan">
      <formula>100</formula>
    </cfRule>
  </conditionalFormatting>
  <conditionalFormatting sqref="H20">
    <cfRule type="cellIs" dxfId="7" priority="2" operator="lessThanOrEqual">
      <formula>100</formula>
    </cfRule>
  </conditionalFormatting>
  <conditionalFormatting sqref="H20:I20">
    <cfRule type="cellIs" dxfId="8" priority="3" operator="lessThanOrEqual">
      <formula>100</formula>
    </cfRule>
  </conditionalFormatting>
  <conditionalFormatting sqref="H20:I20">
    <cfRule type="cellIs" dxfId="9" priority="4" operator="greaterThan">
      <formula>100</formula>
    </cfRule>
  </conditionalFormatting>
  <conditionalFormatting sqref="I20">
    <cfRule type="cellIs" dxfId="8" priority="5" operator="lessThanOrEqual">
      <formula>100</formula>
    </cfRule>
  </conditionalFormatting>
  <conditionalFormatting sqref="I20">
    <cfRule type="cellIs" dxfId="9" priority="6" operator="greaterThan">
      <formula>100</formula>
    </cfRule>
  </conditionalFormatting>
  <dataValidations>
    <dataValidation type="list" allowBlank="1" showErrorMessage="1" sqref="D6">
      <formula1>Listas2!$G$1:$G$200</formula1>
    </dataValidation>
    <dataValidation type="list" allowBlank="1" showErrorMessage="1" sqref="J8">
      <formula1>Listas2!$K$1194:$K$1392</formula1>
    </dataValidation>
    <dataValidation type="list" allowBlank="1" showErrorMessage="1" sqref="G3">
      <formula1>Listas2!$A$598:$A$796</formula1>
    </dataValidation>
    <dataValidation type="list" allowBlank="1" showErrorMessage="1" sqref="D7">
      <formula1>Listas2!$I$1:$I$200</formula1>
    </dataValidation>
    <dataValidation type="list" allowBlank="1" showErrorMessage="1" sqref="E4">
      <formula1>Listas2!$O$1:$O$200</formula1>
    </dataValidation>
    <dataValidation type="list" allowBlank="1" showErrorMessage="1" sqref="H4">
      <formula1>Listas2!$O$598:$O$796</formula1>
    </dataValidation>
    <dataValidation type="list" allowBlank="1" showErrorMessage="1" sqref="D5">
      <formula1>Listas2!E1:E200</formula1>
    </dataValidation>
    <dataValidation type="list" allowBlank="1" showErrorMessage="1" sqref="H5">
      <formula1>Listas2!$Q$598:$Q$796</formula1>
    </dataValidation>
    <dataValidation type="list" allowBlank="1" showErrorMessage="1" sqref="H3">
      <formula1>Listas2!$M$598:$M$796</formula1>
    </dataValidation>
    <dataValidation type="list" allowBlank="1" showErrorMessage="1" sqref="G4">
      <formula1>Listas2!$C$598:$C$796</formula1>
    </dataValidation>
    <dataValidation type="list" allowBlank="1" showErrorMessage="1" sqref="G8">
      <formula1>Listas2!$K$598:$K$796</formula1>
    </dataValidation>
    <dataValidation type="list" allowBlank="1" showErrorMessage="1" sqref="E3">
      <formula1>Listas2!$M$1:$M$200</formula1>
    </dataValidation>
    <dataValidation type="list" allowBlank="1" showErrorMessage="1" sqref="F3">
      <formula1>Listas2!$Y$1:$Y$200</formula1>
    </dataValidation>
    <dataValidation type="list" allowBlank="1" showErrorMessage="1" sqref="F4">
      <formula1>Listas2!$AA$1:$AA$200</formula1>
    </dataValidation>
    <dataValidation type="list" allowBlank="1" showErrorMessage="1" sqref="I5">
      <formula1>Listas2!$AC$598:$AC$796</formula1>
    </dataValidation>
    <dataValidation type="list" allowBlank="1" showErrorMessage="1" sqref="I4">
      <formula1>Listas2!$AA$598:$AA$796</formula1>
    </dataValidation>
    <dataValidation type="list" allowBlank="1" showErrorMessage="1" sqref="G5">
      <formula1>Listas2!$E$598:$E$796</formula1>
    </dataValidation>
    <dataValidation type="list" allowBlank="1" showErrorMessage="1" sqref="D8">
      <formula1>Listas2!$K$1:$K$200</formula1>
    </dataValidation>
    <dataValidation type="list" allowBlank="1" showErrorMessage="1" sqref="J7">
      <formula1>Listas2!$I$1194:$I$1392</formula1>
    </dataValidation>
    <dataValidation type="list" allowBlank="1" showErrorMessage="1" sqref="J5">
      <formula1>Listas2!$E$1194:$E$1392</formula1>
    </dataValidation>
    <dataValidation type="list" allowBlank="1" showErrorMessage="1" sqref="G6">
      <formula1>Listas2!$G$598:$G$796</formula1>
    </dataValidation>
    <dataValidation type="list" allowBlank="1" showErrorMessage="1" sqref="J6">
      <formula1>Listas2!$G$1194:$G$1392</formula1>
    </dataValidation>
    <dataValidation type="list" allowBlank="1" showErrorMessage="1" sqref="J4">
      <formula1>Listas2!$C$1194:$C$1392</formula1>
    </dataValidation>
    <dataValidation type="list" allowBlank="1" showErrorMessage="1" sqref="I8">
      <formula1>Listas2!$AI$598:$AI$796</formula1>
    </dataValidation>
    <dataValidation type="list" allowBlank="1" showErrorMessage="1" sqref="I6">
      <formula1>Listas2!$AE$598:$AE$796</formula1>
    </dataValidation>
    <dataValidation type="list" allowBlank="1" showErrorMessage="1" sqref="F7">
      <formula1>Listas2!$AG$1:$AG$200</formula1>
    </dataValidation>
    <dataValidation type="list" allowBlank="1" showErrorMessage="1" sqref="E8">
      <formula1>Listas2!$W$1:$W$200</formula1>
    </dataValidation>
    <dataValidation type="list" allowBlank="1" showErrorMessage="1" sqref="H8">
      <formula1>Listas2!$W$598:$W$796</formula1>
    </dataValidation>
    <dataValidation type="list" allowBlank="1" showErrorMessage="1" sqref="F5">
      <formula1>Listas2!$AC$1:$AC$200</formula1>
    </dataValidation>
    <dataValidation type="list" allowBlank="1" showErrorMessage="1" sqref="I3">
      <formula1>Listas2!$Y$598:$Y$796</formula1>
    </dataValidation>
    <dataValidation type="list" allowBlank="1" showErrorMessage="1" sqref="G7">
      <formula1>Listas2!$I$598:$I$796</formula1>
    </dataValidation>
    <dataValidation type="list" allowBlank="1" showErrorMessage="1" sqref="F8">
      <formula1>Listas2!$AI$1:$AI$200</formula1>
    </dataValidation>
    <dataValidation type="list" allowBlank="1" showErrorMessage="1" sqref="D3">
      <formula1>Listas2!$A$1:$A$200</formula1>
    </dataValidation>
    <dataValidation type="list" allowBlank="1" showErrorMessage="1" sqref="J3">
      <formula1>Listas2!$A$1194:$A$1392</formula1>
    </dataValidation>
    <dataValidation type="list" allowBlank="1" showErrorMessage="1" sqref="E7">
      <formula1>Listas2!$U$1:$U$200</formula1>
    </dataValidation>
    <dataValidation type="list" allowBlank="1" showErrorMessage="1" sqref="H6">
      <formula1>Listas2!$S$598:$S$796</formula1>
    </dataValidation>
    <dataValidation type="list" allowBlank="1" showErrorMessage="1" sqref="E5">
      <formula1>Listas2!$Q$1:$Q$200</formula1>
    </dataValidation>
    <dataValidation type="list" allowBlank="1" showErrorMessage="1" sqref="E6">
      <formula1>Listas2!$S$1:$S$200</formula1>
    </dataValidation>
    <dataValidation type="list" allowBlank="1" showErrorMessage="1" sqref="D4">
      <formula1>Listas2!$C$1:$C$200</formula1>
    </dataValidation>
    <dataValidation type="list" allowBlank="1" showErrorMessage="1" sqref="H7">
      <formula1>Listas2!$U$598:$U$796</formula1>
    </dataValidation>
    <dataValidation type="list" allowBlank="1" showErrorMessage="1" sqref="C3:C8">
      <formula1>Personagem!$B$1:$AC$1</formula1>
    </dataValidation>
    <dataValidation type="list" allowBlank="1" showErrorMessage="1" sqref="I7">
      <formula1>Listas2!$AG$598:$AG$796</formula1>
    </dataValidation>
    <dataValidation type="list" allowBlank="1" showErrorMessage="1" sqref="F6">
      <formula1>Listas2!$AE$1:$AE$200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0.38" outlineLevel="1"/>
    <col customWidth="1" min="2" max="2" width="2.63"/>
    <col customWidth="1" min="3" max="3" width="11.5"/>
    <col customWidth="1" min="4" max="4" width="20.5"/>
    <col customWidth="1" min="5" max="5" width="14.63"/>
    <col customWidth="1" min="6" max="6" width="15.63"/>
    <col customWidth="1" min="7" max="7" width="16.0"/>
    <col customWidth="1" min="8" max="8" width="18.0"/>
    <col customWidth="1" min="9" max="9" width="17.38"/>
    <col customWidth="1" min="10" max="10" width="17.25"/>
    <col customWidth="1" min="11" max="11" width="17.38"/>
    <col customWidth="1" min="12" max="12" width="17.25"/>
    <col customWidth="1" min="13" max="14" width="15.75"/>
  </cols>
  <sheetData>
    <row r="1">
      <c r="A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>
      <c r="C2" s="112" t="s">
        <v>807</v>
      </c>
      <c r="D2" s="113" t="s">
        <v>35</v>
      </c>
      <c r="E2" s="113" t="s">
        <v>44</v>
      </c>
      <c r="F2" s="113" t="s">
        <v>48</v>
      </c>
      <c r="G2" s="113" t="s">
        <v>51</v>
      </c>
      <c r="H2" s="113" t="s">
        <v>54</v>
      </c>
      <c r="I2" s="113" t="s">
        <v>57</v>
      </c>
      <c r="J2" s="113" t="s">
        <v>62</v>
      </c>
      <c r="K2" s="110"/>
      <c r="L2" s="110"/>
      <c r="M2" s="110"/>
      <c r="N2" s="110"/>
    </row>
    <row r="3">
      <c r="C3" s="114" t="s">
        <v>12</v>
      </c>
      <c r="D3" s="120" t="s">
        <v>385</v>
      </c>
      <c r="E3" s="121" t="s">
        <v>702</v>
      </c>
      <c r="F3" s="116" t="s">
        <v>292</v>
      </c>
      <c r="G3" s="121" t="s">
        <v>489</v>
      </c>
      <c r="H3" s="114" t="s">
        <v>221</v>
      </c>
      <c r="I3" s="114" t="s">
        <v>99</v>
      </c>
      <c r="J3" s="114" t="s">
        <v>630</v>
      </c>
      <c r="K3" s="117"/>
      <c r="L3" s="110"/>
      <c r="M3" s="110"/>
      <c r="N3" s="110"/>
    </row>
    <row r="4">
      <c r="C4" s="114" t="s">
        <v>27</v>
      </c>
      <c r="D4" s="151" t="s">
        <v>255</v>
      </c>
      <c r="E4" s="116" t="s">
        <v>688</v>
      </c>
      <c r="F4" s="119" t="s">
        <v>287</v>
      </c>
      <c r="G4" s="119" t="s">
        <v>489</v>
      </c>
      <c r="H4" s="119" t="s">
        <v>648</v>
      </c>
      <c r="I4" s="119" t="s">
        <v>443</v>
      </c>
      <c r="J4" s="119" t="s">
        <v>621</v>
      </c>
      <c r="K4" s="117"/>
      <c r="L4" s="110"/>
      <c r="M4" s="110"/>
      <c r="N4" s="110"/>
    </row>
    <row r="5">
      <c r="C5" s="114" t="s">
        <v>17</v>
      </c>
      <c r="D5" s="115" t="s">
        <v>385</v>
      </c>
      <c r="E5" s="121" t="s">
        <v>175</v>
      </c>
      <c r="F5" s="121" t="s">
        <v>307</v>
      </c>
      <c r="G5" s="121" t="s">
        <v>526</v>
      </c>
      <c r="H5" s="121" t="s">
        <v>214</v>
      </c>
      <c r="I5" s="121" t="s">
        <v>375</v>
      </c>
      <c r="J5" s="143" t="s">
        <v>621</v>
      </c>
      <c r="K5" s="117"/>
      <c r="L5" s="110"/>
      <c r="M5" s="110"/>
      <c r="N5" s="110"/>
    </row>
    <row r="6">
      <c r="C6" s="114" t="s">
        <v>16</v>
      </c>
      <c r="D6" s="151" t="s">
        <v>170</v>
      </c>
      <c r="E6" s="119" t="s">
        <v>702</v>
      </c>
      <c r="F6" s="119" t="s">
        <v>287</v>
      </c>
      <c r="G6" s="119" t="s">
        <v>489</v>
      </c>
      <c r="H6" s="119" t="s">
        <v>648</v>
      </c>
      <c r="I6" s="116" t="s">
        <v>128</v>
      </c>
      <c r="J6" s="116" t="s">
        <v>638</v>
      </c>
      <c r="K6" s="117"/>
      <c r="L6" s="110"/>
      <c r="M6" s="110"/>
      <c r="N6" s="110"/>
    </row>
    <row r="7">
      <c r="C7" s="114" t="s">
        <v>32</v>
      </c>
      <c r="D7" s="115" t="s">
        <v>602</v>
      </c>
      <c r="E7" s="121" t="s">
        <v>702</v>
      </c>
      <c r="F7" s="143" t="s">
        <v>287</v>
      </c>
      <c r="G7" s="152" t="s">
        <v>489</v>
      </c>
      <c r="H7" s="121" t="s">
        <v>648</v>
      </c>
      <c r="I7" s="121" t="s">
        <v>443</v>
      </c>
      <c r="J7" s="116" t="s">
        <v>638</v>
      </c>
      <c r="K7" s="117"/>
      <c r="L7" s="110"/>
      <c r="M7" s="110"/>
      <c r="N7" s="110"/>
    </row>
    <row r="8">
      <c r="C8" s="114" t="s">
        <v>10</v>
      </c>
      <c r="D8" s="151" t="s">
        <v>255</v>
      </c>
      <c r="E8" s="119" t="s">
        <v>702</v>
      </c>
      <c r="F8" s="119" t="s">
        <v>287</v>
      </c>
      <c r="G8" s="119" t="s">
        <v>489</v>
      </c>
      <c r="H8" s="119" t="s">
        <v>648</v>
      </c>
      <c r="I8" s="119" t="s">
        <v>443</v>
      </c>
      <c r="J8" s="119" t="s">
        <v>547</v>
      </c>
      <c r="K8" s="117"/>
      <c r="L8" s="110"/>
      <c r="M8" s="110"/>
      <c r="N8" s="110"/>
    </row>
    <row r="9"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>
      <c r="C10" s="122" t="s">
        <v>808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10"/>
    </row>
    <row r="11">
      <c r="C11" s="125" t="str">
        <f t="shared" ref="C11:C16" si="1">C3</f>
        <v>Darthos</v>
      </c>
      <c r="D11" s="126" t="str">
        <f>IFERROR(__xludf.DUMMYFUNCTION("FILTER('Armas do jogo'!E3:E70,'Armas do jogo'!B3:B70=D3)"),"Energético 3")</f>
        <v>Energético 3</v>
      </c>
      <c r="E11" s="126" t="str">
        <f>IFERROR(__xludf.DUMMYFUNCTION("FILTER('Armas do jogo'!E3:E70,'Armas do jogo'!B3:B70=E3)"),"Encontrar mágica")</f>
        <v>Encontrar mágica</v>
      </c>
      <c r="F11" s="126" t="str">
        <f>IFERROR(__xludf.DUMMYFUNCTION("FILTER('Armas do jogo'!E3:E70,'Armas do jogo'!B3:B70=F3)"),"Encontrar mágica")</f>
        <v>Encontrar mágica</v>
      </c>
      <c r="G11" s="126" t="str">
        <f>IFERROR(__xludf.DUMMYFUNCTION("FILTER('Armas do jogo'!E3:E70,'Armas do jogo'!B3:B70=G3)"),"Encontrar mágica")</f>
        <v>Encontrar mágica</v>
      </c>
      <c r="H11" s="126" t="str">
        <f>IFERROR(__xludf.DUMMYFUNCTION("FILTER('Armas do jogo'!E3:E70,'Armas do jogo'!B3:B70=H3)"),"Velocista 3")</f>
        <v>Velocista 3</v>
      </c>
      <c r="I11" s="126" t="str">
        <f>IFERROR(__xludf.DUMMYFUNCTION("FILTER('Armas do jogo'!E3:E70,'Armas do jogo'!B3:B70=I3)"),"Líder 1")</f>
        <v>Líder 1</v>
      </c>
      <c r="J11" s="126" t="str">
        <f>IFERROR(__xludf.DUMMYFUNCTION("FILTER('Armas do jogo'!E3:E70,'Armas do jogo'!B3:B70=J3)"),"Velocista 2")</f>
        <v>Velocista 2</v>
      </c>
      <c r="K11" s="126" t="str">
        <f>'Heróis'!A$9</f>
        <v>Sábio 2</v>
      </c>
      <c r="L11" s="126" t="str">
        <f>'Heróis'!$A$10</f>
        <v>Companheiro de Guerra 3</v>
      </c>
      <c r="M11" s="127" t="str">
        <f>'Heróis'!$A$11</f>
        <v>Velocista 2</v>
      </c>
      <c r="N11" s="110"/>
    </row>
    <row r="12">
      <c r="C12" s="125" t="str">
        <f t="shared" si="1"/>
        <v>Minh</v>
      </c>
      <c r="D12" s="126" t="str">
        <f>IFERROR(__xludf.DUMMYFUNCTION("FILTER('Armas do jogo'!E4:E658,'Armas do jogo'!B4:B658=D4)"),"Encontrar mágica")</f>
        <v>Encontrar mágica</v>
      </c>
      <c r="E12" s="126" t="str">
        <f>IFERROR(__xludf.DUMMYFUNCTION("FILTER('Armas do jogo'!E4:E658,'Armas do jogo'!B4:B658=E4)"),"Reviver 3")</f>
        <v>Reviver 3</v>
      </c>
      <c r="F12" s="126" t="str">
        <f>IFERROR(__xludf.DUMMYFUNCTION("FILTER('Armas do jogo'!E4:E658,'Armas do jogo'!B4:B658=F4)"),"Reviver 3")</f>
        <v>Reviver 3</v>
      </c>
      <c r="G12" s="126" t="str">
        <f>IFERROR(__xludf.DUMMYFUNCTION("FILTER('Armas do jogo'!E4:E658,'Armas do jogo'!B4:B658=G4)"),"Encontrar mágica")</f>
        <v>Encontrar mágica</v>
      </c>
      <c r="H12" s="126" t="str">
        <f>IFERROR(__xludf.DUMMYFUNCTION("FILTER('Armas do jogo'!E4:E658,'Armas do jogo'!B4:B658=H4)"),"Detectar segredo")</f>
        <v>Detectar segredo</v>
      </c>
      <c r="I12" s="126" t="str">
        <f>IFERROR(__xludf.DUMMYFUNCTION("FILTER('Armas do jogo'!E4:E658,'Armas do jogo'!B4:B658=I4)"),"Energético 3")</f>
        <v>Energético 3</v>
      </c>
      <c r="J12" s="126" t="str">
        <f>IFERROR(__xludf.DUMMYFUNCTION("FILTER('Armas do jogo'!E4:E658,'Armas do jogo'!B4:B658=J4)"),"Encontrar mágica")</f>
        <v>Encontrar mágica</v>
      </c>
      <c r="K12" s="126" t="str">
        <f>'Heróis'!B$9</f>
        <v>Curandeiro 1</v>
      </c>
      <c r="L12" s="126" t="str">
        <f>'Heróis'!$B$10</f>
        <v>Reviver 1</v>
      </c>
      <c r="M12" s="126" t="str">
        <f>'Heróis'!$B$11</f>
        <v>Sábio 1</v>
      </c>
      <c r="N12" s="110"/>
    </row>
    <row r="13">
      <c r="C13" s="125" t="str">
        <f t="shared" si="1"/>
        <v>Gauvin</v>
      </c>
      <c r="D13" s="126" t="str">
        <f>IFERROR(__xludf.DUMMYFUNCTION("FILTER('Armas do jogo'!E5:E659,'Armas do jogo'!B5:B659=D5)"),"Energético 3")</f>
        <v>Energético 3</v>
      </c>
      <c r="E13" s="126" t="str">
        <f>IFERROR(__xludf.DUMMYFUNCTION("FILTER('Armas do jogo'!E5:E659,'Armas do jogo'!B5:B659=E5)"),"Reviver 2")</f>
        <v>Reviver 2</v>
      </c>
      <c r="F13" s="126" t="str">
        <f>IFERROR(__xludf.DUMMYFUNCTION("FILTER('Armas do jogo'!E5:E659,'Armas do jogo'!B5:B659=F5)"),"Suporte 2")</f>
        <v>Suporte 2</v>
      </c>
      <c r="G13" s="126" t="str">
        <f>IFERROR(__xludf.DUMMYFUNCTION("FILTER('Armas do jogo'!E5:E659,'Armas do jogo'!B5:B659=G5)"),"Encontrar mágica")</f>
        <v>Encontrar mágica</v>
      </c>
      <c r="H13" s="126" t="str">
        <f>IFERROR(__xludf.DUMMYFUNCTION("FILTER('Armas do jogo'!E5:E659,'Armas do jogo'!B5:B659=H5)"),"Reviver 2")</f>
        <v>Reviver 2</v>
      </c>
      <c r="I13" s="126" t="str">
        <f>IFERROR(__xludf.DUMMYFUNCTION("FILTER('Armas do jogo'!E5:E659,'Armas do jogo'!B5:B659=I5)"),"Encontrar mágica")</f>
        <v>Encontrar mágica</v>
      </c>
      <c r="J13" s="126" t="str">
        <f>IFERROR(__xludf.DUMMYFUNCTION("FILTER('Armas do jogo'!E5:E659,'Armas do jogo'!B5:B659=J5)"),"Encontrar mágica")</f>
        <v>Encontrar mágica</v>
      </c>
      <c r="K13" s="126" t="str">
        <f>'Heróis'!C$9</f>
        <v>Resistente 2</v>
      </c>
      <c r="L13" s="126" t="str">
        <f>'Heróis'!$C$10</f>
        <v>Companheiro de Guerra 1</v>
      </c>
      <c r="M13" s="126" t="str">
        <f>'Heróis'!$C$11</f>
        <v>Líder 1</v>
      </c>
      <c r="N13" s="110"/>
    </row>
    <row r="14">
      <c r="C14" s="125" t="str">
        <f t="shared" si="1"/>
        <v>Garreth</v>
      </c>
      <c r="D14" s="126" t="str">
        <f>IFERROR(__xludf.DUMMYFUNCTION("FILTER('Armas do jogo'!E6:E660,'Armas do jogo'!B6:B660=D6)"),"Energético 3")</f>
        <v>Energético 3</v>
      </c>
      <c r="E14" s="126" t="str">
        <f>IFERROR(__xludf.DUMMYFUNCTION("FILTER('Armas do jogo'!E6:E660,'Armas do jogo'!B6:B660=E6)"),"Encontrar mágica")</f>
        <v>Encontrar mágica</v>
      </c>
      <c r="F14" s="126" t="str">
        <f>IFERROR(__xludf.DUMMYFUNCTION("FILTER('Armas do jogo'!E6:E660,'Armas do jogo'!B6:B660=F6)"),"Reviver 3")</f>
        <v>Reviver 3</v>
      </c>
      <c r="G14" s="126" t="str">
        <f>IFERROR(__xludf.DUMMYFUNCTION("FILTER('Armas do jogo'!E6:E660,'Armas do jogo'!B6:B660=G6)"),"Encontrar mágica")</f>
        <v>Encontrar mágica</v>
      </c>
      <c r="H14" s="126" t="str">
        <f>IFERROR(__xludf.DUMMYFUNCTION("FILTER('Armas do jogo'!E6:E660,'Armas do jogo'!B6:B660=H6)"),"Detectar segredo")</f>
        <v>Detectar segredo</v>
      </c>
      <c r="I14" s="126" t="str">
        <f>IFERROR(__xludf.DUMMYFUNCTION("FILTER('Armas do jogo'!E6:E660,'Armas do jogo'!B6:B660=I6)"),"Encontrar mágica")</f>
        <v>Encontrar mágica</v>
      </c>
      <c r="J14" s="126" t="str">
        <f>IFERROR(__xludf.DUMMYFUNCTION("FILTER('Armas do jogo'!E6:E660,'Armas do jogo'!B6:B660=J6)"),"Encontrar mágica")</f>
        <v>Encontrar mágica</v>
      </c>
      <c r="K14" s="126" t="str">
        <f>'Heróis'!D$9</f>
        <v>Sortudo 1</v>
      </c>
      <c r="L14" s="126" t="str">
        <f>'Heróis'!$D$10</f>
        <v>Catador 1</v>
      </c>
      <c r="M14" s="126" t="str">
        <f>'Heróis'!$D$11</f>
        <v>Caça-tesouros 1</v>
      </c>
      <c r="N14" s="110"/>
    </row>
    <row r="15">
      <c r="C15" s="125" t="str">
        <f t="shared" si="1"/>
        <v>Palash</v>
      </c>
      <c r="D15" s="126" t="str">
        <f>IFERROR(__xludf.DUMMYFUNCTION("FILTER('Armas do jogo'!E7:E661,'Armas do jogo'!B7:B661=D7)"),"Encontrar mágica")</f>
        <v>Encontrar mágica</v>
      </c>
      <c r="E15" s="126" t="str">
        <f>IFERROR(__xludf.DUMMYFUNCTION("FILTER('Armas do jogo'!E7:E661,'Armas do jogo'!B7:B661=E7)"),"Encontrar mágica")</f>
        <v>Encontrar mágica</v>
      </c>
      <c r="F15" s="126" t="str">
        <f>IFERROR(__xludf.DUMMYFUNCTION("FILTER('Armas do jogo'!E7:E661,'Armas do jogo'!B7:B661=F7)"),"Reviver 3")</f>
        <v>Reviver 3</v>
      </c>
      <c r="G15" s="126" t="str">
        <f>IFERROR(__xludf.DUMMYFUNCTION("FILTER('Armas do jogo'!E7:E661,'Armas do jogo'!B7:B661=G7)"),"Encontrar mágica")</f>
        <v>Encontrar mágica</v>
      </c>
      <c r="H15" s="126" t="str">
        <f>IFERROR(__xludf.DUMMYFUNCTION("FILTER('Armas do jogo'!E7:E661,'Armas do jogo'!B7:B661=H7)"),"Detectar segredo")</f>
        <v>Detectar segredo</v>
      </c>
      <c r="I15" s="126" t="str">
        <f>IFERROR(__xludf.DUMMYFUNCTION("FILTER('Armas do jogo'!E7:E661,'Armas do jogo'!B7:B661=I7)"),"Energético 3")</f>
        <v>Energético 3</v>
      </c>
      <c r="J15" s="126" t="str">
        <f>IFERROR(__xludf.DUMMYFUNCTION("FILTER('Armas do jogo'!E7:E661,'Armas do jogo'!B7:B661=J7)"),"Encontrar mágica")</f>
        <v>Encontrar mágica</v>
      </c>
      <c r="K15" s="126" t="str">
        <f>'Heróis'!E$9</f>
        <v>Resistente 1</v>
      </c>
      <c r="L15" s="126" t="str">
        <f>'Heróis'!$E$10</f>
        <v>Catador 1</v>
      </c>
      <c r="M15" s="126" t="str">
        <f>'Heróis'!$E$11</f>
        <v>Fornecedor 1</v>
      </c>
      <c r="N15" s="110"/>
    </row>
    <row r="16">
      <c r="C16" s="125" t="str">
        <f t="shared" si="1"/>
        <v>Charles</v>
      </c>
      <c r="D16" s="126" t="str">
        <f>IFERROR(__xludf.DUMMYFUNCTION("FILTER('Armas do jogo'!E8:E662,'Armas do jogo'!B8:B662=D8)"),"Encontrar mágica")</f>
        <v>Encontrar mágica</v>
      </c>
      <c r="E16" s="126" t="str">
        <f>IFERROR(__xludf.DUMMYFUNCTION("FILTER('Armas do jogo'!E8:E662,'Armas do jogo'!B8:B662=E8)"),"Encontrar mágica")</f>
        <v>Encontrar mágica</v>
      </c>
      <c r="F16" s="126" t="str">
        <f>IFERROR(__xludf.DUMMYFUNCTION("FILTER('Armas do jogo'!E8:E662,'Armas do jogo'!B8:B662=F8)"),"Reviver 3")</f>
        <v>Reviver 3</v>
      </c>
      <c r="G16" s="126" t="str">
        <f>IFERROR(__xludf.DUMMYFUNCTION("FILTER('Armas do jogo'!E8:E662,'Armas do jogo'!B8:B662=G8)"),"Encontrar mágica")</f>
        <v>Encontrar mágica</v>
      </c>
      <c r="H16" s="126" t="str">
        <f>IFERROR(__xludf.DUMMYFUNCTION("FILTER('Armas do jogo'!E8:E662,'Armas do jogo'!B8:B662=H8)"),"Detectar segredo")</f>
        <v>Detectar segredo</v>
      </c>
      <c r="I16" s="126" t="str">
        <f>IFERROR(__xludf.DUMMYFUNCTION("FILTER('Armas do jogo'!E8:E662,'Armas do jogo'!B8:B662=I8)"),"Energético 3")</f>
        <v>Energético 3</v>
      </c>
      <c r="J16" s="126" t="str">
        <f>IFERROR(__xludf.DUMMYFUNCTION("FILTER('Armas do jogo'!E8:E662,'Armas do jogo'!B8:B662=J8)"),"Detectar segredo")</f>
        <v>Detectar segredo</v>
      </c>
      <c r="K16" s="126" t="str">
        <f>'Heróis'!F$9</f>
        <v>Detectar segredo</v>
      </c>
      <c r="L16" s="126" t="str">
        <f>'Heróis'!$F$10</f>
        <v>Encontrar mágica</v>
      </c>
      <c r="M16" s="126" t="str">
        <f>'Heróis'!$F$11</f>
        <v>Armadura do Mago</v>
      </c>
      <c r="N16" s="110"/>
    </row>
    <row r="17"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>
      <c r="C18" s="114" t="s">
        <v>809</v>
      </c>
      <c r="D18" s="114" t="s">
        <v>810</v>
      </c>
      <c r="E18" s="120" t="s">
        <v>811</v>
      </c>
      <c r="F18" s="110"/>
      <c r="G18" s="110"/>
      <c r="H18" s="110"/>
      <c r="I18" s="110"/>
      <c r="J18" s="110"/>
      <c r="K18" s="110"/>
      <c r="L18" s="110"/>
      <c r="M18" s="110"/>
      <c r="N18" s="110"/>
    </row>
    <row r="19">
      <c r="C19" s="128" t="str">
        <f>IFERROR(__xludf.DUMMYFUNCTION("UNIQUE(sort(filter(Skills!E:E,Skills!E:E&lt;&gt;""""),1,true))"),"Armadura do Mago")</f>
        <v>Armadura do Mago</v>
      </c>
      <c r="D19" s="129">
        <f t="shared" ref="D19:D60" si="2">COUNTIF($D$11:$M$16,C19)</f>
        <v>1</v>
      </c>
      <c r="E19" s="130" t="str">
        <f>if(C19="Detectar Segredo", SUMIF(C19,Habilidades!$A$11,D19) * SUMIF(C19,Habilidades!$A$11,Habilidades!$B$11), if(C19="Encontrar mágica", SUMIF(C19,Habilidades!$A$12,D19) * SUMIF(C19,Habilidades!$A$12,Habilidades!$B$12), if(C19="Cuidadoso 1", SUMIF(C19,Habilidades!$A$22,D19) * SUMIF(C19,Habilidades!$A$22,Habilidades!$B$22), if(C19="Cuidadoso 2", SUMIF(C19,Habilidades!$A$23,D33) * SUMIF(C19,Habilidades!$A$23,Habilidades!$B$23), if(C19="Cuidadoso 3", SUMIF(C19,Habilidades!$A$24,D19) * SUMIF(C19,Habilidades!$A$24,Habilidades!$B$24), if(C19="Ganancioso 1", SUMIF(C19,Habilidades!$A$25,D19) * SUMIF(C19,Habilidades!$A$25,Habilidades!$B$25), if(C19="Ganancioso 2", SUMIF(C19,Habilidades!$A$26,D19) * SUMIF(C19,Habilidades!$A$26,Habilidades!$B$26), if(C19="Ganancioso 3", SUMIF(C19,Habilidades!$A$27,D19) * SUMIF(C19,Habilidades!$A$27,Habilidades!$B$27), if(C19="Curandeiro 1", SUMIF(C19,Habilidades!$A$28,D19) * SUMIF(C19,Habilidades!$A$28,Habilidades!$B$28), if(C19="Curandeiro 2", SUMIF(C19,Habilidades!$A$29,D19) * SUMIF(C19,Habilidades!$A$29,Habilidades!$B$29), if(C19="Curandeiro 3", SUMIF(C19,Habilidades!$A$30,D19) * SUMIF(C19,Habilidades!$A$30,Habilidades!$B$30), if(C19="Sortudo 1", SUMIF(C19,Habilidades!$A$31,D19) * SUMIF(C19,Habilidades!$A$31,Habilidades!$B$31), if(C19="Sortudo 2", SUMIF(C19,Habilidades!$A$32,D19) * SUMIF(C19,Habilidades!$A$32,Habilidades!$B$32), if(C19="Sortudo 3", SUMIF(C19,Habilidades!$A$33,D19) * SUMIF(C19,Habilidades!$A$33,Habilidades!$B$33), if(C19="Protetor 1", SUMIF(C19,Habilidades!$A$34,D19) * SUMIF(C19,Habilidades!$A$34,Habilidades!$B$34), if(C19="Protetor 2", SUMIF(C19,Habilidades!$A$35,D19) * SUMIF(C19,Habilidades!$A$35,Habilidades!$B$35), if(C19="Protetor 3", SUMIF(C19,Habilidades!$A$36,D19) * SUMIF(C19,Habilidades!$A$36,Habilidades!$B$36), if(C19="Engenhoso 1", SUMIF(C19,Habilidades!$A$40,D19) * SUMIF(C19,Habilidades!$A$40,Habilidades!$B$40), if(C19="Engenhoso 2", SUMIF(C19,Habilidades!$A$41,D19) * SUMIF(C19,Habilidades!$A$41,Habilidades!$B$41), if(C19="Engenhoso 3", SUMIF(C19,Habilidades!$A$42,D19) * SUMIF(C19,Habilidades!$A$42,Habilidades!$B$42), if(C19="Reviver 1", SUMIF(C19,Habilidades!$A$43,D19) * SUMIF(C19,Habilidades!$A$43,Habilidades!$B$43), if(C19="Reviver 2", SUMIF(C19,Habilidades!$A$44,D19) * SUMIF(C19,Habilidades!$A$44,Habilidades!$B$44), if(C19="Reviver 3", SUMIF(C19,Habilidades!$A$45,D19) * SUMIF(C19,Habilidades!$A$45,Habilidades!$B$45), if(C19="Catador 1", SUMIF(C19,Habilidades!$A$46,D19) * SUMIF(C19,Habilidades!$A$46,Habilidades!$B$46), if(C19="Catador 2", SUMIF(C19,Habilidades!$A$47,D19) * SUMIF(C19,Habilidades!$A$47,Habilidades!$B$47), if(C19="Catador 3", SUMIF(C19,Habilidades!$A$48,D19) * SUMIF(C19,Habilidades!$A$48,Habilidades!$B$48), if(C19="Fornecedor 1", SUMIF(C19,Habilidades!$A$49,D19) * SUMIF(C19,Habilidades!$A$49,Habilidades!$B$49), if(C19="Fornecedor 2", SUMIF(C19,Habilidades!$A$50,D19) * SUMIF(C19,Habilidades!$A$50,Habilidades!$B$50), if(C19="Fornecedor 3", SUMIF(C19,Habilidades!$A$51,D19) * SUMIF(C19,Habilidades!$A$51,Habilidades!$B$51), if(C19="Suporte 1", SUMIF(C19,Habilidades!$A$52,D19) * SUMIF(C19,Habilidades!$A$52,Habilidades!$B$52), if(C19="Suporte 2", SUMIF(C19,Habilidades!$A$53,D19) * SUMIF(C19,Habilidades!$A$53,Habilidades!$B$53), if(C19="Suporte 3", SUMIF(C19,Habilidades!$A$54,D19) * SUMIF(C19,Habilidades!$A$54,Habilidades!$B$54), if(C19="Caça-tesouros 1", SUMIF(C19,Habilidades!$A$55,D19) * SUMIF(C19,Habilidades!$A$55,Habilidades!$B$55), if(C19="Caça-tesouros 2", SUMIF(C19,Habilidades!$A$56,D19) * SUMIF(C19,Habilidades!$A$56,Habilidades!$B$56), if(C19="Caça-tesouros 3", SUMIF(C19,Habilidades!$A$57,D19) * SUMIF(C19,Habilidades!$A$57,Habilidades!$B$57), if(C19="Velocista 1", SUMIF(C19,Habilidades!$A$77,D19) * SUMIF(C19,Habilidades!$A$77,Habilidades!$B$77), if(C19="Velocista 2", SUMIF(C19,Habilidades!$A$78,D19) * SUMIF(C19,Habilidades!$A$78,Habilidades!$B$78), if(C19="Velocista 3", SUMIF(C19,Habilidades!$A$79,D19) * SUMIF(C19,Habilidades!$A$79,Habilidades!$B$79), "-"))))))))))))))))))))))))))))))))))))))</f>
        <v>-</v>
      </c>
      <c r="F19" s="110"/>
      <c r="G19" s="131" t="s">
        <v>812</v>
      </c>
      <c r="H19" s="131" t="s">
        <v>813</v>
      </c>
      <c r="I19" s="131" t="s">
        <v>814</v>
      </c>
      <c r="J19" s="131" t="s">
        <v>815</v>
      </c>
      <c r="K19" s="132" t="s">
        <v>816</v>
      </c>
      <c r="L19" s="124"/>
      <c r="M19" s="110"/>
      <c r="N19" s="110"/>
    </row>
    <row r="20">
      <c r="C20" s="133" t="str">
        <f>IFERROR(__xludf.DUMMYFUNCTION("""COMPUTED_VALUE"""),"Caça-tesouros 1")</f>
        <v>Caça-tesouros 1</v>
      </c>
      <c r="D20" s="129">
        <f t="shared" si="2"/>
        <v>1</v>
      </c>
      <c r="E20" s="130">
        <f>if(C20="Detectar Segredo", SUMIF(C20,Habilidades!$A$11,D20) * SUMIF(C20,Habilidades!$A$11,Habilidades!$B$11), if(C20="Encontrar mágica", SUMIF(C20,Habilidades!$A$12,D20) * SUMIF(C20,Habilidades!$A$12,Habilidades!$B$12), if(C20="Cuidadoso 1", SUMIF(C20,Habilidades!$A$22,D20) * SUMIF(C20,Habilidades!$A$22,Habilidades!$B$22), if(C20="Cuidadoso 2", SUMIF(C20,Habilidades!$A$23,D34) * SUMIF(C20,Habilidades!$A$23,Habilidades!$B$23), if(C20="Cuidadoso 3", SUMIF(C20,Habilidades!$A$24,D20) * SUMIF(C20,Habilidades!$A$24,Habilidades!$B$24), if(C20="Ganancioso 1", SUMIF(C20,Habilidades!$A$25,D20) * SUMIF(C20,Habilidades!$A$25,Habilidades!$B$25), if(C20="Ganancioso 2", SUMIF(C20,Habilidades!$A$26,D20) * SUMIF(C20,Habilidades!$A$26,Habilidades!$B$26), if(C20="Ganancioso 3", SUMIF(C20,Habilidades!$A$27,D20) * SUMIF(C20,Habilidades!$A$27,Habilidades!$B$27), if(C20="Curandeiro 1", SUMIF(C20,Habilidades!$A$28,D20) * SUMIF(C20,Habilidades!$A$28,Habilidades!$B$28), if(C20="Curandeiro 2", SUMIF(C20,Habilidades!$A$29,D20) * SUMIF(C20,Habilidades!$A$29,Habilidades!$B$29), if(C20="Curandeiro 3", SUMIF(C20,Habilidades!$A$30,D20) * SUMIF(C20,Habilidades!$A$30,Habilidades!$B$30), if(C20="Sortudo 1", SUMIF(C20,Habilidades!$A$31,D20) * SUMIF(C20,Habilidades!$A$31,Habilidades!$B$31), if(C20="Sortudo 2", SUMIF(C20,Habilidades!$A$32,D20) * SUMIF(C20,Habilidades!$A$32,Habilidades!$B$32), if(C20="Sortudo 3", SUMIF(C20,Habilidades!$A$33,D20) * SUMIF(C20,Habilidades!$A$33,Habilidades!$B$33), if(C20="Protetor 1", SUMIF(C20,Habilidades!$A$34,D20) * SUMIF(C20,Habilidades!$A$34,Habilidades!$B$34), if(C20="Protetor 2", SUMIF(C20,Habilidades!$A$35,D20) * SUMIF(C20,Habilidades!$A$35,Habilidades!$B$35), if(C20="Protetor 3", SUMIF(C20,Habilidades!$A$36,D20) * SUMIF(C20,Habilidades!$A$36,Habilidades!$B$36), if(C20="Engenhoso 1", SUMIF(C20,Habilidades!$A$40,D20) * SUMIF(C20,Habilidades!$A$40,Habilidades!$B$40), if(C20="Engenhoso 2", SUMIF(C20,Habilidades!$A$41,D20) * SUMIF(C20,Habilidades!$A$41,Habilidades!$B$41), if(C20="Engenhoso 3", SUMIF(C20,Habilidades!$A$42,D20) * SUMIF(C20,Habilidades!$A$42,Habilidades!$B$42), if(C20="Reviver 1", SUMIF(C20,Habilidades!$A$43,D20) * SUMIF(C20,Habilidades!$A$43,Habilidades!$B$43), if(C20="Reviver 2", SUMIF(C20,Habilidades!$A$44,D20) * SUMIF(C20,Habilidades!$A$44,Habilidades!$B$44), if(C20="Reviver 3", SUMIF(C20,Habilidades!$A$45,D20) * SUMIF(C20,Habilidades!$A$45,Habilidades!$B$45), if(C20="Catador 1", SUMIF(C20,Habilidades!$A$46,D20) * SUMIF(C20,Habilidades!$A$46,Habilidades!$B$46), if(C20="Catador 2", SUMIF(C20,Habilidades!$A$47,D20) * SUMIF(C20,Habilidades!$A$47,Habilidades!$B$47), if(C20="Catador 3", SUMIF(C20,Habilidades!$A$48,D20) * SUMIF(C20,Habilidades!$A$48,Habilidades!$B$48), if(C20="Fornecedor 1", SUMIF(C20,Habilidades!$A$49,D20) * SUMIF(C20,Habilidades!$A$49,Habilidades!$B$49), if(C20="Fornecedor 2", SUMIF(C20,Habilidades!$A$50,D20) * SUMIF(C20,Habilidades!$A$50,Habilidades!$B$50), if(C20="Fornecedor 3", SUMIF(C20,Habilidades!$A$51,D20) * SUMIF(C20,Habilidades!$A$51,Habilidades!$B$51), if(C20="Suporte 1", SUMIF(C20,Habilidades!$A$52,D20) * SUMIF(C20,Habilidades!$A$52,Habilidades!$B$52), if(C20="Suporte 2", SUMIF(C20,Habilidades!$A$53,D20) * SUMIF(C20,Habilidades!$A$53,Habilidades!$B$53), if(C20="Suporte 3", SUMIF(C20,Habilidades!$A$54,D20) * SUMIF(C20,Habilidades!$A$54,Habilidades!$B$54), if(C20="Caça-tesouros 1", SUMIF(C20,Habilidades!$A$55,D20) * SUMIF(C20,Habilidades!$A$55,Habilidades!$B$55), if(C20="Caça-tesouros 2", SUMIF(C20,Habilidades!$A$56,D20) * SUMIF(C20,Habilidades!$A$56,Habilidades!$B$56), if(C20="Caça-tesouros 3", SUMIF(C20,Habilidades!$A$57,D20) * SUMIF(C20,Habilidades!$A$57,Habilidades!$B$57), if(C20="Velocista 1", SUMIF(C20,Habilidades!$A$77,D20) * SUMIF(C20,Habilidades!$A$77,Habilidades!$B$77), if(C20="Velocista 2", SUMIF(C20,Habilidades!$A$78,D20) * SUMIF(C20,Habilidades!$A$78,Habilidades!$B$78), if(C20="Velocista 3", SUMIF(C20,Habilidades!$A$79,D20) * SUMIF(C20,Habilidades!$A$79,Habilidades!$B$79), "-"))))))))))))))))))))))))))))))))))))))</f>
        <v>2</v>
      </c>
      <c r="F20" s="110"/>
      <c r="G20" s="130">
        <f>SUMIF(C19:C70, "*Detectar*", E19:E52) + SUMIF(C19:C52, "*Encontrar*", E19:E52)</f>
        <v>288</v>
      </c>
      <c r="H20" s="130">
        <f>SUMIF(C19:C70, "*Velocista*", E19:E60)</f>
        <v>100</v>
      </c>
      <c r="I20" s="130">
        <f>SUMIF(C19:C70, "*Reviver*", E19:E46)</f>
        <v>100</v>
      </c>
      <c r="J20" s="131">
        <f>SUMIF(C19:C70, "*Suporte*", E19:E60) + SUMIF(C19:C60, "*Engenhoso*", E19:E60)</f>
        <v>2</v>
      </c>
      <c r="K20" s="134">
        <f>if(G20 &gt; 0, sum(10+G20), 0)</f>
        <v>298</v>
      </c>
      <c r="L20" s="124"/>
      <c r="M20" s="110"/>
      <c r="N20" s="110"/>
    </row>
    <row r="21">
      <c r="C21" s="133" t="str">
        <f>IFERROR(__xludf.DUMMYFUNCTION("""COMPUTED_VALUE"""),"Catador 1")</f>
        <v>Catador 1</v>
      </c>
      <c r="D21" s="129">
        <f t="shared" si="2"/>
        <v>2</v>
      </c>
      <c r="E21" s="130">
        <f>if(C21="Detectar Segredo", SUMIF(C21,Habilidades!$A$11,D21) * SUMIF(C21,Habilidades!$A$11,Habilidades!$B$11), if(C21="Encontrar mágica", SUMIF(C21,Habilidades!$A$12,D21) * SUMIF(C21,Habilidades!$A$12,Habilidades!$B$12), if(C21="Cuidadoso 1", SUMIF(C21,Habilidades!$A$22,D21) * SUMIF(C21,Habilidades!$A$22,Habilidades!$B$22), if(C21="Cuidadoso 2", SUMIF(C21,Habilidades!$A$23,D35) * SUMIF(C21,Habilidades!$A$23,Habilidades!$B$23), if(C21="Cuidadoso 3", SUMIF(C21,Habilidades!$A$24,D21) * SUMIF(C21,Habilidades!$A$24,Habilidades!$B$24), if(C21="Ganancioso 1", SUMIF(C21,Habilidades!$A$25,D21) * SUMIF(C21,Habilidades!$A$25,Habilidades!$B$25), if(C21="Ganancioso 2", SUMIF(C21,Habilidades!$A$26,D21) * SUMIF(C21,Habilidades!$A$26,Habilidades!$B$26), if(C21="Ganancioso 3", SUMIF(C21,Habilidades!$A$27,D21) * SUMIF(C21,Habilidades!$A$27,Habilidades!$B$27), if(C21="Curandeiro 1", SUMIF(C21,Habilidades!$A$28,D21) * SUMIF(C21,Habilidades!$A$28,Habilidades!$B$28), if(C21="Curandeiro 2", SUMIF(C21,Habilidades!$A$29,D21) * SUMIF(C21,Habilidades!$A$29,Habilidades!$B$29), if(C21="Curandeiro 3", SUMIF(C21,Habilidades!$A$30,D21) * SUMIF(C21,Habilidades!$A$30,Habilidades!$B$30), if(C21="Sortudo 1", SUMIF(C21,Habilidades!$A$31,D21) * SUMIF(C21,Habilidades!$A$31,Habilidades!$B$31), if(C21="Sortudo 2", SUMIF(C21,Habilidades!$A$32,D21) * SUMIF(C21,Habilidades!$A$32,Habilidades!$B$32), if(C21="Sortudo 3", SUMIF(C21,Habilidades!$A$33,D21) * SUMIF(C21,Habilidades!$A$33,Habilidades!$B$33), if(C21="Protetor 1", SUMIF(C21,Habilidades!$A$34,D21) * SUMIF(C21,Habilidades!$A$34,Habilidades!$B$34), if(C21="Protetor 2", SUMIF(C21,Habilidades!$A$35,D21) * SUMIF(C21,Habilidades!$A$35,Habilidades!$B$35), if(C21="Protetor 3", SUMIF(C21,Habilidades!$A$36,D21) * SUMIF(C21,Habilidades!$A$36,Habilidades!$B$36), if(C21="Engenhoso 1", SUMIF(C21,Habilidades!$A$40,D21) * SUMIF(C21,Habilidades!$A$40,Habilidades!$B$40), if(C21="Engenhoso 2", SUMIF(C21,Habilidades!$A$41,D21) * SUMIF(C21,Habilidades!$A$41,Habilidades!$B$41), if(C21="Engenhoso 3", SUMIF(C21,Habilidades!$A$42,D21) * SUMIF(C21,Habilidades!$A$42,Habilidades!$B$42), if(C21="Reviver 1", SUMIF(C21,Habilidades!$A$43,D21) * SUMIF(C21,Habilidades!$A$43,Habilidades!$B$43), if(C21="Reviver 2", SUMIF(C21,Habilidades!$A$44,D21) * SUMIF(C21,Habilidades!$A$44,Habilidades!$B$44), if(C21="Reviver 3", SUMIF(C21,Habilidades!$A$45,D21) * SUMIF(C21,Habilidades!$A$45,Habilidades!$B$45), if(C21="Catador 1", SUMIF(C21,Habilidades!$A$46,D21) * SUMIF(C21,Habilidades!$A$46,Habilidades!$B$46), if(C21="Catador 2", SUMIF(C21,Habilidades!$A$47,D21) * SUMIF(C21,Habilidades!$A$47,Habilidades!$B$47), if(C21="Catador 3", SUMIF(C21,Habilidades!$A$48,D21) * SUMIF(C21,Habilidades!$A$48,Habilidades!$B$48), if(C21="Fornecedor 1", SUMIF(C21,Habilidades!$A$49,D21) * SUMIF(C21,Habilidades!$A$49,Habilidades!$B$49), if(C21="Fornecedor 2", SUMIF(C21,Habilidades!$A$50,D21) * SUMIF(C21,Habilidades!$A$50,Habilidades!$B$50), if(C21="Fornecedor 3", SUMIF(C21,Habilidades!$A$51,D21) * SUMIF(C21,Habilidades!$A$51,Habilidades!$B$51), if(C21="Suporte 1", SUMIF(C21,Habilidades!$A$52,D21) * SUMIF(C21,Habilidades!$A$52,Habilidades!$B$52), if(C21="Suporte 2", SUMIF(C21,Habilidades!$A$53,D21) * SUMIF(C21,Habilidades!$A$53,Habilidades!$B$53), if(C21="Suporte 3", SUMIF(C21,Habilidades!$A$54,D21) * SUMIF(C21,Habilidades!$A$54,Habilidades!$B$54), if(C21="Caça-tesouros 1", SUMIF(C21,Habilidades!$A$55,D21) * SUMIF(C21,Habilidades!$A$55,Habilidades!$B$55), if(C21="Caça-tesouros 2", SUMIF(C21,Habilidades!$A$56,D21) * SUMIF(C21,Habilidades!$A$56,Habilidades!$B$56), if(C21="Caça-tesouros 3", SUMIF(C21,Habilidades!$A$57,D21) * SUMIF(C21,Habilidades!$A$57,Habilidades!$B$57), if(C21="Velocista 1", SUMIF(C21,Habilidades!$A$77,D21) * SUMIF(C21,Habilidades!$A$77,Habilidades!$B$77), if(C21="Velocista 2", SUMIF(C21,Habilidades!$A$78,D21) * SUMIF(C21,Habilidades!$A$78,Habilidades!$B$78), if(C21="Velocista 3", SUMIF(C21,Habilidades!$A$79,D21) * SUMIF(C21,Habilidades!$A$79,Habilidades!$B$79), "-"))))))))))))))))))))))))))))))))))))))</f>
        <v>2</v>
      </c>
      <c r="F21" s="135"/>
      <c r="G21" s="136"/>
      <c r="H21" s="136"/>
      <c r="I21" s="136"/>
      <c r="J21" s="136"/>
      <c r="K21" s="137"/>
      <c r="L21" s="137"/>
      <c r="M21" s="110"/>
      <c r="N21" s="110"/>
    </row>
    <row r="22">
      <c r="C22" s="133" t="str">
        <f>IFERROR(__xludf.DUMMYFUNCTION("""COMPUTED_VALUE"""),"Companheiro de Guerra 1")</f>
        <v>Companheiro de Guerra 1</v>
      </c>
      <c r="D22" s="129">
        <f t="shared" si="2"/>
        <v>1</v>
      </c>
      <c r="E22" s="130" t="str">
        <f>if(C22="Detectar Segredo", SUMIF(C22,Habilidades!$A$11,D22) * SUMIF(C22,Habilidades!$A$11,Habilidades!$B$11), if(C22="Encontrar mágica", SUMIF(C22,Habilidades!$A$12,D22) * SUMIF(C22,Habilidades!$A$12,Habilidades!$B$12), if(C22="Cuidadoso 1", SUMIF(C22,Habilidades!$A$22,D22) * SUMIF(C22,Habilidades!$A$22,Habilidades!$B$22), if(C22="Cuidadoso 2", SUMIF(C22,Habilidades!$A$23,D36) * SUMIF(C22,Habilidades!$A$23,Habilidades!$B$23), if(C22="Cuidadoso 3", SUMIF(C22,Habilidades!$A$24,D22) * SUMIF(C22,Habilidades!$A$24,Habilidades!$B$24), if(C22="Ganancioso 1", SUMIF(C22,Habilidades!$A$25,D22) * SUMIF(C22,Habilidades!$A$25,Habilidades!$B$25), if(C22="Ganancioso 2", SUMIF(C22,Habilidades!$A$26,D22) * SUMIF(C22,Habilidades!$A$26,Habilidades!$B$26), if(C22="Ganancioso 3", SUMIF(C22,Habilidades!$A$27,D22) * SUMIF(C22,Habilidades!$A$27,Habilidades!$B$27), if(C22="Curandeiro 1", SUMIF(C22,Habilidades!$A$28,D22) * SUMIF(C22,Habilidades!$A$28,Habilidades!$B$28), if(C22="Curandeiro 2", SUMIF(C22,Habilidades!$A$29,D22) * SUMIF(C22,Habilidades!$A$29,Habilidades!$B$29), if(C22="Curandeiro 3", SUMIF(C22,Habilidades!$A$30,D22) * SUMIF(C22,Habilidades!$A$30,Habilidades!$B$30), if(C22="Sortudo 1", SUMIF(C22,Habilidades!$A$31,D22) * SUMIF(C22,Habilidades!$A$31,Habilidades!$B$31), if(C22="Sortudo 2", SUMIF(C22,Habilidades!$A$32,D22) * SUMIF(C22,Habilidades!$A$32,Habilidades!$B$32), if(C22="Sortudo 3", SUMIF(C22,Habilidades!$A$33,D22) * SUMIF(C22,Habilidades!$A$33,Habilidades!$B$33), if(C22="Protetor 1", SUMIF(C22,Habilidades!$A$34,D22) * SUMIF(C22,Habilidades!$A$34,Habilidades!$B$34), if(C22="Protetor 2", SUMIF(C22,Habilidades!$A$35,D22) * SUMIF(C22,Habilidades!$A$35,Habilidades!$B$35), if(C22="Protetor 3", SUMIF(C22,Habilidades!$A$36,D22) * SUMIF(C22,Habilidades!$A$36,Habilidades!$B$36), if(C22="Engenhoso 1", SUMIF(C22,Habilidades!$A$40,D22) * SUMIF(C22,Habilidades!$A$40,Habilidades!$B$40), if(C22="Engenhoso 2", SUMIF(C22,Habilidades!$A$41,D22) * SUMIF(C22,Habilidades!$A$41,Habilidades!$B$41), if(C22="Engenhoso 3", SUMIF(C22,Habilidades!$A$42,D22) * SUMIF(C22,Habilidades!$A$42,Habilidades!$B$42), if(C22="Reviver 1", SUMIF(C22,Habilidades!$A$43,D22) * SUMIF(C22,Habilidades!$A$43,Habilidades!$B$43), if(C22="Reviver 2", SUMIF(C22,Habilidades!$A$44,D22) * SUMIF(C22,Habilidades!$A$44,Habilidades!$B$44), if(C22="Reviver 3", SUMIF(C22,Habilidades!$A$45,D22) * SUMIF(C22,Habilidades!$A$45,Habilidades!$B$45), if(C22="Catador 1", SUMIF(C22,Habilidades!$A$46,D22) * SUMIF(C22,Habilidades!$A$46,Habilidades!$B$46), if(C22="Catador 2", SUMIF(C22,Habilidades!$A$47,D22) * SUMIF(C22,Habilidades!$A$47,Habilidades!$B$47), if(C22="Catador 3", SUMIF(C22,Habilidades!$A$48,D22) * SUMIF(C22,Habilidades!$A$48,Habilidades!$B$48), if(C22="Fornecedor 1", SUMIF(C22,Habilidades!$A$49,D22) * SUMIF(C22,Habilidades!$A$49,Habilidades!$B$49), if(C22="Fornecedor 2", SUMIF(C22,Habilidades!$A$50,D22) * SUMIF(C22,Habilidades!$A$50,Habilidades!$B$50), if(C22="Fornecedor 3", SUMIF(C22,Habilidades!$A$51,D22) * SUMIF(C22,Habilidades!$A$51,Habilidades!$B$51), if(C22="Suporte 1", SUMIF(C22,Habilidades!$A$52,D22) * SUMIF(C22,Habilidades!$A$52,Habilidades!$B$52), if(C22="Suporte 2", SUMIF(C22,Habilidades!$A$53,D22) * SUMIF(C22,Habilidades!$A$53,Habilidades!$B$53), if(C22="Suporte 3", SUMIF(C22,Habilidades!$A$54,D22) * SUMIF(C22,Habilidades!$A$54,Habilidades!$B$54), if(C22="Caça-tesouros 1", SUMIF(C22,Habilidades!$A$55,D22) * SUMIF(C22,Habilidades!$A$55,Habilidades!$B$55), if(C22="Caça-tesouros 2", SUMIF(C22,Habilidades!$A$56,D22) * SUMIF(C22,Habilidades!$A$56,Habilidades!$B$56), if(C22="Caça-tesouros 3", SUMIF(C22,Habilidades!$A$57,D22) * SUMIF(C22,Habilidades!$A$57,Habilidades!$B$57), if(C22="Velocista 1", SUMIF(C22,Habilidades!$A$77,D22) * SUMIF(C22,Habilidades!$A$77,Habilidades!$B$77), if(C22="Velocista 2", SUMIF(C22,Habilidades!$A$78,D22) * SUMIF(C22,Habilidades!$A$78,Habilidades!$B$78), if(C22="Velocista 3", SUMIF(C22,Habilidades!$A$79,D22) * SUMIF(C22,Habilidades!$A$79,Habilidades!$B$79), "-"))))))))))))))))))))))))))))))))))))))</f>
        <v>-</v>
      </c>
      <c r="F22" s="110"/>
      <c r="G22" s="138"/>
      <c r="H22" s="153"/>
      <c r="J22" s="139"/>
      <c r="K22" s="137"/>
      <c r="L22" s="137"/>
      <c r="M22" s="110"/>
      <c r="N22" s="110"/>
    </row>
    <row r="23">
      <c r="C23" s="133" t="str">
        <f>IFERROR(__xludf.DUMMYFUNCTION("""COMPUTED_VALUE"""),"Companheiro de Guerra 3")</f>
        <v>Companheiro de Guerra 3</v>
      </c>
      <c r="D23" s="129">
        <f t="shared" si="2"/>
        <v>1</v>
      </c>
      <c r="E23" s="130" t="str">
        <f>if(C23="Detectar Segredo", SUMIF(C23,Habilidades!$A$11,D23) * SUMIF(C23,Habilidades!$A$11,Habilidades!$B$11), if(C23="Encontrar mágica", SUMIF(C23,Habilidades!$A$12,D23) * SUMIF(C23,Habilidades!$A$12,Habilidades!$B$12), if(C23="Cuidadoso 1", SUMIF(C23,Habilidades!$A$22,D23) * SUMIF(C23,Habilidades!$A$22,Habilidades!$B$22), if(C23="Cuidadoso 2", SUMIF(C23,Habilidades!$A$23,D37) * SUMIF(C23,Habilidades!$A$23,Habilidades!$B$23), if(C23="Cuidadoso 3", SUMIF(C23,Habilidades!$A$24,D23) * SUMIF(C23,Habilidades!$A$24,Habilidades!$B$24), if(C23="Ganancioso 1", SUMIF(C23,Habilidades!$A$25,D23) * SUMIF(C23,Habilidades!$A$25,Habilidades!$B$25), if(C23="Ganancioso 2", SUMIF(C23,Habilidades!$A$26,D23) * SUMIF(C23,Habilidades!$A$26,Habilidades!$B$26), if(C23="Ganancioso 3", SUMIF(C23,Habilidades!$A$27,D23) * SUMIF(C23,Habilidades!$A$27,Habilidades!$B$27), if(C23="Curandeiro 1", SUMIF(C23,Habilidades!$A$28,D23) * SUMIF(C23,Habilidades!$A$28,Habilidades!$B$28), if(C23="Curandeiro 2", SUMIF(C23,Habilidades!$A$29,D23) * SUMIF(C23,Habilidades!$A$29,Habilidades!$B$29), if(C23="Curandeiro 3", SUMIF(C23,Habilidades!$A$30,D23) * SUMIF(C23,Habilidades!$A$30,Habilidades!$B$30), if(C23="Sortudo 1", SUMIF(C23,Habilidades!$A$31,D23) * SUMIF(C23,Habilidades!$A$31,Habilidades!$B$31), if(C23="Sortudo 2", SUMIF(C23,Habilidades!$A$32,D23) * SUMIF(C23,Habilidades!$A$32,Habilidades!$B$32), if(C23="Sortudo 3", SUMIF(C23,Habilidades!$A$33,D23) * SUMIF(C23,Habilidades!$A$33,Habilidades!$B$33), if(C23="Protetor 1", SUMIF(C23,Habilidades!$A$34,D23) * SUMIF(C23,Habilidades!$A$34,Habilidades!$B$34), if(C23="Protetor 2", SUMIF(C23,Habilidades!$A$35,D23) * SUMIF(C23,Habilidades!$A$35,Habilidades!$B$35), if(C23="Protetor 3", SUMIF(C23,Habilidades!$A$36,D23) * SUMIF(C23,Habilidades!$A$36,Habilidades!$B$36), if(C23="Engenhoso 1", SUMIF(C23,Habilidades!$A$40,D23) * SUMIF(C23,Habilidades!$A$40,Habilidades!$B$40), if(C23="Engenhoso 2", SUMIF(C23,Habilidades!$A$41,D23) * SUMIF(C23,Habilidades!$A$41,Habilidades!$B$41), if(C23="Engenhoso 3", SUMIF(C23,Habilidades!$A$42,D23) * SUMIF(C23,Habilidades!$A$42,Habilidades!$B$42), if(C23="Reviver 1", SUMIF(C23,Habilidades!$A$43,D23) * SUMIF(C23,Habilidades!$A$43,Habilidades!$B$43), if(C23="Reviver 2", SUMIF(C23,Habilidades!$A$44,D23) * SUMIF(C23,Habilidades!$A$44,Habilidades!$B$44), if(C23="Reviver 3", SUMIF(C23,Habilidades!$A$45,D23) * SUMIF(C23,Habilidades!$A$45,Habilidades!$B$45), if(C23="Catador 1", SUMIF(C23,Habilidades!$A$46,D23) * SUMIF(C23,Habilidades!$A$46,Habilidades!$B$46), if(C23="Catador 2", SUMIF(C23,Habilidades!$A$47,D23) * SUMIF(C23,Habilidades!$A$47,Habilidades!$B$47), if(C23="Catador 3", SUMIF(C23,Habilidades!$A$48,D23) * SUMIF(C23,Habilidades!$A$48,Habilidades!$B$48), if(C23="Fornecedor 1", SUMIF(C23,Habilidades!$A$49,D23) * SUMIF(C23,Habilidades!$A$49,Habilidades!$B$49), if(C23="Fornecedor 2", SUMIF(C23,Habilidades!$A$50,D23) * SUMIF(C23,Habilidades!$A$50,Habilidades!$B$50), if(C23="Fornecedor 3", SUMIF(C23,Habilidades!$A$51,D23) * SUMIF(C23,Habilidades!$A$51,Habilidades!$B$51), if(C23="Suporte 1", SUMIF(C23,Habilidades!$A$52,D23) * SUMIF(C23,Habilidades!$A$52,Habilidades!$B$52), if(C23="Suporte 2", SUMIF(C23,Habilidades!$A$53,D23) * SUMIF(C23,Habilidades!$A$53,Habilidades!$B$53), if(C23="Suporte 3", SUMIF(C23,Habilidades!$A$54,D23) * SUMIF(C23,Habilidades!$A$54,Habilidades!$B$54), if(C23="Caça-tesouros 1", SUMIF(C23,Habilidades!$A$55,D23) * SUMIF(C23,Habilidades!$A$55,Habilidades!$B$55), if(C23="Caça-tesouros 2", SUMIF(C23,Habilidades!$A$56,D23) * SUMIF(C23,Habilidades!$A$56,Habilidades!$B$56), if(C23="Caça-tesouros 3", SUMIF(C23,Habilidades!$A$57,D23) * SUMIF(C23,Habilidades!$A$57,Habilidades!$B$57), if(C23="Velocista 1", SUMIF(C23,Habilidades!$A$77,D23) * SUMIF(C23,Habilidades!$A$77,Habilidades!$B$77), if(C23="Velocista 2", SUMIF(C23,Habilidades!$A$78,D23) * SUMIF(C23,Habilidades!$A$78,Habilidades!$B$78), if(C23="Velocista 3", SUMIF(C23,Habilidades!$A$79,D23) * SUMIF(C23,Habilidades!$A$79,Habilidades!$B$79), "-"))))))))))))))))))))))))))))))))))))))</f>
        <v>-</v>
      </c>
      <c r="F23" s="110"/>
      <c r="G23" s="140"/>
      <c r="H23" s="136"/>
      <c r="J23" s="139"/>
      <c r="K23" s="137"/>
      <c r="L23" s="137"/>
      <c r="M23" s="110"/>
      <c r="N23" s="110"/>
    </row>
    <row r="24">
      <c r="C24" s="133" t="str">
        <f>IFERROR(__xludf.DUMMYFUNCTION("""COMPUTED_VALUE"""),"Curandeiro 1")</f>
        <v>Curandeiro 1</v>
      </c>
      <c r="D24" s="129">
        <f t="shared" si="2"/>
        <v>1</v>
      </c>
      <c r="E24" s="130">
        <f>if(C24="Detectar Segredo", SUMIF(C24,Habilidades!$A$11,D24) * SUMIF(C24,Habilidades!$A$11,Habilidades!$B$11), if(C24="Encontrar mágica", SUMIF(C24,Habilidades!$A$12,D24) * SUMIF(C24,Habilidades!$A$12,Habilidades!$B$12), if(C24="Cuidadoso 1", SUMIF(C24,Habilidades!$A$22,D24) * SUMIF(C24,Habilidades!$A$22,Habilidades!$B$22), if(C24="Cuidadoso 2", SUMIF(C24,Habilidades!$A$23,D38) * SUMIF(C24,Habilidades!$A$23,Habilidades!$B$23), if(C24="Cuidadoso 3", SUMIF(C24,Habilidades!$A$24,D24) * SUMIF(C24,Habilidades!$A$24,Habilidades!$B$24), if(C24="Ganancioso 1", SUMIF(C24,Habilidades!$A$25,D24) * SUMIF(C24,Habilidades!$A$25,Habilidades!$B$25), if(C24="Ganancioso 2", SUMIF(C24,Habilidades!$A$26,D24) * SUMIF(C24,Habilidades!$A$26,Habilidades!$B$26), if(C24="Ganancioso 3", SUMIF(C24,Habilidades!$A$27,D24) * SUMIF(C24,Habilidades!$A$27,Habilidades!$B$27), if(C24="Curandeiro 1", SUMIF(C24,Habilidades!$A$28,D24) * SUMIF(C24,Habilidades!$A$28,Habilidades!$B$28), if(C24="Curandeiro 2", SUMIF(C24,Habilidades!$A$29,D24) * SUMIF(C24,Habilidades!$A$29,Habilidades!$B$29), if(C24="Curandeiro 3", SUMIF(C24,Habilidades!$A$30,D24) * SUMIF(C24,Habilidades!$A$30,Habilidades!$B$30), if(C24="Sortudo 1", SUMIF(C24,Habilidades!$A$31,D24) * SUMIF(C24,Habilidades!$A$31,Habilidades!$B$31), if(C24="Sortudo 2", SUMIF(C24,Habilidades!$A$32,D24) * SUMIF(C24,Habilidades!$A$32,Habilidades!$B$32), if(C24="Sortudo 3", SUMIF(C24,Habilidades!$A$33,D24) * SUMIF(C24,Habilidades!$A$33,Habilidades!$B$33), if(C24="Protetor 1", SUMIF(C24,Habilidades!$A$34,D24) * SUMIF(C24,Habilidades!$A$34,Habilidades!$B$34), if(C24="Protetor 2", SUMIF(C24,Habilidades!$A$35,D24) * SUMIF(C24,Habilidades!$A$35,Habilidades!$B$35), if(C24="Protetor 3", SUMIF(C24,Habilidades!$A$36,D24) * SUMIF(C24,Habilidades!$A$36,Habilidades!$B$36), if(C24="Engenhoso 1", SUMIF(C24,Habilidades!$A$40,D24) * SUMIF(C24,Habilidades!$A$40,Habilidades!$B$40), if(C24="Engenhoso 2", SUMIF(C24,Habilidades!$A$41,D24) * SUMIF(C24,Habilidades!$A$41,Habilidades!$B$41), if(C24="Engenhoso 3", SUMIF(C24,Habilidades!$A$42,D24) * SUMIF(C24,Habilidades!$A$42,Habilidades!$B$42), if(C24="Reviver 1", SUMIF(C24,Habilidades!$A$43,D24) * SUMIF(C24,Habilidades!$A$43,Habilidades!$B$43), if(C24="Reviver 2", SUMIF(C24,Habilidades!$A$44,D24) * SUMIF(C24,Habilidades!$A$44,Habilidades!$B$44), if(C24="Reviver 3", SUMIF(C24,Habilidades!$A$45,D24) * SUMIF(C24,Habilidades!$A$45,Habilidades!$B$45), if(C24="Catador 1", SUMIF(C24,Habilidades!$A$46,D24) * SUMIF(C24,Habilidades!$A$46,Habilidades!$B$46), if(C24="Catador 2", SUMIF(C24,Habilidades!$A$47,D24) * SUMIF(C24,Habilidades!$A$47,Habilidades!$B$47), if(C24="Catador 3", SUMIF(C24,Habilidades!$A$48,D24) * SUMIF(C24,Habilidades!$A$48,Habilidades!$B$48), if(C24="Fornecedor 1", SUMIF(C24,Habilidades!$A$49,D24) * SUMIF(C24,Habilidades!$A$49,Habilidades!$B$49), if(C24="Fornecedor 2", SUMIF(C24,Habilidades!$A$50,D24) * SUMIF(C24,Habilidades!$A$50,Habilidades!$B$50), if(C24="Fornecedor 3", SUMIF(C24,Habilidades!$A$51,D24) * SUMIF(C24,Habilidades!$A$51,Habilidades!$B$51), if(C24="Suporte 1", SUMIF(C24,Habilidades!$A$52,D24) * SUMIF(C24,Habilidades!$A$52,Habilidades!$B$52), if(C24="Suporte 2", SUMIF(C24,Habilidades!$A$53,D24) * SUMIF(C24,Habilidades!$A$53,Habilidades!$B$53), if(C24="Suporte 3", SUMIF(C24,Habilidades!$A$54,D24) * SUMIF(C24,Habilidades!$A$54,Habilidades!$B$54), if(C24="Caça-tesouros 1", SUMIF(C24,Habilidades!$A$55,D24) * SUMIF(C24,Habilidades!$A$55,Habilidades!$B$55), if(C24="Caça-tesouros 2", SUMIF(C24,Habilidades!$A$56,D24) * SUMIF(C24,Habilidades!$A$56,Habilidades!$B$56), if(C24="Caça-tesouros 3", SUMIF(C24,Habilidades!$A$57,D24) * SUMIF(C24,Habilidades!$A$57,Habilidades!$B$57), if(C24="Velocista 1", SUMIF(C24,Habilidades!$A$77,D24) * SUMIF(C24,Habilidades!$A$77,Habilidades!$B$77), if(C24="Velocista 2", SUMIF(C24,Habilidades!$A$78,D24) * SUMIF(C24,Habilidades!$A$78,Habilidades!$B$78), if(C24="Velocista 3", SUMIF(C24,Habilidades!$A$79,D24) * SUMIF(C24,Habilidades!$A$79,Habilidades!$B$79), "-"))))))))))))))))))))))))))))))))))))))</f>
        <v>10</v>
      </c>
      <c r="F24" s="110"/>
      <c r="G24" s="137"/>
      <c r="H24" s="137"/>
      <c r="I24" s="137"/>
      <c r="J24" s="137"/>
      <c r="K24" s="137"/>
      <c r="L24" s="137"/>
      <c r="M24" s="110"/>
      <c r="N24" s="110"/>
    </row>
    <row r="25">
      <c r="C25" s="133" t="str">
        <f>IFERROR(__xludf.DUMMYFUNCTION("""COMPUTED_VALUE"""),"Detectar segredo")</f>
        <v>Detectar segredo</v>
      </c>
      <c r="D25" s="129">
        <f t="shared" si="2"/>
        <v>6</v>
      </c>
      <c r="E25" s="130">
        <f>if(C25="Detectar Segredo", SUMIF(C25,Habilidades!$A$11,D25) * SUMIF(C25,Habilidades!$A$11,Habilidades!$B$11), if(C25="Encontrar mágica", SUMIF(C25,Habilidades!$A$12,D25) * SUMIF(C25,Habilidades!$A$12,Habilidades!$B$12), if(C25="Cuidadoso 1", SUMIF(C25,Habilidades!$A$22,D25) * SUMIF(C25,Habilidades!$A$22,Habilidades!$B$22), if(C25="Cuidadoso 2", SUMIF(C25,Habilidades!$A$23,D39) * SUMIF(C25,Habilidades!$A$23,Habilidades!$B$23), if(C25="Cuidadoso 3", SUMIF(C25,Habilidades!$A$24,D25) * SUMIF(C25,Habilidades!$A$24,Habilidades!$B$24), if(C25="Ganancioso 1", SUMIF(C25,Habilidades!$A$25,D25) * SUMIF(C25,Habilidades!$A$25,Habilidades!$B$25), if(C25="Ganancioso 2", SUMIF(C25,Habilidades!$A$26,D25) * SUMIF(C25,Habilidades!$A$26,Habilidades!$B$26), if(C25="Ganancioso 3", SUMIF(C25,Habilidades!$A$27,D25) * SUMIF(C25,Habilidades!$A$27,Habilidades!$B$27), if(C25="Curandeiro 1", SUMIF(C25,Habilidades!$A$28,D25) * SUMIF(C25,Habilidades!$A$28,Habilidades!$B$28), if(C25="Curandeiro 2", SUMIF(C25,Habilidades!$A$29,D25) * SUMIF(C25,Habilidades!$A$29,Habilidades!$B$29), if(C25="Curandeiro 3", SUMIF(C25,Habilidades!$A$30,D25) * SUMIF(C25,Habilidades!$A$30,Habilidades!$B$30), if(C25="Sortudo 1", SUMIF(C25,Habilidades!$A$31,D25) * SUMIF(C25,Habilidades!$A$31,Habilidades!$B$31), if(C25="Sortudo 2", SUMIF(C25,Habilidades!$A$32,D25) * SUMIF(C25,Habilidades!$A$32,Habilidades!$B$32), if(C25="Sortudo 3", SUMIF(C25,Habilidades!$A$33,D25) * SUMIF(C25,Habilidades!$A$33,Habilidades!$B$33), if(C25="Protetor 1", SUMIF(C25,Habilidades!$A$34,D25) * SUMIF(C25,Habilidades!$A$34,Habilidades!$B$34), if(C25="Protetor 2", SUMIF(C25,Habilidades!$A$35,D25) * SUMIF(C25,Habilidades!$A$35,Habilidades!$B$35), if(C25="Protetor 3", SUMIF(C25,Habilidades!$A$36,D25) * SUMIF(C25,Habilidades!$A$36,Habilidades!$B$36), if(C25="Engenhoso 1", SUMIF(C25,Habilidades!$A$40,D25) * SUMIF(C25,Habilidades!$A$40,Habilidades!$B$40), if(C25="Engenhoso 2", SUMIF(C25,Habilidades!$A$41,D25) * SUMIF(C25,Habilidades!$A$41,Habilidades!$B$41), if(C25="Engenhoso 3", SUMIF(C25,Habilidades!$A$42,D25) * SUMIF(C25,Habilidades!$A$42,Habilidades!$B$42), if(C25="Reviver 1", SUMIF(C25,Habilidades!$A$43,D25) * SUMIF(C25,Habilidades!$A$43,Habilidades!$B$43), if(C25="Reviver 2", SUMIF(C25,Habilidades!$A$44,D25) * SUMIF(C25,Habilidades!$A$44,Habilidades!$B$44), if(C25="Reviver 3", SUMIF(C25,Habilidades!$A$45,D25) * SUMIF(C25,Habilidades!$A$45,Habilidades!$B$45), if(C25="Catador 1", SUMIF(C25,Habilidades!$A$46,D25) * SUMIF(C25,Habilidades!$A$46,Habilidades!$B$46), if(C25="Catador 2", SUMIF(C25,Habilidades!$A$47,D25) * SUMIF(C25,Habilidades!$A$47,Habilidades!$B$47), if(C25="Catador 3", SUMIF(C25,Habilidades!$A$48,D25) * SUMIF(C25,Habilidades!$A$48,Habilidades!$B$48), if(C25="Fornecedor 1", SUMIF(C25,Habilidades!$A$49,D25) * SUMIF(C25,Habilidades!$A$49,Habilidades!$B$49), if(C25="Fornecedor 2", SUMIF(C25,Habilidades!$A$50,D25) * SUMIF(C25,Habilidades!$A$50,Habilidades!$B$50), if(C25="Fornecedor 3", SUMIF(C25,Habilidades!$A$51,D25) * SUMIF(C25,Habilidades!$A$51,Habilidades!$B$51), if(C25="Suporte 1", SUMIF(C25,Habilidades!$A$52,D25) * SUMIF(C25,Habilidades!$A$52,Habilidades!$B$52), if(C25="Suporte 2", SUMIF(C25,Habilidades!$A$53,D25) * SUMIF(C25,Habilidades!$A$53,Habilidades!$B$53), if(C25="Suporte 3", SUMIF(C25,Habilidades!$A$54,D25) * SUMIF(C25,Habilidades!$A$54,Habilidades!$B$54), if(C25="Caça-tesouros 1", SUMIF(C25,Habilidades!$A$55,D25) * SUMIF(C25,Habilidades!$A$55,Habilidades!$B$55), if(C25="Caça-tesouros 2", SUMIF(C25,Habilidades!$A$56,D25) * SUMIF(C25,Habilidades!$A$56,Habilidades!$B$56), if(C25="Caça-tesouros 3", SUMIF(C25,Habilidades!$A$57,D25) * SUMIF(C25,Habilidades!$A$57,Habilidades!$B$57), if(C25="Velocista 1", SUMIF(C25,Habilidades!$A$77,D25) * SUMIF(C25,Habilidades!$A$77,Habilidades!$B$77), if(C25="Velocista 2", SUMIF(C25,Habilidades!$A$78,D25) * SUMIF(C25,Habilidades!$A$78,Habilidades!$B$78), if(C25="Velocista 3", SUMIF(C25,Habilidades!$A$79,D25) * SUMIF(C25,Habilidades!$A$79,Habilidades!$B$79), "-"))))))))))))))))))))))))))))))))))))))</f>
        <v>36</v>
      </c>
      <c r="F25" s="110"/>
      <c r="G25" s="137"/>
      <c r="H25" s="137"/>
      <c r="I25" s="137"/>
      <c r="J25" s="137"/>
      <c r="K25" s="137"/>
      <c r="L25" s="137"/>
      <c r="M25" s="110"/>
      <c r="N25" s="110"/>
    </row>
    <row r="26">
      <c r="C26" s="133" t="str">
        <f>IFERROR(__xludf.DUMMYFUNCTION("""COMPUTED_VALUE"""),"Encontrar mágica")</f>
        <v>Encontrar mágica</v>
      </c>
      <c r="D26" s="129">
        <f t="shared" si="2"/>
        <v>21</v>
      </c>
      <c r="E26" s="130">
        <f>if(C26="Detectar Segredo", SUMIF(C26,Habilidades!$A$11,D26) * SUMIF(C26,Habilidades!$A$11,Habilidades!$B$11), if(C26="Encontrar mágica", SUMIF(C26,Habilidades!$A$12,D26) * SUMIF(C26,Habilidades!$A$12,Habilidades!$B$12), if(C26="Cuidadoso 1", SUMIF(C26,Habilidades!$A$22,D26) * SUMIF(C26,Habilidades!$A$22,Habilidades!$B$22), if(C26="Cuidadoso 2", SUMIF(C26,Habilidades!$A$23,D40) * SUMIF(C26,Habilidades!$A$23,Habilidades!$B$23), if(C26="Cuidadoso 3", SUMIF(C26,Habilidades!$A$24,D26) * SUMIF(C26,Habilidades!$A$24,Habilidades!$B$24), if(C26="Ganancioso 1", SUMIF(C26,Habilidades!$A$25,D26) * SUMIF(C26,Habilidades!$A$25,Habilidades!$B$25), if(C26="Ganancioso 2", SUMIF(C26,Habilidades!$A$26,D26) * SUMIF(C26,Habilidades!$A$26,Habilidades!$B$26), if(C26="Ganancioso 3", SUMIF(C26,Habilidades!$A$27,D26) * SUMIF(C26,Habilidades!$A$27,Habilidades!$B$27), if(C26="Curandeiro 1", SUMIF(C26,Habilidades!$A$28,D26) * SUMIF(C26,Habilidades!$A$28,Habilidades!$B$28), if(C26="Curandeiro 2", SUMIF(C26,Habilidades!$A$29,D26) * SUMIF(C26,Habilidades!$A$29,Habilidades!$B$29), if(C26="Curandeiro 3", SUMIF(C26,Habilidades!$A$30,D26) * SUMIF(C26,Habilidades!$A$30,Habilidades!$B$30), if(C26="Sortudo 1", SUMIF(C26,Habilidades!$A$31,D26) * SUMIF(C26,Habilidades!$A$31,Habilidades!$B$31), if(C26="Sortudo 2", SUMIF(C26,Habilidades!$A$32,D26) * SUMIF(C26,Habilidades!$A$32,Habilidades!$B$32), if(C26="Sortudo 3", SUMIF(C26,Habilidades!$A$33,D26) * SUMIF(C26,Habilidades!$A$33,Habilidades!$B$33), if(C26="Protetor 1", SUMIF(C26,Habilidades!$A$34,D26) * SUMIF(C26,Habilidades!$A$34,Habilidades!$B$34), if(C26="Protetor 2", SUMIF(C26,Habilidades!$A$35,D26) * SUMIF(C26,Habilidades!$A$35,Habilidades!$B$35), if(C26="Protetor 3", SUMIF(C26,Habilidades!$A$36,D26) * SUMIF(C26,Habilidades!$A$36,Habilidades!$B$36), if(C26="Engenhoso 1", SUMIF(C26,Habilidades!$A$40,D26) * SUMIF(C26,Habilidades!$A$40,Habilidades!$B$40), if(C26="Engenhoso 2", SUMIF(C26,Habilidades!$A$41,D26) * SUMIF(C26,Habilidades!$A$41,Habilidades!$B$41), if(C26="Engenhoso 3", SUMIF(C26,Habilidades!$A$42,D26) * SUMIF(C26,Habilidades!$A$42,Habilidades!$B$42), if(C26="Reviver 1", SUMIF(C26,Habilidades!$A$43,D26) * SUMIF(C26,Habilidades!$A$43,Habilidades!$B$43), if(C26="Reviver 2", SUMIF(C26,Habilidades!$A$44,D26) * SUMIF(C26,Habilidades!$A$44,Habilidades!$B$44), if(C26="Reviver 3", SUMIF(C26,Habilidades!$A$45,D26) * SUMIF(C26,Habilidades!$A$45,Habilidades!$B$45), if(C26="Catador 1", SUMIF(C26,Habilidades!$A$46,D26) * SUMIF(C26,Habilidades!$A$46,Habilidades!$B$46), if(C26="Catador 2", SUMIF(C26,Habilidades!$A$47,D26) * SUMIF(C26,Habilidades!$A$47,Habilidades!$B$47), if(C26="Catador 3", SUMIF(C26,Habilidades!$A$48,D26) * SUMIF(C26,Habilidades!$A$48,Habilidades!$B$48), if(C26="Fornecedor 1", SUMIF(C26,Habilidades!$A$49,D26) * SUMIF(C26,Habilidades!$A$49,Habilidades!$B$49), if(C26="Fornecedor 2", SUMIF(C26,Habilidades!$A$50,D26) * SUMIF(C26,Habilidades!$A$50,Habilidades!$B$50), if(C26="Fornecedor 3", SUMIF(C26,Habilidades!$A$51,D26) * SUMIF(C26,Habilidades!$A$51,Habilidades!$B$51), if(C26="Suporte 1", SUMIF(C26,Habilidades!$A$52,D26) * SUMIF(C26,Habilidades!$A$52,Habilidades!$B$52), if(C26="Suporte 2", SUMIF(C26,Habilidades!$A$53,D26) * SUMIF(C26,Habilidades!$A$53,Habilidades!$B$53), if(C26="Suporte 3", SUMIF(C26,Habilidades!$A$54,D26) * SUMIF(C26,Habilidades!$A$54,Habilidades!$B$54), if(C26="Caça-tesouros 1", SUMIF(C26,Habilidades!$A$55,D26) * SUMIF(C26,Habilidades!$A$55,Habilidades!$B$55), if(C26="Caça-tesouros 2", SUMIF(C26,Habilidades!$A$56,D26) * SUMIF(C26,Habilidades!$A$56,Habilidades!$B$56), if(C26="Caça-tesouros 3", SUMIF(C26,Habilidades!$A$57,D26) * SUMIF(C26,Habilidades!$A$57,Habilidades!$B$57), if(C26="Velocista 1", SUMIF(C26,Habilidades!$A$77,D26) * SUMIF(C26,Habilidades!$A$77,Habilidades!$B$77), if(C26="Velocista 2", SUMIF(C26,Habilidades!$A$78,D26) * SUMIF(C26,Habilidades!$A$78,Habilidades!$B$78), if(C26="Velocista 3", SUMIF(C26,Habilidades!$A$79,D26) * SUMIF(C26,Habilidades!$A$79,Habilidades!$B$79), "-"))))))))))))))))))))))))))))))))))))))</f>
        <v>252</v>
      </c>
      <c r="F26" s="110"/>
      <c r="G26" s="137"/>
      <c r="H26" s="137"/>
      <c r="I26" s="137"/>
      <c r="J26" s="137"/>
      <c r="K26" s="137"/>
      <c r="L26" s="137"/>
      <c r="M26" s="110"/>
      <c r="N26" s="110"/>
    </row>
    <row r="27">
      <c r="C27" s="133" t="str">
        <f>IFERROR(__xludf.DUMMYFUNCTION("""COMPUTED_VALUE"""),"Energético 3")</f>
        <v>Energético 3</v>
      </c>
      <c r="D27" s="129">
        <f t="shared" si="2"/>
        <v>6</v>
      </c>
      <c r="E27" s="130" t="str">
        <f>if(C27="Detectar Segredo", SUMIF(C27,Habilidades!$A$11,D27) * SUMIF(C27,Habilidades!$A$11,Habilidades!$B$11), if(C27="Encontrar mágica", SUMIF(C27,Habilidades!$A$12,D27) * SUMIF(C27,Habilidades!$A$12,Habilidades!$B$12), if(C27="Cuidadoso 1", SUMIF(C27,Habilidades!$A$22,D27) * SUMIF(C27,Habilidades!$A$22,Habilidades!$B$22), if(C27="Cuidadoso 2", SUMIF(C27,Habilidades!$A$23,D41) * SUMIF(C27,Habilidades!$A$23,Habilidades!$B$23), if(C27="Cuidadoso 3", SUMIF(C27,Habilidades!$A$24,D27) * SUMIF(C27,Habilidades!$A$24,Habilidades!$B$24), if(C27="Ganancioso 1", SUMIF(C27,Habilidades!$A$25,D27) * SUMIF(C27,Habilidades!$A$25,Habilidades!$B$25), if(C27="Ganancioso 2", SUMIF(C27,Habilidades!$A$26,D27) * SUMIF(C27,Habilidades!$A$26,Habilidades!$B$26), if(C27="Ganancioso 3", SUMIF(C27,Habilidades!$A$27,D27) * SUMIF(C27,Habilidades!$A$27,Habilidades!$B$27), if(C27="Curandeiro 1", SUMIF(C27,Habilidades!$A$28,D27) * SUMIF(C27,Habilidades!$A$28,Habilidades!$B$28), if(C27="Curandeiro 2", SUMIF(C27,Habilidades!$A$29,D27) * SUMIF(C27,Habilidades!$A$29,Habilidades!$B$29), if(C27="Curandeiro 3", SUMIF(C27,Habilidades!$A$30,D27) * SUMIF(C27,Habilidades!$A$30,Habilidades!$B$30), if(C27="Sortudo 1", SUMIF(C27,Habilidades!$A$31,D27) * SUMIF(C27,Habilidades!$A$31,Habilidades!$B$31), if(C27="Sortudo 2", SUMIF(C27,Habilidades!$A$32,D27) * SUMIF(C27,Habilidades!$A$32,Habilidades!$B$32), if(C27="Sortudo 3", SUMIF(C27,Habilidades!$A$33,D27) * SUMIF(C27,Habilidades!$A$33,Habilidades!$B$33), if(C27="Protetor 1", SUMIF(C27,Habilidades!$A$34,D27) * SUMIF(C27,Habilidades!$A$34,Habilidades!$B$34), if(C27="Protetor 2", SUMIF(C27,Habilidades!$A$35,D27) * SUMIF(C27,Habilidades!$A$35,Habilidades!$B$35), if(C27="Protetor 3", SUMIF(C27,Habilidades!$A$36,D27) * SUMIF(C27,Habilidades!$A$36,Habilidades!$B$36), if(C27="Engenhoso 1", SUMIF(C27,Habilidades!$A$40,D27) * SUMIF(C27,Habilidades!$A$40,Habilidades!$B$40), if(C27="Engenhoso 2", SUMIF(C27,Habilidades!$A$41,D27) * SUMIF(C27,Habilidades!$A$41,Habilidades!$B$41), if(C27="Engenhoso 3", SUMIF(C27,Habilidades!$A$42,D27) * SUMIF(C27,Habilidades!$A$42,Habilidades!$B$42), if(C27="Reviver 1", SUMIF(C27,Habilidades!$A$43,D27) * SUMIF(C27,Habilidades!$A$43,Habilidades!$B$43), if(C27="Reviver 2", SUMIF(C27,Habilidades!$A$44,D27) * SUMIF(C27,Habilidades!$A$44,Habilidades!$B$44), if(C27="Reviver 3", SUMIF(C27,Habilidades!$A$45,D27) * SUMIF(C27,Habilidades!$A$45,Habilidades!$B$45), if(C27="Catador 1", SUMIF(C27,Habilidades!$A$46,D27) * SUMIF(C27,Habilidades!$A$46,Habilidades!$B$46), if(C27="Catador 2", SUMIF(C27,Habilidades!$A$47,D27) * SUMIF(C27,Habilidades!$A$47,Habilidades!$B$47), if(C27="Catador 3", SUMIF(C27,Habilidades!$A$48,D27) * SUMIF(C27,Habilidades!$A$48,Habilidades!$B$48), if(C27="Fornecedor 1", SUMIF(C27,Habilidades!$A$49,D27) * SUMIF(C27,Habilidades!$A$49,Habilidades!$B$49), if(C27="Fornecedor 2", SUMIF(C27,Habilidades!$A$50,D27) * SUMIF(C27,Habilidades!$A$50,Habilidades!$B$50), if(C27="Fornecedor 3", SUMIF(C27,Habilidades!$A$51,D27) * SUMIF(C27,Habilidades!$A$51,Habilidades!$B$51), if(C27="Suporte 1", SUMIF(C27,Habilidades!$A$52,D27) * SUMIF(C27,Habilidades!$A$52,Habilidades!$B$52), if(C27="Suporte 2", SUMIF(C27,Habilidades!$A$53,D27) * SUMIF(C27,Habilidades!$A$53,Habilidades!$B$53), if(C27="Suporte 3", SUMIF(C27,Habilidades!$A$54,D27) * SUMIF(C27,Habilidades!$A$54,Habilidades!$B$54), if(C27="Caça-tesouros 1", SUMIF(C27,Habilidades!$A$55,D27) * SUMIF(C27,Habilidades!$A$55,Habilidades!$B$55), if(C27="Caça-tesouros 2", SUMIF(C27,Habilidades!$A$56,D27) * SUMIF(C27,Habilidades!$A$56,Habilidades!$B$56), if(C27="Caça-tesouros 3", SUMIF(C27,Habilidades!$A$57,D27) * SUMIF(C27,Habilidades!$A$57,Habilidades!$B$57), if(C27="Velocista 1", SUMIF(C27,Habilidades!$A$77,D27) * SUMIF(C27,Habilidades!$A$77,Habilidades!$B$77), if(C27="Velocista 2", SUMIF(C27,Habilidades!$A$78,D27) * SUMIF(C27,Habilidades!$A$78,Habilidades!$B$78), if(C27="Velocista 3", SUMIF(C27,Habilidades!$A$79,D27) * SUMIF(C27,Habilidades!$A$79,Habilidades!$B$79), "-"))))))))))))))))))))))))))))))))))))))</f>
        <v>-</v>
      </c>
      <c r="F27" s="110"/>
      <c r="G27" s="137"/>
      <c r="H27" s="137"/>
      <c r="I27" s="137"/>
      <c r="J27" s="137"/>
      <c r="K27" s="137"/>
      <c r="L27" s="137"/>
      <c r="M27" s="110"/>
      <c r="N27" s="110"/>
    </row>
    <row r="28">
      <c r="C28" s="133" t="str">
        <f>IFERROR(__xludf.DUMMYFUNCTION("""COMPUTED_VALUE"""),"Fornecedor 1")</f>
        <v>Fornecedor 1</v>
      </c>
      <c r="D28" s="129">
        <f t="shared" si="2"/>
        <v>1</v>
      </c>
      <c r="E28" s="130">
        <f>if(C28="Detectar Segredo", SUMIF(C28,Habilidades!$A$11,D28) * SUMIF(C28,Habilidades!$A$11,Habilidades!$B$11), if(C28="Encontrar mágica", SUMIF(C28,Habilidades!$A$12,D28) * SUMIF(C28,Habilidades!$A$12,Habilidades!$B$12), if(C28="Cuidadoso 1", SUMIF(C28,Habilidades!$A$22,D28) * SUMIF(C28,Habilidades!$A$22,Habilidades!$B$22), if(C28="Cuidadoso 2", SUMIF(C28,Habilidades!$A$23,D42) * SUMIF(C28,Habilidades!$A$23,Habilidades!$B$23), if(C28="Cuidadoso 3", SUMIF(C28,Habilidades!$A$24,D28) * SUMIF(C28,Habilidades!$A$24,Habilidades!$B$24), if(C28="Ganancioso 1", SUMIF(C28,Habilidades!$A$25,D28) * SUMIF(C28,Habilidades!$A$25,Habilidades!$B$25), if(C28="Ganancioso 2", SUMIF(C28,Habilidades!$A$26,D28) * SUMIF(C28,Habilidades!$A$26,Habilidades!$B$26), if(C28="Ganancioso 3", SUMIF(C28,Habilidades!$A$27,D28) * SUMIF(C28,Habilidades!$A$27,Habilidades!$B$27), if(C28="Curandeiro 1", SUMIF(C28,Habilidades!$A$28,D28) * SUMIF(C28,Habilidades!$A$28,Habilidades!$B$28), if(C28="Curandeiro 2", SUMIF(C28,Habilidades!$A$29,D28) * SUMIF(C28,Habilidades!$A$29,Habilidades!$B$29), if(C28="Curandeiro 3", SUMIF(C28,Habilidades!$A$30,D28) * SUMIF(C28,Habilidades!$A$30,Habilidades!$B$30), if(C28="Sortudo 1", SUMIF(C28,Habilidades!$A$31,D28) * SUMIF(C28,Habilidades!$A$31,Habilidades!$B$31), if(C28="Sortudo 2", SUMIF(C28,Habilidades!$A$32,D28) * SUMIF(C28,Habilidades!$A$32,Habilidades!$B$32), if(C28="Sortudo 3", SUMIF(C28,Habilidades!$A$33,D28) * SUMIF(C28,Habilidades!$A$33,Habilidades!$B$33), if(C28="Protetor 1", SUMIF(C28,Habilidades!$A$34,D28) * SUMIF(C28,Habilidades!$A$34,Habilidades!$B$34), if(C28="Protetor 2", SUMIF(C28,Habilidades!$A$35,D28) * SUMIF(C28,Habilidades!$A$35,Habilidades!$B$35), if(C28="Protetor 3", SUMIF(C28,Habilidades!$A$36,D28) * SUMIF(C28,Habilidades!$A$36,Habilidades!$B$36), if(C28="Engenhoso 1", SUMIF(C28,Habilidades!$A$40,D28) * SUMIF(C28,Habilidades!$A$40,Habilidades!$B$40), if(C28="Engenhoso 2", SUMIF(C28,Habilidades!$A$41,D28) * SUMIF(C28,Habilidades!$A$41,Habilidades!$B$41), if(C28="Engenhoso 3", SUMIF(C28,Habilidades!$A$42,D28) * SUMIF(C28,Habilidades!$A$42,Habilidades!$B$42), if(C28="Reviver 1", SUMIF(C28,Habilidades!$A$43,D28) * SUMIF(C28,Habilidades!$A$43,Habilidades!$B$43), if(C28="Reviver 2", SUMIF(C28,Habilidades!$A$44,D28) * SUMIF(C28,Habilidades!$A$44,Habilidades!$B$44), if(C28="Reviver 3", SUMIF(C28,Habilidades!$A$45,D28) * SUMIF(C28,Habilidades!$A$45,Habilidades!$B$45), if(C28="Catador 1", SUMIF(C28,Habilidades!$A$46,D28) * SUMIF(C28,Habilidades!$A$46,Habilidades!$B$46), if(C28="Catador 2", SUMIF(C28,Habilidades!$A$47,D28) * SUMIF(C28,Habilidades!$A$47,Habilidades!$B$47), if(C28="Catador 3", SUMIF(C28,Habilidades!$A$48,D28) * SUMIF(C28,Habilidades!$A$48,Habilidades!$B$48), if(C28="Fornecedor 1", SUMIF(C28,Habilidades!$A$49,D28) * SUMIF(C28,Habilidades!$A$49,Habilidades!$B$49), if(C28="Fornecedor 2", SUMIF(C28,Habilidades!$A$50,D28) * SUMIF(C28,Habilidades!$A$50,Habilidades!$B$50), if(C28="Fornecedor 3", SUMIF(C28,Habilidades!$A$51,D28) * SUMIF(C28,Habilidades!$A$51,Habilidades!$B$51), if(C28="Suporte 1", SUMIF(C28,Habilidades!$A$52,D28) * SUMIF(C28,Habilidades!$A$52,Habilidades!$B$52), if(C28="Suporte 2", SUMIF(C28,Habilidades!$A$53,D28) * SUMIF(C28,Habilidades!$A$53,Habilidades!$B$53), if(C28="Suporte 3", SUMIF(C28,Habilidades!$A$54,D28) * SUMIF(C28,Habilidades!$A$54,Habilidades!$B$54), if(C28="Caça-tesouros 1", SUMIF(C28,Habilidades!$A$55,D28) * SUMIF(C28,Habilidades!$A$55,Habilidades!$B$55), if(C28="Caça-tesouros 2", SUMIF(C28,Habilidades!$A$56,D28) * SUMIF(C28,Habilidades!$A$56,Habilidades!$B$56), if(C28="Caça-tesouros 3", SUMIF(C28,Habilidades!$A$57,D28) * SUMIF(C28,Habilidades!$A$57,Habilidades!$B$57), if(C28="Velocista 1", SUMIF(C28,Habilidades!$A$77,D28) * SUMIF(C28,Habilidades!$A$77,Habilidades!$B$77), if(C28="Velocista 2", SUMIF(C28,Habilidades!$A$78,D28) * SUMIF(C28,Habilidades!$A$78,Habilidades!$B$78), if(C28="Velocista 3", SUMIF(C28,Habilidades!$A$79,D28) * SUMIF(C28,Habilidades!$A$79,Habilidades!$B$79), "-"))))))))))))))))))))))))))))))))))))))</f>
        <v>5</v>
      </c>
      <c r="F28" s="110"/>
      <c r="G28" s="137"/>
      <c r="H28" s="137"/>
      <c r="I28" s="137"/>
      <c r="J28" s="137"/>
      <c r="K28" s="137"/>
      <c r="L28" s="137"/>
      <c r="M28" s="110"/>
      <c r="N28" s="110"/>
    </row>
    <row r="29">
      <c r="C29" s="133" t="str">
        <f>IFERROR(__xludf.DUMMYFUNCTION("""COMPUTED_VALUE"""),"Líder 1")</f>
        <v>Líder 1</v>
      </c>
      <c r="D29" s="129">
        <f t="shared" si="2"/>
        <v>2</v>
      </c>
      <c r="E29" s="130" t="str">
        <f>if(C29="Detectar Segredo", SUMIF(C29,Habilidades!$A$11,D29) * SUMIF(C29,Habilidades!$A$11,Habilidades!$B$11), if(C29="Encontrar mágica", SUMIF(C29,Habilidades!$A$12,D29) * SUMIF(C29,Habilidades!$A$12,Habilidades!$B$12), if(C29="Cuidadoso 1", SUMIF(C29,Habilidades!$A$22,D29) * SUMIF(C29,Habilidades!$A$22,Habilidades!$B$22), if(C29="Cuidadoso 2", SUMIF(C29,Habilidades!$A$23,D43) * SUMIF(C29,Habilidades!$A$23,Habilidades!$B$23), if(C29="Cuidadoso 3", SUMIF(C29,Habilidades!$A$24,D29) * SUMIF(C29,Habilidades!$A$24,Habilidades!$B$24), if(C29="Ganancioso 1", SUMIF(C29,Habilidades!$A$25,D29) * SUMIF(C29,Habilidades!$A$25,Habilidades!$B$25), if(C29="Ganancioso 2", SUMIF(C29,Habilidades!$A$26,D29) * SUMIF(C29,Habilidades!$A$26,Habilidades!$B$26), if(C29="Ganancioso 3", SUMIF(C29,Habilidades!$A$27,D29) * SUMIF(C29,Habilidades!$A$27,Habilidades!$B$27), if(C29="Curandeiro 1", SUMIF(C29,Habilidades!$A$28,D29) * SUMIF(C29,Habilidades!$A$28,Habilidades!$B$28), if(C29="Curandeiro 2", SUMIF(C29,Habilidades!$A$29,D29) * SUMIF(C29,Habilidades!$A$29,Habilidades!$B$29), if(C29="Curandeiro 3", SUMIF(C29,Habilidades!$A$30,D29) * SUMIF(C29,Habilidades!$A$30,Habilidades!$B$30), if(C29="Sortudo 1", SUMIF(C29,Habilidades!$A$31,D29) * SUMIF(C29,Habilidades!$A$31,Habilidades!$B$31), if(C29="Sortudo 2", SUMIF(C29,Habilidades!$A$32,D29) * SUMIF(C29,Habilidades!$A$32,Habilidades!$B$32), if(C29="Sortudo 3", SUMIF(C29,Habilidades!$A$33,D29) * SUMIF(C29,Habilidades!$A$33,Habilidades!$B$33), if(C29="Protetor 1", SUMIF(C29,Habilidades!$A$34,D29) * SUMIF(C29,Habilidades!$A$34,Habilidades!$B$34), if(C29="Protetor 2", SUMIF(C29,Habilidades!$A$35,D29) * SUMIF(C29,Habilidades!$A$35,Habilidades!$B$35), if(C29="Protetor 3", SUMIF(C29,Habilidades!$A$36,D29) * SUMIF(C29,Habilidades!$A$36,Habilidades!$B$36), if(C29="Engenhoso 1", SUMIF(C29,Habilidades!$A$40,D29) * SUMIF(C29,Habilidades!$A$40,Habilidades!$B$40), if(C29="Engenhoso 2", SUMIF(C29,Habilidades!$A$41,D29) * SUMIF(C29,Habilidades!$A$41,Habilidades!$B$41), if(C29="Engenhoso 3", SUMIF(C29,Habilidades!$A$42,D29) * SUMIF(C29,Habilidades!$A$42,Habilidades!$B$42), if(C29="Reviver 1", SUMIF(C29,Habilidades!$A$43,D29) * SUMIF(C29,Habilidades!$A$43,Habilidades!$B$43), if(C29="Reviver 2", SUMIF(C29,Habilidades!$A$44,D29) * SUMIF(C29,Habilidades!$A$44,Habilidades!$B$44), if(C29="Reviver 3", SUMIF(C29,Habilidades!$A$45,D29) * SUMIF(C29,Habilidades!$A$45,Habilidades!$B$45), if(C29="Catador 1", SUMIF(C29,Habilidades!$A$46,D29) * SUMIF(C29,Habilidades!$A$46,Habilidades!$B$46), if(C29="Catador 2", SUMIF(C29,Habilidades!$A$47,D29) * SUMIF(C29,Habilidades!$A$47,Habilidades!$B$47), if(C29="Catador 3", SUMIF(C29,Habilidades!$A$48,D29) * SUMIF(C29,Habilidades!$A$48,Habilidades!$B$48), if(C29="Fornecedor 1", SUMIF(C29,Habilidades!$A$49,D29) * SUMIF(C29,Habilidades!$A$49,Habilidades!$B$49), if(C29="Fornecedor 2", SUMIF(C29,Habilidades!$A$50,D29) * SUMIF(C29,Habilidades!$A$50,Habilidades!$B$50), if(C29="Fornecedor 3", SUMIF(C29,Habilidades!$A$51,D29) * SUMIF(C29,Habilidades!$A$51,Habilidades!$B$51), if(C29="Suporte 1", SUMIF(C29,Habilidades!$A$52,D29) * SUMIF(C29,Habilidades!$A$52,Habilidades!$B$52), if(C29="Suporte 2", SUMIF(C29,Habilidades!$A$53,D29) * SUMIF(C29,Habilidades!$A$53,Habilidades!$B$53), if(C29="Suporte 3", SUMIF(C29,Habilidades!$A$54,D29) * SUMIF(C29,Habilidades!$A$54,Habilidades!$B$54), if(C29="Caça-tesouros 1", SUMIF(C29,Habilidades!$A$55,D29) * SUMIF(C29,Habilidades!$A$55,Habilidades!$B$55), if(C29="Caça-tesouros 2", SUMIF(C29,Habilidades!$A$56,D29) * SUMIF(C29,Habilidades!$A$56,Habilidades!$B$56), if(C29="Caça-tesouros 3", SUMIF(C29,Habilidades!$A$57,D29) * SUMIF(C29,Habilidades!$A$57,Habilidades!$B$57), if(C29="Velocista 1", SUMIF(C29,Habilidades!$A$77,D29) * SUMIF(C29,Habilidades!$A$77,Habilidades!$B$77), if(C29="Velocista 2", SUMIF(C29,Habilidades!$A$78,D29) * SUMIF(C29,Habilidades!$A$78,Habilidades!$B$78), if(C29="Velocista 3", SUMIF(C29,Habilidades!$A$79,D29) * SUMIF(C29,Habilidades!$A$79,Habilidades!$B$79), "-"))))))))))))))))))))))))))))))))))))))</f>
        <v>-</v>
      </c>
      <c r="F29" s="110"/>
      <c r="G29" s="141"/>
      <c r="H29" s="141"/>
      <c r="I29" s="141"/>
      <c r="J29" s="141"/>
      <c r="K29" s="139"/>
      <c r="L29" s="139"/>
      <c r="M29" s="47"/>
      <c r="N29" s="47"/>
    </row>
    <row r="30">
      <c r="C30" s="133" t="str">
        <f>IFERROR(__xludf.DUMMYFUNCTION("""COMPUTED_VALUE"""),"Resistente 1")</f>
        <v>Resistente 1</v>
      </c>
      <c r="D30" s="129">
        <f t="shared" si="2"/>
        <v>1</v>
      </c>
      <c r="E30" s="130" t="str">
        <f>if(C30="Detectar Segredo", SUMIF(C30,Habilidades!$A$11,D30) * SUMIF(C30,Habilidades!$A$11,Habilidades!$B$11), if(C30="Encontrar mágica", SUMIF(C30,Habilidades!$A$12,D30) * SUMIF(C30,Habilidades!$A$12,Habilidades!$B$12), if(C30="Cuidadoso 1", SUMIF(C30,Habilidades!$A$22,D30) * SUMIF(C30,Habilidades!$A$22,Habilidades!$B$22), if(C30="Cuidadoso 2", SUMIF(C30,Habilidades!$A$23,D44) * SUMIF(C30,Habilidades!$A$23,Habilidades!$B$23), if(C30="Cuidadoso 3", SUMIF(C30,Habilidades!$A$24,D30) * SUMIF(C30,Habilidades!$A$24,Habilidades!$B$24), if(C30="Ganancioso 1", SUMIF(C30,Habilidades!$A$25,D30) * SUMIF(C30,Habilidades!$A$25,Habilidades!$B$25), if(C30="Ganancioso 2", SUMIF(C30,Habilidades!$A$26,D30) * SUMIF(C30,Habilidades!$A$26,Habilidades!$B$26), if(C30="Ganancioso 3", SUMIF(C30,Habilidades!$A$27,D30) * SUMIF(C30,Habilidades!$A$27,Habilidades!$B$27), if(C30="Curandeiro 1", SUMIF(C30,Habilidades!$A$28,D30) * SUMIF(C30,Habilidades!$A$28,Habilidades!$B$28), if(C30="Curandeiro 2", SUMIF(C30,Habilidades!$A$29,D30) * SUMIF(C30,Habilidades!$A$29,Habilidades!$B$29), if(C30="Curandeiro 3", SUMIF(C30,Habilidades!$A$30,D30) * SUMIF(C30,Habilidades!$A$30,Habilidades!$B$30), if(C30="Sortudo 1", SUMIF(C30,Habilidades!$A$31,D30) * SUMIF(C30,Habilidades!$A$31,Habilidades!$B$31), if(C30="Sortudo 2", SUMIF(C30,Habilidades!$A$32,D30) * SUMIF(C30,Habilidades!$A$32,Habilidades!$B$32), if(C30="Sortudo 3", SUMIF(C30,Habilidades!$A$33,D30) * SUMIF(C30,Habilidades!$A$33,Habilidades!$B$33), if(C30="Protetor 1", SUMIF(C30,Habilidades!$A$34,D30) * SUMIF(C30,Habilidades!$A$34,Habilidades!$B$34), if(C30="Protetor 2", SUMIF(C30,Habilidades!$A$35,D30) * SUMIF(C30,Habilidades!$A$35,Habilidades!$B$35), if(C30="Protetor 3", SUMIF(C30,Habilidades!$A$36,D30) * SUMIF(C30,Habilidades!$A$36,Habilidades!$B$36), if(C30="Engenhoso 1", SUMIF(C30,Habilidades!$A$40,D30) * SUMIF(C30,Habilidades!$A$40,Habilidades!$B$40), if(C30="Engenhoso 2", SUMIF(C30,Habilidades!$A$41,D30) * SUMIF(C30,Habilidades!$A$41,Habilidades!$B$41), if(C30="Engenhoso 3", SUMIF(C30,Habilidades!$A$42,D30) * SUMIF(C30,Habilidades!$A$42,Habilidades!$B$42), if(C30="Reviver 1", SUMIF(C30,Habilidades!$A$43,D30) * SUMIF(C30,Habilidades!$A$43,Habilidades!$B$43), if(C30="Reviver 2", SUMIF(C30,Habilidades!$A$44,D30) * SUMIF(C30,Habilidades!$A$44,Habilidades!$B$44), if(C30="Reviver 3", SUMIF(C30,Habilidades!$A$45,D30) * SUMIF(C30,Habilidades!$A$45,Habilidades!$B$45), if(C30="Catador 1", SUMIF(C30,Habilidades!$A$46,D30) * SUMIF(C30,Habilidades!$A$46,Habilidades!$B$46), if(C30="Catador 2", SUMIF(C30,Habilidades!$A$47,D30) * SUMIF(C30,Habilidades!$A$47,Habilidades!$B$47), if(C30="Catador 3", SUMIF(C30,Habilidades!$A$48,D30) * SUMIF(C30,Habilidades!$A$48,Habilidades!$B$48), if(C30="Fornecedor 1", SUMIF(C30,Habilidades!$A$49,D30) * SUMIF(C30,Habilidades!$A$49,Habilidades!$B$49), if(C30="Fornecedor 2", SUMIF(C30,Habilidades!$A$50,D30) * SUMIF(C30,Habilidades!$A$50,Habilidades!$B$50), if(C30="Fornecedor 3", SUMIF(C30,Habilidades!$A$51,D30) * SUMIF(C30,Habilidades!$A$51,Habilidades!$B$51), if(C30="Suporte 1", SUMIF(C30,Habilidades!$A$52,D30) * SUMIF(C30,Habilidades!$A$52,Habilidades!$B$52), if(C30="Suporte 2", SUMIF(C30,Habilidades!$A$53,D30) * SUMIF(C30,Habilidades!$A$53,Habilidades!$B$53), if(C30="Suporte 3", SUMIF(C30,Habilidades!$A$54,D30) * SUMIF(C30,Habilidades!$A$54,Habilidades!$B$54), if(C30="Caça-tesouros 1", SUMIF(C30,Habilidades!$A$55,D30) * SUMIF(C30,Habilidades!$A$55,Habilidades!$B$55), if(C30="Caça-tesouros 2", SUMIF(C30,Habilidades!$A$56,D30) * SUMIF(C30,Habilidades!$A$56,Habilidades!$B$56), if(C30="Caça-tesouros 3", SUMIF(C30,Habilidades!$A$57,D30) * SUMIF(C30,Habilidades!$A$57,Habilidades!$B$57), if(C30="Velocista 1", SUMIF(C30,Habilidades!$A$77,D30) * SUMIF(C30,Habilidades!$A$77,Habilidades!$B$77), if(C30="Velocista 2", SUMIF(C30,Habilidades!$A$78,D30) * SUMIF(C30,Habilidades!$A$78,Habilidades!$B$78), if(C30="Velocista 3", SUMIF(C30,Habilidades!$A$79,D30) * SUMIF(C30,Habilidades!$A$79,Habilidades!$B$79), "-"))))))))))))))))))))))))))))))))))))))</f>
        <v>-</v>
      </c>
      <c r="F30" s="110"/>
      <c r="G30" s="137"/>
      <c r="H30" s="137"/>
      <c r="I30" s="137"/>
      <c r="J30" s="137"/>
      <c r="K30" s="139"/>
      <c r="L30" s="139"/>
      <c r="M30" s="47"/>
      <c r="N30" s="47"/>
    </row>
    <row r="31">
      <c r="C31" s="133" t="str">
        <f>IFERROR(__xludf.DUMMYFUNCTION("""COMPUTED_VALUE"""),"Resistente 2")</f>
        <v>Resistente 2</v>
      </c>
      <c r="D31" s="129">
        <f t="shared" si="2"/>
        <v>1</v>
      </c>
      <c r="E31" s="130" t="str">
        <f>if(C31="Detectar Segredo", SUMIF(C31,Habilidades!$A$11,D31) * SUMIF(C31,Habilidades!$A$11,Habilidades!$B$11), if(C31="Encontrar mágica", SUMIF(C31,Habilidades!$A$12,D31) * SUMIF(C31,Habilidades!$A$12,Habilidades!$B$12), if(C31="Cuidadoso 1", SUMIF(C31,Habilidades!$A$22,D31) * SUMIF(C31,Habilidades!$A$22,Habilidades!$B$22), if(C31="Cuidadoso 2", SUMIF(C31,Habilidades!$A$23,D45) * SUMIF(C31,Habilidades!$A$23,Habilidades!$B$23), if(C31="Cuidadoso 3", SUMIF(C31,Habilidades!$A$24,D31) * SUMIF(C31,Habilidades!$A$24,Habilidades!$B$24), if(C31="Ganancioso 1", SUMIF(C31,Habilidades!$A$25,D31) * SUMIF(C31,Habilidades!$A$25,Habilidades!$B$25), if(C31="Ganancioso 2", SUMIF(C31,Habilidades!$A$26,D31) * SUMIF(C31,Habilidades!$A$26,Habilidades!$B$26), if(C31="Ganancioso 3", SUMIF(C31,Habilidades!$A$27,D31) * SUMIF(C31,Habilidades!$A$27,Habilidades!$B$27), if(C31="Curandeiro 1", SUMIF(C31,Habilidades!$A$28,D31) * SUMIF(C31,Habilidades!$A$28,Habilidades!$B$28), if(C31="Curandeiro 2", SUMIF(C31,Habilidades!$A$29,D31) * SUMIF(C31,Habilidades!$A$29,Habilidades!$B$29), if(C31="Curandeiro 3", SUMIF(C31,Habilidades!$A$30,D31) * SUMIF(C31,Habilidades!$A$30,Habilidades!$B$30), if(C31="Sortudo 1", SUMIF(C31,Habilidades!$A$31,D31) * SUMIF(C31,Habilidades!$A$31,Habilidades!$B$31), if(C31="Sortudo 2", SUMIF(C31,Habilidades!$A$32,D31) * SUMIF(C31,Habilidades!$A$32,Habilidades!$B$32), if(C31="Sortudo 3", SUMIF(C31,Habilidades!$A$33,D31) * SUMIF(C31,Habilidades!$A$33,Habilidades!$B$33), if(C31="Protetor 1", SUMIF(C31,Habilidades!$A$34,D31) * SUMIF(C31,Habilidades!$A$34,Habilidades!$B$34), if(C31="Protetor 2", SUMIF(C31,Habilidades!$A$35,D31) * SUMIF(C31,Habilidades!$A$35,Habilidades!$B$35), if(C31="Protetor 3", SUMIF(C31,Habilidades!$A$36,D31) * SUMIF(C31,Habilidades!$A$36,Habilidades!$B$36), if(C31="Engenhoso 1", SUMIF(C31,Habilidades!$A$40,D31) * SUMIF(C31,Habilidades!$A$40,Habilidades!$B$40), if(C31="Engenhoso 2", SUMIF(C31,Habilidades!$A$41,D31) * SUMIF(C31,Habilidades!$A$41,Habilidades!$B$41), if(C31="Engenhoso 3", SUMIF(C31,Habilidades!$A$42,D31) * SUMIF(C31,Habilidades!$A$42,Habilidades!$B$42), if(C31="Reviver 1", SUMIF(C31,Habilidades!$A$43,D31) * SUMIF(C31,Habilidades!$A$43,Habilidades!$B$43), if(C31="Reviver 2", SUMIF(C31,Habilidades!$A$44,D31) * SUMIF(C31,Habilidades!$A$44,Habilidades!$B$44), if(C31="Reviver 3", SUMIF(C31,Habilidades!$A$45,D31) * SUMIF(C31,Habilidades!$A$45,Habilidades!$B$45), if(C31="Catador 1", SUMIF(C31,Habilidades!$A$46,D31) * SUMIF(C31,Habilidades!$A$46,Habilidades!$B$46), if(C31="Catador 2", SUMIF(C31,Habilidades!$A$47,D31) * SUMIF(C31,Habilidades!$A$47,Habilidades!$B$47), if(C31="Catador 3", SUMIF(C31,Habilidades!$A$48,D31) * SUMIF(C31,Habilidades!$A$48,Habilidades!$B$48), if(C31="Fornecedor 1", SUMIF(C31,Habilidades!$A$49,D31) * SUMIF(C31,Habilidades!$A$49,Habilidades!$B$49), if(C31="Fornecedor 2", SUMIF(C31,Habilidades!$A$50,D31) * SUMIF(C31,Habilidades!$A$50,Habilidades!$B$50), if(C31="Fornecedor 3", SUMIF(C31,Habilidades!$A$51,D31) * SUMIF(C31,Habilidades!$A$51,Habilidades!$B$51), if(C31="Suporte 1", SUMIF(C31,Habilidades!$A$52,D31) * SUMIF(C31,Habilidades!$A$52,Habilidades!$B$52), if(C31="Suporte 2", SUMIF(C31,Habilidades!$A$53,D31) * SUMIF(C31,Habilidades!$A$53,Habilidades!$B$53), if(C31="Suporte 3", SUMIF(C31,Habilidades!$A$54,D31) * SUMIF(C31,Habilidades!$A$54,Habilidades!$B$54), if(C31="Caça-tesouros 1", SUMIF(C31,Habilidades!$A$55,D31) * SUMIF(C31,Habilidades!$A$55,Habilidades!$B$55), if(C31="Caça-tesouros 2", SUMIF(C31,Habilidades!$A$56,D31) * SUMIF(C31,Habilidades!$A$56,Habilidades!$B$56), if(C31="Caça-tesouros 3", SUMIF(C31,Habilidades!$A$57,D31) * SUMIF(C31,Habilidades!$A$57,Habilidades!$B$57), if(C31="Velocista 1", SUMIF(C31,Habilidades!$A$77,D31) * SUMIF(C31,Habilidades!$A$77,Habilidades!$B$77), if(C31="Velocista 2", SUMIF(C31,Habilidades!$A$78,D31) * SUMIF(C31,Habilidades!$A$78,Habilidades!$B$78), if(C31="Velocista 3", SUMIF(C31,Habilidades!$A$79,D31) * SUMIF(C31,Habilidades!$A$79,Habilidades!$B$79), "-"))))))))))))))))))))))))))))))))))))))</f>
        <v>-</v>
      </c>
      <c r="F31" s="110"/>
      <c r="G31" s="137"/>
      <c r="H31" s="137"/>
      <c r="I31" s="137"/>
      <c r="J31" s="137"/>
      <c r="K31" s="139"/>
      <c r="L31" s="139"/>
      <c r="M31" s="47"/>
      <c r="N31" s="47"/>
    </row>
    <row r="32">
      <c r="C32" s="133" t="str">
        <f>IFERROR(__xludf.DUMMYFUNCTION("""COMPUTED_VALUE"""),"Reviver 1")</f>
        <v>Reviver 1</v>
      </c>
      <c r="D32" s="129">
        <f t="shared" si="2"/>
        <v>1</v>
      </c>
      <c r="E32" s="130">
        <f>if(C32="Detectar Segredo", SUMIF(C32,Habilidades!$A$11,D32) * SUMIF(C32,Habilidades!$A$11,Habilidades!$B$11), if(C32="Encontrar mágica", SUMIF(C32,Habilidades!$A$12,D32) * SUMIF(C32,Habilidades!$A$12,Habilidades!$B$12), if(C32="Cuidadoso 1", SUMIF(C32,Habilidades!$A$22,D32) * SUMIF(C32,Habilidades!$A$22,Habilidades!$B$22), if(C32="Cuidadoso 2", SUMIF(C32,Habilidades!$A$23,D46) * SUMIF(C32,Habilidades!$A$23,Habilidades!$B$23), if(C32="Cuidadoso 3", SUMIF(C32,Habilidades!$A$24,D32) * SUMIF(C32,Habilidades!$A$24,Habilidades!$B$24), if(C32="Ganancioso 1", SUMIF(C32,Habilidades!$A$25,D32) * SUMIF(C32,Habilidades!$A$25,Habilidades!$B$25), if(C32="Ganancioso 2", SUMIF(C32,Habilidades!$A$26,D32) * SUMIF(C32,Habilidades!$A$26,Habilidades!$B$26), if(C32="Ganancioso 3", SUMIF(C32,Habilidades!$A$27,D32) * SUMIF(C32,Habilidades!$A$27,Habilidades!$B$27), if(C32="Curandeiro 1", SUMIF(C32,Habilidades!$A$28,D32) * SUMIF(C32,Habilidades!$A$28,Habilidades!$B$28), if(C32="Curandeiro 2", SUMIF(C32,Habilidades!$A$29,D32) * SUMIF(C32,Habilidades!$A$29,Habilidades!$B$29), if(C32="Curandeiro 3", SUMIF(C32,Habilidades!$A$30,D32) * SUMIF(C32,Habilidades!$A$30,Habilidades!$B$30), if(C32="Sortudo 1", SUMIF(C32,Habilidades!$A$31,D32) * SUMIF(C32,Habilidades!$A$31,Habilidades!$B$31), if(C32="Sortudo 2", SUMIF(C32,Habilidades!$A$32,D32) * SUMIF(C32,Habilidades!$A$32,Habilidades!$B$32), if(C32="Sortudo 3", SUMIF(C32,Habilidades!$A$33,D32) * SUMIF(C32,Habilidades!$A$33,Habilidades!$B$33), if(C32="Protetor 1", SUMIF(C32,Habilidades!$A$34,D32) * SUMIF(C32,Habilidades!$A$34,Habilidades!$B$34), if(C32="Protetor 2", SUMIF(C32,Habilidades!$A$35,D32) * SUMIF(C32,Habilidades!$A$35,Habilidades!$B$35), if(C32="Protetor 3", SUMIF(C32,Habilidades!$A$36,D32) * SUMIF(C32,Habilidades!$A$36,Habilidades!$B$36), if(C32="Engenhoso 1", SUMIF(C32,Habilidades!$A$40,D32) * SUMIF(C32,Habilidades!$A$40,Habilidades!$B$40), if(C32="Engenhoso 2", SUMIF(C32,Habilidades!$A$41,D32) * SUMIF(C32,Habilidades!$A$41,Habilidades!$B$41), if(C32="Engenhoso 3", SUMIF(C32,Habilidades!$A$42,D32) * SUMIF(C32,Habilidades!$A$42,Habilidades!$B$42), if(C32="Reviver 1", SUMIF(C32,Habilidades!$A$43,D32) * SUMIF(C32,Habilidades!$A$43,Habilidades!$B$43), if(C32="Reviver 2", SUMIF(C32,Habilidades!$A$44,D32) * SUMIF(C32,Habilidades!$A$44,Habilidades!$B$44), if(C32="Reviver 3", SUMIF(C32,Habilidades!$A$45,D32) * SUMIF(C32,Habilidades!$A$45,Habilidades!$B$45), if(C32="Catador 1", SUMIF(C32,Habilidades!$A$46,D32) * SUMIF(C32,Habilidades!$A$46,Habilidades!$B$46), if(C32="Catador 2", SUMIF(C32,Habilidades!$A$47,D32) * SUMIF(C32,Habilidades!$A$47,Habilidades!$B$47), if(C32="Catador 3", SUMIF(C32,Habilidades!$A$48,D32) * SUMIF(C32,Habilidades!$A$48,Habilidades!$B$48), if(C32="Fornecedor 1", SUMIF(C32,Habilidades!$A$49,D32) * SUMIF(C32,Habilidades!$A$49,Habilidades!$B$49), if(C32="Fornecedor 2", SUMIF(C32,Habilidades!$A$50,D32) * SUMIF(C32,Habilidades!$A$50,Habilidades!$B$50), if(C32="Fornecedor 3", SUMIF(C32,Habilidades!$A$51,D32) * SUMIF(C32,Habilidades!$A$51,Habilidades!$B$51), if(C32="Suporte 1", SUMIF(C32,Habilidades!$A$52,D32) * SUMIF(C32,Habilidades!$A$52,Habilidades!$B$52), if(C32="Suporte 2", SUMIF(C32,Habilidades!$A$53,D32) * SUMIF(C32,Habilidades!$A$53,Habilidades!$B$53), if(C32="Suporte 3", SUMIF(C32,Habilidades!$A$54,D32) * SUMIF(C32,Habilidades!$A$54,Habilidades!$B$54), if(C32="Caça-tesouros 1", SUMIF(C32,Habilidades!$A$55,D32) * SUMIF(C32,Habilidades!$A$55,Habilidades!$B$55), if(C32="Caça-tesouros 2", SUMIF(C32,Habilidades!$A$56,D32) * SUMIF(C32,Habilidades!$A$56,Habilidades!$B$56), if(C32="Caça-tesouros 3", SUMIF(C32,Habilidades!$A$57,D32) * SUMIF(C32,Habilidades!$A$57,Habilidades!$B$57), if(C32="Velocista 1", SUMIF(C32,Habilidades!$A$77,D32) * SUMIF(C32,Habilidades!$A$77,Habilidades!$B$77), if(C32="Velocista 2", SUMIF(C32,Habilidades!$A$78,D32) * SUMIF(C32,Habilidades!$A$78,Habilidades!$B$78), if(C32="Velocista 3", SUMIF(C32,Habilidades!$A$79,D32) * SUMIF(C32,Habilidades!$A$79,Habilidades!$B$79), "-"))))))))))))))))))))))))))))))))))))))</f>
        <v>5</v>
      </c>
      <c r="F32" s="110"/>
      <c r="G32" s="137"/>
      <c r="H32" s="137"/>
      <c r="I32" s="137"/>
      <c r="J32" s="137"/>
      <c r="K32" s="139"/>
      <c r="L32" s="139"/>
      <c r="M32" s="47"/>
      <c r="N32" s="47"/>
    </row>
    <row r="33">
      <c r="C33" s="142" t="str">
        <f>IFERROR(__xludf.DUMMYFUNCTION("""COMPUTED_VALUE"""),"Reviver 2")</f>
        <v>Reviver 2</v>
      </c>
      <c r="D33" s="129">
        <f t="shared" si="2"/>
        <v>2</v>
      </c>
      <c r="E33" s="130">
        <f>if(C33="Detectar Segredo", SUMIF(C33,Habilidades!$A$11,D33) * SUMIF(C33,Habilidades!$A$11,Habilidades!$B$11), if(C33="Encontrar mágica", SUMIF(C33,Habilidades!$A$12,D33) * SUMIF(C33,Habilidades!$A$12,Habilidades!$B$12), if(C33="Cuidadoso 1", SUMIF(C33,Habilidades!$A$22,D33) * SUMIF(C33,Habilidades!$A$22,Habilidades!$B$22), if(C33="Cuidadoso 2", SUMIF(C33,Habilidades!$A$23,D47) * SUMIF(C33,Habilidades!$A$23,Habilidades!$B$23), if(C33="Cuidadoso 3", SUMIF(C33,Habilidades!$A$24,D33) * SUMIF(C33,Habilidades!$A$24,Habilidades!$B$24), if(C33="Ganancioso 1", SUMIF(C33,Habilidades!$A$25,D33) * SUMIF(C33,Habilidades!$A$25,Habilidades!$B$25), if(C33="Ganancioso 2", SUMIF(C33,Habilidades!$A$26,D33) * SUMIF(C33,Habilidades!$A$26,Habilidades!$B$26), if(C33="Ganancioso 3", SUMIF(C33,Habilidades!$A$27,D33) * SUMIF(C33,Habilidades!$A$27,Habilidades!$B$27), if(C33="Curandeiro 1", SUMIF(C33,Habilidades!$A$28,D33) * SUMIF(C33,Habilidades!$A$28,Habilidades!$B$28), if(C33="Curandeiro 2", SUMIF(C33,Habilidades!$A$29,D33) * SUMIF(C33,Habilidades!$A$29,Habilidades!$B$29), if(C33="Curandeiro 3", SUMIF(C33,Habilidades!$A$30,D33) * SUMIF(C33,Habilidades!$A$30,Habilidades!$B$30), if(C33="Sortudo 1", SUMIF(C33,Habilidades!$A$31,D33) * SUMIF(C33,Habilidades!$A$31,Habilidades!$B$31), if(C33="Sortudo 2", SUMIF(C33,Habilidades!$A$32,D33) * SUMIF(C33,Habilidades!$A$32,Habilidades!$B$32), if(C33="Sortudo 3", SUMIF(C33,Habilidades!$A$33,D33) * SUMIF(C33,Habilidades!$A$33,Habilidades!$B$33), if(C33="Protetor 1", SUMIF(C33,Habilidades!$A$34,D33) * SUMIF(C33,Habilidades!$A$34,Habilidades!$B$34), if(C33="Protetor 2", SUMIF(C33,Habilidades!$A$35,D33) * SUMIF(C33,Habilidades!$A$35,Habilidades!$B$35), if(C33="Protetor 3", SUMIF(C33,Habilidades!$A$36,D33) * SUMIF(C33,Habilidades!$A$36,Habilidades!$B$36), if(C33="Engenhoso 1", SUMIF(C33,Habilidades!$A$40,D33) * SUMIF(C33,Habilidades!$A$40,Habilidades!$B$40), if(C33="Engenhoso 2", SUMIF(C33,Habilidades!$A$41,D33) * SUMIF(C33,Habilidades!$A$41,Habilidades!$B$41), if(C33="Engenhoso 3", SUMIF(C33,Habilidades!$A$42,D33) * SUMIF(C33,Habilidades!$A$42,Habilidades!$B$42), if(C33="Reviver 1", SUMIF(C33,Habilidades!$A$43,D33) * SUMIF(C33,Habilidades!$A$43,Habilidades!$B$43), if(C33="Reviver 2", SUMIF(C33,Habilidades!$A$44,D33) * SUMIF(C33,Habilidades!$A$44,Habilidades!$B$44), if(C33="Reviver 3", SUMIF(C33,Habilidades!$A$45,D33) * SUMIF(C33,Habilidades!$A$45,Habilidades!$B$45), if(C33="Catador 1", SUMIF(C33,Habilidades!$A$46,D33) * SUMIF(C33,Habilidades!$A$46,Habilidades!$B$46), if(C33="Catador 2", SUMIF(C33,Habilidades!$A$47,D33) * SUMIF(C33,Habilidades!$A$47,Habilidades!$B$47), if(C33="Catador 3", SUMIF(C33,Habilidades!$A$48,D33) * SUMIF(C33,Habilidades!$A$48,Habilidades!$B$48), if(C33="Fornecedor 1", SUMIF(C33,Habilidades!$A$49,D33) * SUMIF(C33,Habilidades!$A$49,Habilidades!$B$49), if(C33="Fornecedor 2", SUMIF(C33,Habilidades!$A$50,D33) * SUMIF(C33,Habilidades!$A$50,Habilidades!$B$50), if(C33="Fornecedor 3", SUMIF(C33,Habilidades!$A$51,D33) * SUMIF(C33,Habilidades!$A$51,Habilidades!$B$51), if(C33="Suporte 1", SUMIF(C33,Habilidades!$A$52,D33) * SUMIF(C33,Habilidades!$A$52,Habilidades!$B$52), if(C33="Suporte 2", SUMIF(C33,Habilidades!$A$53,D33) * SUMIF(C33,Habilidades!$A$53,Habilidades!$B$53), if(C33="Suporte 3", SUMIF(C33,Habilidades!$A$54,D33) * SUMIF(C33,Habilidades!$A$54,Habilidades!$B$54), if(C33="Caça-tesouros 1", SUMIF(C33,Habilidades!$A$55,D33) * SUMIF(C33,Habilidades!$A$55,Habilidades!$B$55), if(C33="Caça-tesouros 2", SUMIF(C33,Habilidades!$A$56,D33) * SUMIF(C33,Habilidades!$A$56,Habilidades!$B$56), if(C33="Caça-tesouros 3", SUMIF(C33,Habilidades!$A$57,D33) * SUMIF(C33,Habilidades!$A$57,Habilidades!$B$57), if(C33="Velocista 1", SUMIF(C33,Habilidades!$A$77,D33) * SUMIF(C33,Habilidades!$A$77,Habilidades!$B$77), if(C33="Velocista 2", SUMIF(C33,Habilidades!$A$78,D33) * SUMIF(C33,Habilidades!$A$78,Habilidades!$B$78), if(C33="Velocista 3", SUMIF(C33,Habilidades!$A$79,D33) * SUMIF(C33,Habilidades!$A$79,Habilidades!$B$79), "-"))))))))))))))))))))))))))))))))))))))</f>
        <v>20</v>
      </c>
      <c r="F33" s="110"/>
      <c r="G33" s="137"/>
      <c r="H33" s="137"/>
      <c r="I33" s="137"/>
      <c r="J33" s="137"/>
      <c r="K33" s="139"/>
      <c r="L33" s="139"/>
      <c r="M33" s="47"/>
      <c r="N33" s="47"/>
    </row>
    <row r="34">
      <c r="C34" s="142" t="str">
        <f>IFERROR(__xludf.DUMMYFUNCTION("""COMPUTED_VALUE"""),"Reviver 3")</f>
        <v>Reviver 3</v>
      </c>
      <c r="D34" s="129">
        <f t="shared" si="2"/>
        <v>5</v>
      </c>
      <c r="E34" s="130">
        <f>if(C34="Detectar Segredo", SUMIF(C34,Habilidades!$A$11,D34) * SUMIF(C34,Habilidades!$A$11,Habilidades!$B$11), if(C34="Encontrar mágica", SUMIF(C34,Habilidades!$A$12,D34) * SUMIF(C34,Habilidades!$A$12,Habilidades!$B$12), if(C34="Cuidadoso 1", SUMIF(C34,Habilidades!$A$22,D34) * SUMIF(C34,Habilidades!$A$22,Habilidades!$B$22), if(C34="Cuidadoso 2", SUMIF(C34,Habilidades!$A$23,D48) * SUMIF(C34,Habilidades!$A$23,Habilidades!$B$23), if(C34="Cuidadoso 3", SUMIF(C34,Habilidades!$A$24,D34) * SUMIF(C34,Habilidades!$A$24,Habilidades!$B$24), if(C34="Ganancioso 1", SUMIF(C34,Habilidades!$A$25,D34) * SUMIF(C34,Habilidades!$A$25,Habilidades!$B$25), if(C34="Ganancioso 2", SUMIF(C34,Habilidades!$A$26,D34) * SUMIF(C34,Habilidades!$A$26,Habilidades!$B$26), if(C34="Ganancioso 3", SUMIF(C34,Habilidades!$A$27,D34) * SUMIF(C34,Habilidades!$A$27,Habilidades!$B$27), if(C34="Curandeiro 1", SUMIF(C34,Habilidades!$A$28,D34) * SUMIF(C34,Habilidades!$A$28,Habilidades!$B$28), if(C34="Curandeiro 2", SUMIF(C34,Habilidades!$A$29,D34) * SUMIF(C34,Habilidades!$A$29,Habilidades!$B$29), if(C34="Curandeiro 3", SUMIF(C34,Habilidades!$A$30,D34) * SUMIF(C34,Habilidades!$A$30,Habilidades!$B$30), if(C34="Sortudo 1", SUMIF(C34,Habilidades!$A$31,D34) * SUMIF(C34,Habilidades!$A$31,Habilidades!$B$31), if(C34="Sortudo 2", SUMIF(C34,Habilidades!$A$32,D34) * SUMIF(C34,Habilidades!$A$32,Habilidades!$B$32), if(C34="Sortudo 3", SUMIF(C34,Habilidades!$A$33,D34) * SUMIF(C34,Habilidades!$A$33,Habilidades!$B$33), if(C34="Protetor 1", SUMIF(C34,Habilidades!$A$34,D34) * SUMIF(C34,Habilidades!$A$34,Habilidades!$B$34), if(C34="Protetor 2", SUMIF(C34,Habilidades!$A$35,D34) * SUMIF(C34,Habilidades!$A$35,Habilidades!$B$35), if(C34="Protetor 3", SUMIF(C34,Habilidades!$A$36,D34) * SUMIF(C34,Habilidades!$A$36,Habilidades!$B$36), if(C34="Engenhoso 1", SUMIF(C34,Habilidades!$A$40,D34) * SUMIF(C34,Habilidades!$A$40,Habilidades!$B$40), if(C34="Engenhoso 2", SUMIF(C34,Habilidades!$A$41,D34) * SUMIF(C34,Habilidades!$A$41,Habilidades!$B$41), if(C34="Engenhoso 3", SUMIF(C34,Habilidades!$A$42,D34) * SUMIF(C34,Habilidades!$A$42,Habilidades!$B$42), if(C34="Reviver 1", SUMIF(C34,Habilidades!$A$43,D34) * SUMIF(C34,Habilidades!$A$43,Habilidades!$B$43), if(C34="Reviver 2", SUMIF(C34,Habilidades!$A$44,D34) * SUMIF(C34,Habilidades!$A$44,Habilidades!$B$44), if(C34="Reviver 3", SUMIF(C34,Habilidades!$A$45,D34) * SUMIF(C34,Habilidades!$A$45,Habilidades!$B$45), if(C34="Catador 1", SUMIF(C34,Habilidades!$A$46,D34) * SUMIF(C34,Habilidades!$A$46,Habilidades!$B$46), if(C34="Catador 2", SUMIF(C34,Habilidades!$A$47,D34) * SUMIF(C34,Habilidades!$A$47,Habilidades!$B$47), if(C34="Catador 3", SUMIF(C34,Habilidades!$A$48,D34) * SUMIF(C34,Habilidades!$A$48,Habilidades!$B$48), if(C34="Fornecedor 1", SUMIF(C34,Habilidades!$A$49,D34) * SUMIF(C34,Habilidades!$A$49,Habilidades!$B$49), if(C34="Fornecedor 2", SUMIF(C34,Habilidades!$A$50,D34) * SUMIF(C34,Habilidades!$A$50,Habilidades!$B$50), if(C34="Fornecedor 3", SUMIF(C34,Habilidades!$A$51,D34) * SUMIF(C34,Habilidades!$A$51,Habilidades!$B$51), if(C34="Suporte 1", SUMIF(C34,Habilidades!$A$52,D34) * SUMIF(C34,Habilidades!$A$52,Habilidades!$B$52), if(C34="Suporte 2", SUMIF(C34,Habilidades!$A$53,D34) * SUMIF(C34,Habilidades!$A$53,Habilidades!$B$53), if(C34="Suporte 3", SUMIF(C34,Habilidades!$A$54,D34) * SUMIF(C34,Habilidades!$A$54,Habilidades!$B$54), if(C34="Caça-tesouros 1", SUMIF(C34,Habilidades!$A$55,D34) * SUMIF(C34,Habilidades!$A$55,Habilidades!$B$55), if(C34="Caça-tesouros 2", SUMIF(C34,Habilidades!$A$56,D34) * SUMIF(C34,Habilidades!$A$56,Habilidades!$B$56), if(C34="Caça-tesouros 3", SUMIF(C34,Habilidades!$A$57,D34) * SUMIF(C34,Habilidades!$A$57,Habilidades!$B$57), if(C34="Velocista 1", SUMIF(C34,Habilidades!$A$77,D34) * SUMIF(C34,Habilidades!$A$77,Habilidades!$B$77), if(C34="Velocista 2", SUMIF(C34,Habilidades!$A$78,D34) * SUMIF(C34,Habilidades!$A$78,Habilidades!$B$78), if(C34="Velocista 3", SUMIF(C34,Habilidades!$A$79,D34) * SUMIF(C34,Habilidades!$A$79,Habilidades!$B$79), "-"))))))))))))))))))))))))))))))))))))))</f>
        <v>75</v>
      </c>
      <c r="F34" s="110"/>
      <c r="G34" s="137"/>
      <c r="H34" s="137"/>
      <c r="I34" s="137"/>
      <c r="J34" s="137"/>
      <c r="K34" s="137"/>
      <c r="L34" s="137"/>
      <c r="M34" s="110"/>
      <c r="N34" s="110"/>
    </row>
    <row r="35">
      <c r="C35" s="142" t="str">
        <f>IFERROR(__xludf.DUMMYFUNCTION("""COMPUTED_VALUE"""),"Sábio 1")</f>
        <v>Sábio 1</v>
      </c>
      <c r="D35" s="129">
        <f t="shared" si="2"/>
        <v>1</v>
      </c>
      <c r="E35" s="130" t="str">
        <f>if(C35="Detectar Segredo", SUMIF(C35,Habilidades!$A$11,D35) * SUMIF(C35,Habilidades!$A$11,Habilidades!$B$11), if(C35="Encontrar mágica", SUMIF(C35,Habilidades!$A$12,D35) * SUMIF(C35,Habilidades!$A$12,Habilidades!$B$12), if(C35="Cuidadoso 1", SUMIF(C35,Habilidades!$A$22,D35) * SUMIF(C35,Habilidades!$A$22,Habilidades!$B$22), if(C35="Cuidadoso 2", SUMIF(C35,Habilidades!$A$23,D49) * SUMIF(C35,Habilidades!$A$23,Habilidades!$B$23), if(C35="Cuidadoso 3", SUMIF(C35,Habilidades!$A$24,D35) * SUMIF(C35,Habilidades!$A$24,Habilidades!$B$24), if(C35="Ganancioso 1", SUMIF(C35,Habilidades!$A$25,D35) * SUMIF(C35,Habilidades!$A$25,Habilidades!$B$25), if(C35="Ganancioso 2", SUMIF(C35,Habilidades!$A$26,D35) * SUMIF(C35,Habilidades!$A$26,Habilidades!$B$26), if(C35="Ganancioso 3", SUMIF(C35,Habilidades!$A$27,D35) * SUMIF(C35,Habilidades!$A$27,Habilidades!$B$27), if(C35="Curandeiro 1", SUMIF(C35,Habilidades!$A$28,D35) * SUMIF(C35,Habilidades!$A$28,Habilidades!$B$28), if(C35="Curandeiro 2", SUMIF(C35,Habilidades!$A$29,D35) * SUMIF(C35,Habilidades!$A$29,Habilidades!$B$29), if(C35="Curandeiro 3", SUMIF(C35,Habilidades!$A$30,D35) * SUMIF(C35,Habilidades!$A$30,Habilidades!$B$30), if(C35="Sortudo 1", SUMIF(C35,Habilidades!$A$31,D35) * SUMIF(C35,Habilidades!$A$31,Habilidades!$B$31), if(C35="Sortudo 2", SUMIF(C35,Habilidades!$A$32,D35) * SUMIF(C35,Habilidades!$A$32,Habilidades!$B$32), if(C35="Sortudo 3", SUMIF(C35,Habilidades!$A$33,D35) * SUMIF(C35,Habilidades!$A$33,Habilidades!$B$33), if(C35="Protetor 1", SUMIF(C35,Habilidades!$A$34,D35) * SUMIF(C35,Habilidades!$A$34,Habilidades!$B$34), if(C35="Protetor 2", SUMIF(C35,Habilidades!$A$35,D35) * SUMIF(C35,Habilidades!$A$35,Habilidades!$B$35), if(C35="Protetor 3", SUMIF(C35,Habilidades!$A$36,D35) * SUMIF(C35,Habilidades!$A$36,Habilidades!$B$36), if(C35="Engenhoso 1", SUMIF(C35,Habilidades!$A$40,D35) * SUMIF(C35,Habilidades!$A$40,Habilidades!$B$40), if(C35="Engenhoso 2", SUMIF(C35,Habilidades!$A$41,D35) * SUMIF(C35,Habilidades!$A$41,Habilidades!$B$41), if(C35="Engenhoso 3", SUMIF(C35,Habilidades!$A$42,D35) * SUMIF(C35,Habilidades!$A$42,Habilidades!$B$42), if(C35="Reviver 1", SUMIF(C35,Habilidades!$A$43,D35) * SUMIF(C35,Habilidades!$A$43,Habilidades!$B$43), if(C35="Reviver 2", SUMIF(C35,Habilidades!$A$44,D35) * SUMIF(C35,Habilidades!$A$44,Habilidades!$B$44), if(C35="Reviver 3", SUMIF(C35,Habilidades!$A$45,D35) * SUMIF(C35,Habilidades!$A$45,Habilidades!$B$45), if(C35="Catador 1", SUMIF(C35,Habilidades!$A$46,D35) * SUMIF(C35,Habilidades!$A$46,Habilidades!$B$46), if(C35="Catador 2", SUMIF(C35,Habilidades!$A$47,D35) * SUMIF(C35,Habilidades!$A$47,Habilidades!$B$47), if(C35="Catador 3", SUMIF(C35,Habilidades!$A$48,D35) * SUMIF(C35,Habilidades!$A$48,Habilidades!$B$48), if(C35="Fornecedor 1", SUMIF(C35,Habilidades!$A$49,D35) * SUMIF(C35,Habilidades!$A$49,Habilidades!$B$49), if(C35="Fornecedor 2", SUMIF(C35,Habilidades!$A$50,D35) * SUMIF(C35,Habilidades!$A$50,Habilidades!$B$50), if(C35="Fornecedor 3", SUMIF(C35,Habilidades!$A$51,D35) * SUMIF(C35,Habilidades!$A$51,Habilidades!$B$51), if(C35="Suporte 1", SUMIF(C35,Habilidades!$A$52,D35) * SUMIF(C35,Habilidades!$A$52,Habilidades!$B$52), if(C35="Suporte 2", SUMIF(C35,Habilidades!$A$53,D35) * SUMIF(C35,Habilidades!$A$53,Habilidades!$B$53), if(C35="Suporte 3", SUMIF(C35,Habilidades!$A$54,D35) * SUMIF(C35,Habilidades!$A$54,Habilidades!$B$54), if(C35="Caça-tesouros 1", SUMIF(C35,Habilidades!$A$55,D35) * SUMIF(C35,Habilidades!$A$55,Habilidades!$B$55), if(C35="Caça-tesouros 2", SUMIF(C35,Habilidades!$A$56,D35) * SUMIF(C35,Habilidades!$A$56,Habilidades!$B$56), if(C35="Caça-tesouros 3", SUMIF(C35,Habilidades!$A$57,D35) * SUMIF(C35,Habilidades!$A$57,Habilidades!$B$57), if(C35="Velocista 1", SUMIF(C35,Habilidades!$A$77,D35) * SUMIF(C35,Habilidades!$A$77,Habilidades!$B$77), if(C35="Velocista 2", SUMIF(C35,Habilidades!$A$78,D35) * SUMIF(C35,Habilidades!$A$78,Habilidades!$B$78), if(C35="Velocista 3", SUMIF(C35,Habilidades!$A$79,D35) * SUMIF(C35,Habilidades!$A$79,Habilidades!$B$79), "-"))))))))))))))))))))))))))))))))))))))</f>
        <v>-</v>
      </c>
      <c r="F35" s="110"/>
      <c r="G35" s="137"/>
      <c r="H35" s="137"/>
      <c r="I35" s="137"/>
      <c r="J35" s="137"/>
      <c r="K35" s="137"/>
      <c r="L35" s="137"/>
      <c r="M35" s="110"/>
      <c r="N35" s="110"/>
    </row>
    <row r="36">
      <c r="C36" s="142" t="str">
        <f>IFERROR(__xludf.DUMMYFUNCTION("""COMPUTED_VALUE"""),"Sábio 2")</f>
        <v>Sábio 2</v>
      </c>
      <c r="D36" s="129">
        <f t="shared" si="2"/>
        <v>1</v>
      </c>
      <c r="E36" s="130" t="str">
        <f>if(C36="Detectar Segredo", SUMIF(C36,Habilidades!$A$11,D36) * SUMIF(C36,Habilidades!$A$11,Habilidades!$B$11), if(C36="Encontrar mágica", SUMIF(C36,Habilidades!$A$12,D36) * SUMIF(C36,Habilidades!$A$12,Habilidades!$B$12), if(C36="Cuidadoso 1", SUMIF(C36,Habilidades!$A$22,D36) * SUMIF(C36,Habilidades!$A$22,Habilidades!$B$22), if(C36="Cuidadoso 2", SUMIF(C36,Habilidades!$A$23,D50) * SUMIF(C36,Habilidades!$A$23,Habilidades!$B$23), if(C36="Cuidadoso 3", SUMIF(C36,Habilidades!$A$24,D36) * SUMIF(C36,Habilidades!$A$24,Habilidades!$B$24), if(C36="Ganancioso 1", SUMIF(C36,Habilidades!$A$25,D36) * SUMIF(C36,Habilidades!$A$25,Habilidades!$B$25), if(C36="Ganancioso 2", SUMIF(C36,Habilidades!$A$26,D36) * SUMIF(C36,Habilidades!$A$26,Habilidades!$B$26), if(C36="Ganancioso 3", SUMIF(C36,Habilidades!$A$27,D36) * SUMIF(C36,Habilidades!$A$27,Habilidades!$B$27), if(C36="Curandeiro 1", SUMIF(C36,Habilidades!$A$28,D36) * SUMIF(C36,Habilidades!$A$28,Habilidades!$B$28), if(C36="Curandeiro 2", SUMIF(C36,Habilidades!$A$29,D36) * SUMIF(C36,Habilidades!$A$29,Habilidades!$B$29), if(C36="Curandeiro 3", SUMIF(C36,Habilidades!$A$30,D36) * SUMIF(C36,Habilidades!$A$30,Habilidades!$B$30), if(C36="Sortudo 1", SUMIF(C36,Habilidades!$A$31,D36) * SUMIF(C36,Habilidades!$A$31,Habilidades!$B$31), if(C36="Sortudo 2", SUMIF(C36,Habilidades!$A$32,D36) * SUMIF(C36,Habilidades!$A$32,Habilidades!$B$32), if(C36="Sortudo 3", SUMIF(C36,Habilidades!$A$33,D36) * SUMIF(C36,Habilidades!$A$33,Habilidades!$B$33), if(C36="Protetor 1", SUMIF(C36,Habilidades!$A$34,D36) * SUMIF(C36,Habilidades!$A$34,Habilidades!$B$34), if(C36="Protetor 2", SUMIF(C36,Habilidades!$A$35,D36) * SUMIF(C36,Habilidades!$A$35,Habilidades!$B$35), if(C36="Protetor 3", SUMIF(C36,Habilidades!$A$36,D36) * SUMIF(C36,Habilidades!$A$36,Habilidades!$B$36), if(C36="Engenhoso 1", SUMIF(C36,Habilidades!$A$40,D36) * SUMIF(C36,Habilidades!$A$40,Habilidades!$B$40), if(C36="Engenhoso 2", SUMIF(C36,Habilidades!$A$41,D36) * SUMIF(C36,Habilidades!$A$41,Habilidades!$B$41), if(C36="Engenhoso 3", SUMIF(C36,Habilidades!$A$42,D36) * SUMIF(C36,Habilidades!$A$42,Habilidades!$B$42), if(C36="Reviver 1", SUMIF(C36,Habilidades!$A$43,D36) * SUMIF(C36,Habilidades!$A$43,Habilidades!$B$43), if(C36="Reviver 2", SUMIF(C36,Habilidades!$A$44,D36) * SUMIF(C36,Habilidades!$A$44,Habilidades!$B$44), if(C36="Reviver 3", SUMIF(C36,Habilidades!$A$45,D36) * SUMIF(C36,Habilidades!$A$45,Habilidades!$B$45), if(C36="Catador 1", SUMIF(C36,Habilidades!$A$46,D36) * SUMIF(C36,Habilidades!$A$46,Habilidades!$B$46), if(C36="Catador 2", SUMIF(C36,Habilidades!$A$47,D36) * SUMIF(C36,Habilidades!$A$47,Habilidades!$B$47), if(C36="Catador 3", SUMIF(C36,Habilidades!$A$48,D36) * SUMIF(C36,Habilidades!$A$48,Habilidades!$B$48), if(C36="Fornecedor 1", SUMIF(C36,Habilidades!$A$49,D36) * SUMIF(C36,Habilidades!$A$49,Habilidades!$B$49), if(C36="Fornecedor 2", SUMIF(C36,Habilidades!$A$50,D36) * SUMIF(C36,Habilidades!$A$50,Habilidades!$B$50), if(C36="Fornecedor 3", SUMIF(C36,Habilidades!$A$51,D36) * SUMIF(C36,Habilidades!$A$51,Habilidades!$B$51), if(C36="Suporte 1", SUMIF(C36,Habilidades!$A$52,D36) * SUMIF(C36,Habilidades!$A$52,Habilidades!$B$52), if(C36="Suporte 2", SUMIF(C36,Habilidades!$A$53,D36) * SUMIF(C36,Habilidades!$A$53,Habilidades!$B$53), if(C36="Suporte 3", SUMIF(C36,Habilidades!$A$54,D36) * SUMIF(C36,Habilidades!$A$54,Habilidades!$B$54), if(C36="Caça-tesouros 1", SUMIF(C36,Habilidades!$A$55,D36) * SUMIF(C36,Habilidades!$A$55,Habilidades!$B$55), if(C36="Caça-tesouros 2", SUMIF(C36,Habilidades!$A$56,D36) * SUMIF(C36,Habilidades!$A$56,Habilidades!$B$56), if(C36="Caça-tesouros 3", SUMIF(C36,Habilidades!$A$57,D36) * SUMIF(C36,Habilidades!$A$57,Habilidades!$B$57), if(C36="Velocista 1", SUMIF(C36,Habilidades!$A$77,D36) * SUMIF(C36,Habilidades!$A$77,Habilidades!$B$77), if(C36="Velocista 2", SUMIF(C36,Habilidades!$A$78,D36) * SUMIF(C36,Habilidades!$A$78,Habilidades!$B$78), if(C36="Velocista 3", SUMIF(C36,Habilidades!$A$79,D36) * SUMIF(C36,Habilidades!$A$79,Habilidades!$B$79), "-"))))))))))))))))))))))))))))))))))))))</f>
        <v>-</v>
      </c>
      <c r="F36" s="110"/>
      <c r="G36" s="137"/>
      <c r="H36" s="137"/>
      <c r="I36" s="137"/>
      <c r="J36" s="137"/>
      <c r="K36" s="137"/>
      <c r="L36" s="137"/>
      <c r="M36" s="110"/>
      <c r="N36" s="110"/>
    </row>
    <row r="37">
      <c r="C37" s="142" t="str">
        <f>IFERROR(__xludf.DUMMYFUNCTION("""COMPUTED_VALUE"""),"Sortudo 1")</f>
        <v>Sortudo 1</v>
      </c>
      <c r="D37" s="129">
        <f t="shared" si="2"/>
        <v>1</v>
      </c>
      <c r="E37" s="130">
        <f>if(C37="Detectar Segredo", SUMIF(C37,Habilidades!$A$11,D37) * SUMIF(C37,Habilidades!$A$11,Habilidades!$B$11), if(C37="Encontrar mágica", SUMIF(C37,Habilidades!$A$12,D37) * SUMIF(C37,Habilidades!$A$12,Habilidades!$B$12), if(C37="Cuidadoso 1", SUMIF(C37,Habilidades!$A$22,D37) * SUMIF(C37,Habilidades!$A$22,Habilidades!$B$22), if(C37="Cuidadoso 2", SUMIF(C37,Habilidades!$A$23,D51) * SUMIF(C37,Habilidades!$A$23,Habilidades!$B$23), if(C37="Cuidadoso 3", SUMIF(C37,Habilidades!$A$24,D37) * SUMIF(C37,Habilidades!$A$24,Habilidades!$B$24), if(C37="Ganancioso 1", SUMIF(C37,Habilidades!$A$25,D37) * SUMIF(C37,Habilidades!$A$25,Habilidades!$B$25), if(C37="Ganancioso 2", SUMIF(C37,Habilidades!$A$26,D37) * SUMIF(C37,Habilidades!$A$26,Habilidades!$B$26), if(C37="Ganancioso 3", SUMIF(C37,Habilidades!$A$27,D37) * SUMIF(C37,Habilidades!$A$27,Habilidades!$B$27), if(C37="Curandeiro 1", SUMIF(C37,Habilidades!$A$28,D37) * SUMIF(C37,Habilidades!$A$28,Habilidades!$B$28), if(C37="Curandeiro 2", SUMIF(C37,Habilidades!$A$29,D37) * SUMIF(C37,Habilidades!$A$29,Habilidades!$B$29), if(C37="Curandeiro 3", SUMIF(C37,Habilidades!$A$30,D37) * SUMIF(C37,Habilidades!$A$30,Habilidades!$B$30), if(C37="Sortudo 1", SUMIF(C37,Habilidades!$A$31,D37) * SUMIF(C37,Habilidades!$A$31,Habilidades!$B$31), if(C37="Sortudo 2", SUMIF(C37,Habilidades!$A$32,D37) * SUMIF(C37,Habilidades!$A$32,Habilidades!$B$32), if(C37="Sortudo 3", SUMIF(C37,Habilidades!$A$33,D37) * SUMIF(C37,Habilidades!$A$33,Habilidades!$B$33), if(C37="Protetor 1", SUMIF(C37,Habilidades!$A$34,D37) * SUMIF(C37,Habilidades!$A$34,Habilidades!$B$34), if(C37="Protetor 2", SUMIF(C37,Habilidades!$A$35,D37) * SUMIF(C37,Habilidades!$A$35,Habilidades!$B$35), if(C37="Protetor 3", SUMIF(C37,Habilidades!$A$36,D37) * SUMIF(C37,Habilidades!$A$36,Habilidades!$B$36), if(C37="Engenhoso 1", SUMIF(C37,Habilidades!$A$40,D37) * SUMIF(C37,Habilidades!$A$40,Habilidades!$B$40), if(C37="Engenhoso 2", SUMIF(C37,Habilidades!$A$41,D37) * SUMIF(C37,Habilidades!$A$41,Habilidades!$B$41), if(C37="Engenhoso 3", SUMIF(C37,Habilidades!$A$42,D37) * SUMIF(C37,Habilidades!$A$42,Habilidades!$B$42), if(C37="Reviver 1", SUMIF(C37,Habilidades!$A$43,D37) * SUMIF(C37,Habilidades!$A$43,Habilidades!$B$43), if(C37="Reviver 2", SUMIF(C37,Habilidades!$A$44,D37) * SUMIF(C37,Habilidades!$A$44,Habilidades!$B$44), if(C37="Reviver 3", SUMIF(C37,Habilidades!$A$45,D37) * SUMIF(C37,Habilidades!$A$45,Habilidades!$B$45), if(C37="Catador 1", SUMIF(C37,Habilidades!$A$46,D37) * SUMIF(C37,Habilidades!$A$46,Habilidades!$B$46), if(C37="Catador 2", SUMIF(C37,Habilidades!$A$47,D37) * SUMIF(C37,Habilidades!$A$47,Habilidades!$B$47), if(C37="Catador 3", SUMIF(C37,Habilidades!$A$48,D37) * SUMIF(C37,Habilidades!$A$48,Habilidades!$B$48), if(C37="Fornecedor 1", SUMIF(C37,Habilidades!$A$49,D37) * SUMIF(C37,Habilidades!$A$49,Habilidades!$B$49), if(C37="Fornecedor 2", SUMIF(C37,Habilidades!$A$50,D37) * SUMIF(C37,Habilidades!$A$50,Habilidades!$B$50), if(C37="Fornecedor 3", SUMIF(C37,Habilidades!$A$51,D37) * SUMIF(C37,Habilidades!$A$51,Habilidades!$B$51), if(C37="Suporte 1", SUMIF(C37,Habilidades!$A$52,D37) * SUMIF(C37,Habilidades!$A$52,Habilidades!$B$52), if(C37="Suporte 2", SUMIF(C37,Habilidades!$A$53,D37) * SUMIF(C37,Habilidades!$A$53,Habilidades!$B$53), if(C37="Suporte 3", SUMIF(C37,Habilidades!$A$54,D37) * SUMIF(C37,Habilidades!$A$54,Habilidades!$B$54), if(C37="Caça-tesouros 1", SUMIF(C37,Habilidades!$A$55,D37) * SUMIF(C37,Habilidades!$A$55,Habilidades!$B$55), if(C37="Caça-tesouros 2", SUMIF(C37,Habilidades!$A$56,D37) * SUMIF(C37,Habilidades!$A$56,Habilidades!$B$56), if(C37="Caça-tesouros 3", SUMIF(C37,Habilidades!$A$57,D37) * SUMIF(C37,Habilidades!$A$57,Habilidades!$B$57), if(C37="Velocista 1", SUMIF(C37,Habilidades!$A$77,D37) * SUMIF(C37,Habilidades!$A$77,Habilidades!$B$77), if(C37="Velocista 2", SUMIF(C37,Habilidades!$A$78,D37) * SUMIF(C37,Habilidades!$A$78,Habilidades!$B$78), if(C37="Velocista 3", SUMIF(C37,Habilidades!$A$79,D37) * SUMIF(C37,Habilidades!$A$79,Habilidades!$B$79), "-"))))))))))))))))))))))))))))))))))))))</f>
        <v>10</v>
      </c>
      <c r="F37" s="110"/>
      <c r="G37" s="137"/>
      <c r="H37" s="137"/>
      <c r="I37" s="137"/>
      <c r="J37" s="137"/>
      <c r="K37" s="137"/>
      <c r="L37" s="137"/>
      <c r="M37" s="110"/>
      <c r="N37" s="110"/>
    </row>
    <row r="38">
      <c r="C38" s="142" t="str">
        <f>IFERROR(__xludf.DUMMYFUNCTION("""COMPUTED_VALUE"""),"Suporte 2")</f>
        <v>Suporte 2</v>
      </c>
      <c r="D38" s="129">
        <f t="shared" si="2"/>
        <v>1</v>
      </c>
      <c r="E38" s="130">
        <f>if(C38="Detectar Segredo", SUMIF(C38,Habilidades!$A$11,D38) * SUMIF(C38,Habilidades!$A$11,Habilidades!$B$11), if(C38="Encontrar mágica", SUMIF(C38,Habilidades!$A$12,D38) * SUMIF(C38,Habilidades!$A$12,Habilidades!$B$12), if(C38="Cuidadoso 1", SUMIF(C38,Habilidades!$A$22,D38) * SUMIF(C38,Habilidades!$A$22,Habilidades!$B$22), if(C38="Cuidadoso 2", SUMIF(C38,Habilidades!$A$23,D52) * SUMIF(C38,Habilidades!$A$23,Habilidades!$B$23), if(C38="Cuidadoso 3", SUMIF(C38,Habilidades!$A$24,D38) * SUMIF(C38,Habilidades!$A$24,Habilidades!$B$24), if(C38="Ganancioso 1", SUMIF(C38,Habilidades!$A$25,D38) * SUMIF(C38,Habilidades!$A$25,Habilidades!$B$25), if(C38="Ganancioso 2", SUMIF(C38,Habilidades!$A$26,D38) * SUMIF(C38,Habilidades!$A$26,Habilidades!$B$26), if(C38="Ganancioso 3", SUMIF(C38,Habilidades!$A$27,D38) * SUMIF(C38,Habilidades!$A$27,Habilidades!$B$27), if(C38="Curandeiro 1", SUMIF(C38,Habilidades!$A$28,D38) * SUMIF(C38,Habilidades!$A$28,Habilidades!$B$28), if(C38="Curandeiro 2", SUMIF(C38,Habilidades!$A$29,D38) * SUMIF(C38,Habilidades!$A$29,Habilidades!$B$29), if(C38="Curandeiro 3", SUMIF(C38,Habilidades!$A$30,D38) * SUMIF(C38,Habilidades!$A$30,Habilidades!$B$30), if(C38="Sortudo 1", SUMIF(C38,Habilidades!$A$31,D38) * SUMIF(C38,Habilidades!$A$31,Habilidades!$B$31), if(C38="Sortudo 2", SUMIF(C38,Habilidades!$A$32,D38) * SUMIF(C38,Habilidades!$A$32,Habilidades!$B$32), if(C38="Sortudo 3", SUMIF(C38,Habilidades!$A$33,D38) * SUMIF(C38,Habilidades!$A$33,Habilidades!$B$33), if(C38="Protetor 1", SUMIF(C38,Habilidades!$A$34,D38) * SUMIF(C38,Habilidades!$A$34,Habilidades!$B$34), if(C38="Protetor 2", SUMIF(C38,Habilidades!$A$35,D38) * SUMIF(C38,Habilidades!$A$35,Habilidades!$B$35), if(C38="Protetor 3", SUMIF(C38,Habilidades!$A$36,D38) * SUMIF(C38,Habilidades!$A$36,Habilidades!$B$36), if(C38="Engenhoso 1", SUMIF(C38,Habilidades!$A$40,D38) * SUMIF(C38,Habilidades!$A$40,Habilidades!$B$40), if(C38="Engenhoso 2", SUMIF(C38,Habilidades!$A$41,D38) * SUMIF(C38,Habilidades!$A$41,Habilidades!$B$41), if(C38="Engenhoso 3", SUMIF(C38,Habilidades!$A$42,D38) * SUMIF(C38,Habilidades!$A$42,Habilidades!$B$42), if(C38="Reviver 1", SUMIF(C38,Habilidades!$A$43,D38) * SUMIF(C38,Habilidades!$A$43,Habilidades!$B$43), if(C38="Reviver 2", SUMIF(C38,Habilidades!$A$44,D38) * SUMIF(C38,Habilidades!$A$44,Habilidades!$B$44), if(C38="Reviver 3", SUMIF(C38,Habilidades!$A$45,D38) * SUMIF(C38,Habilidades!$A$45,Habilidades!$B$45), if(C38="Catador 1", SUMIF(C38,Habilidades!$A$46,D38) * SUMIF(C38,Habilidades!$A$46,Habilidades!$B$46), if(C38="Catador 2", SUMIF(C38,Habilidades!$A$47,D38) * SUMIF(C38,Habilidades!$A$47,Habilidades!$B$47), if(C38="Catador 3", SUMIF(C38,Habilidades!$A$48,D38) * SUMIF(C38,Habilidades!$A$48,Habilidades!$B$48), if(C38="Fornecedor 1", SUMIF(C38,Habilidades!$A$49,D38) * SUMIF(C38,Habilidades!$A$49,Habilidades!$B$49), if(C38="Fornecedor 2", SUMIF(C38,Habilidades!$A$50,D38) * SUMIF(C38,Habilidades!$A$50,Habilidades!$B$50), if(C38="Fornecedor 3", SUMIF(C38,Habilidades!$A$51,D38) * SUMIF(C38,Habilidades!$A$51,Habilidades!$B$51), if(C38="Suporte 1", SUMIF(C38,Habilidades!$A$52,D38) * SUMIF(C38,Habilidades!$A$52,Habilidades!$B$52), if(C38="Suporte 2", SUMIF(C38,Habilidades!$A$53,D38) * SUMIF(C38,Habilidades!$A$53,Habilidades!$B$53), if(C38="Suporte 3", SUMIF(C38,Habilidades!$A$54,D38) * SUMIF(C38,Habilidades!$A$54,Habilidades!$B$54), if(C38="Caça-tesouros 1", SUMIF(C38,Habilidades!$A$55,D38) * SUMIF(C38,Habilidades!$A$55,Habilidades!$B$55), if(C38="Caça-tesouros 2", SUMIF(C38,Habilidades!$A$56,D38) * SUMIF(C38,Habilidades!$A$56,Habilidades!$B$56), if(C38="Caça-tesouros 3", SUMIF(C38,Habilidades!$A$57,D38) * SUMIF(C38,Habilidades!$A$57,Habilidades!$B$57), if(C38="Velocista 1", SUMIF(C38,Habilidades!$A$77,D38) * SUMIF(C38,Habilidades!$A$77,Habilidades!$B$77), if(C38="Velocista 2", SUMIF(C38,Habilidades!$A$78,D38) * SUMIF(C38,Habilidades!$A$78,Habilidades!$B$78), if(C38="Velocista 3", SUMIF(C38,Habilidades!$A$79,D38) * SUMIF(C38,Habilidades!$A$79,Habilidades!$B$79), "-"))))))))))))))))))))))))))))))))))))))</f>
        <v>2</v>
      </c>
      <c r="F38" s="110"/>
      <c r="G38" s="137"/>
      <c r="H38" s="137"/>
      <c r="I38" s="137"/>
      <c r="J38" s="137"/>
      <c r="K38" s="137"/>
      <c r="L38" s="137"/>
      <c r="M38" s="110"/>
      <c r="N38" s="110"/>
    </row>
    <row r="39">
      <c r="C39" s="142" t="str">
        <f>IFERROR(__xludf.DUMMYFUNCTION("""COMPUTED_VALUE"""),"Velocista 2")</f>
        <v>Velocista 2</v>
      </c>
      <c r="D39" s="129">
        <f t="shared" si="2"/>
        <v>2</v>
      </c>
      <c r="E39" s="130">
        <f>if(C39="Detectar Segredo", SUMIF(C39,Habilidades!$A$11,D39) * SUMIF(C39,Habilidades!$A$11,Habilidades!$B$11), if(C39="Encontrar mágica", SUMIF(C39,Habilidades!$A$12,D39) * SUMIF(C39,Habilidades!$A$12,Habilidades!$B$12), if(C39="Cuidadoso 1", SUMIF(C39,Habilidades!$A$22,D39) * SUMIF(C39,Habilidades!$A$22,Habilidades!$B$22), if(C39="Cuidadoso 2", SUMIF(C39,Habilidades!$A$23,D53) * SUMIF(C39,Habilidades!$A$23,Habilidades!$B$23), if(C39="Cuidadoso 3", SUMIF(C39,Habilidades!$A$24,D39) * SUMIF(C39,Habilidades!$A$24,Habilidades!$B$24), if(C39="Ganancioso 1", SUMIF(C39,Habilidades!$A$25,D39) * SUMIF(C39,Habilidades!$A$25,Habilidades!$B$25), if(C39="Ganancioso 2", SUMIF(C39,Habilidades!$A$26,D39) * SUMIF(C39,Habilidades!$A$26,Habilidades!$B$26), if(C39="Ganancioso 3", SUMIF(C39,Habilidades!$A$27,D39) * SUMIF(C39,Habilidades!$A$27,Habilidades!$B$27), if(C39="Curandeiro 1", SUMIF(C39,Habilidades!$A$28,D39) * SUMIF(C39,Habilidades!$A$28,Habilidades!$B$28), if(C39="Curandeiro 2", SUMIF(C39,Habilidades!$A$29,D39) * SUMIF(C39,Habilidades!$A$29,Habilidades!$B$29), if(C39="Curandeiro 3", SUMIF(C39,Habilidades!$A$30,D39) * SUMIF(C39,Habilidades!$A$30,Habilidades!$B$30), if(C39="Sortudo 1", SUMIF(C39,Habilidades!$A$31,D39) * SUMIF(C39,Habilidades!$A$31,Habilidades!$B$31), if(C39="Sortudo 2", SUMIF(C39,Habilidades!$A$32,D39) * SUMIF(C39,Habilidades!$A$32,Habilidades!$B$32), if(C39="Sortudo 3", SUMIF(C39,Habilidades!$A$33,D39) * SUMIF(C39,Habilidades!$A$33,Habilidades!$B$33), if(C39="Protetor 1", SUMIF(C39,Habilidades!$A$34,D39) * SUMIF(C39,Habilidades!$A$34,Habilidades!$B$34), if(C39="Protetor 2", SUMIF(C39,Habilidades!$A$35,D39) * SUMIF(C39,Habilidades!$A$35,Habilidades!$B$35), if(C39="Protetor 3", SUMIF(C39,Habilidades!$A$36,D39) * SUMIF(C39,Habilidades!$A$36,Habilidades!$B$36), if(C39="Engenhoso 1", SUMIF(C39,Habilidades!$A$40,D39) * SUMIF(C39,Habilidades!$A$40,Habilidades!$B$40), if(C39="Engenhoso 2", SUMIF(C39,Habilidades!$A$41,D39) * SUMIF(C39,Habilidades!$A$41,Habilidades!$B$41), if(C39="Engenhoso 3", SUMIF(C39,Habilidades!$A$42,D39) * SUMIF(C39,Habilidades!$A$42,Habilidades!$B$42), if(C39="Reviver 1", SUMIF(C39,Habilidades!$A$43,D39) * SUMIF(C39,Habilidades!$A$43,Habilidades!$B$43), if(C39="Reviver 2", SUMIF(C39,Habilidades!$A$44,D39) * SUMIF(C39,Habilidades!$A$44,Habilidades!$B$44), if(C39="Reviver 3", SUMIF(C39,Habilidades!$A$45,D39) * SUMIF(C39,Habilidades!$A$45,Habilidades!$B$45), if(C39="Catador 1", SUMIF(C39,Habilidades!$A$46,D39) * SUMIF(C39,Habilidades!$A$46,Habilidades!$B$46), if(C39="Catador 2", SUMIF(C39,Habilidades!$A$47,D39) * SUMIF(C39,Habilidades!$A$47,Habilidades!$B$47), if(C39="Catador 3", SUMIF(C39,Habilidades!$A$48,D39) * SUMIF(C39,Habilidades!$A$48,Habilidades!$B$48), if(C39="Fornecedor 1", SUMIF(C39,Habilidades!$A$49,D39) * SUMIF(C39,Habilidades!$A$49,Habilidades!$B$49), if(C39="Fornecedor 2", SUMIF(C39,Habilidades!$A$50,D39) * SUMIF(C39,Habilidades!$A$50,Habilidades!$B$50), if(C39="Fornecedor 3", SUMIF(C39,Habilidades!$A$51,D39) * SUMIF(C39,Habilidades!$A$51,Habilidades!$B$51), if(C39="Suporte 1", SUMIF(C39,Habilidades!$A$52,D39) * SUMIF(C39,Habilidades!$A$52,Habilidades!$B$52), if(C39="Suporte 2", SUMIF(C39,Habilidades!$A$53,D39) * SUMIF(C39,Habilidades!$A$53,Habilidades!$B$53), if(C39="Suporte 3", SUMIF(C39,Habilidades!$A$54,D39) * SUMIF(C39,Habilidades!$A$54,Habilidades!$B$54), if(C39="Caça-tesouros 1", SUMIF(C39,Habilidades!$A$55,D39) * SUMIF(C39,Habilidades!$A$55,Habilidades!$B$55), if(C39="Caça-tesouros 2", SUMIF(C39,Habilidades!$A$56,D39) * SUMIF(C39,Habilidades!$A$56,Habilidades!$B$56), if(C39="Caça-tesouros 3", SUMIF(C39,Habilidades!$A$57,D39) * SUMIF(C39,Habilidades!$A$57,Habilidades!$B$57), if(C39="Velocista 1", SUMIF(C39,Habilidades!$A$77,D39) * SUMIF(C39,Habilidades!$A$77,Habilidades!$B$77), if(C39="Velocista 2", SUMIF(C39,Habilidades!$A$78,D39) * SUMIF(C39,Habilidades!$A$78,Habilidades!$B$78), if(C39="Velocista 3", SUMIF(C39,Habilidades!$A$79,D39) * SUMIF(C39,Habilidades!$A$79,Habilidades!$B$79), "-"))))))))))))))))))))))))))))))))))))))</f>
        <v>50</v>
      </c>
      <c r="F39" s="110"/>
      <c r="G39" s="137"/>
      <c r="H39" s="137"/>
      <c r="I39" s="137"/>
      <c r="J39" s="137"/>
      <c r="K39" s="137"/>
      <c r="L39" s="137"/>
      <c r="M39" s="110"/>
      <c r="N39" s="110"/>
    </row>
    <row r="40">
      <c r="C40" s="142" t="str">
        <f>IFERROR(__xludf.DUMMYFUNCTION("""COMPUTED_VALUE"""),"Velocista 3")</f>
        <v>Velocista 3</v>
      </c>
      <c r="D40" s="129">
        <f t="shared" si="2"/>
        <v>1</v>
      </c>
      <c r="E40" s="130">
        <f>if(C40="Detectar Segredo", SUMIF(C40,Habilidades!$A$11,D40) * SUMIF(C40,Habilidades!$A$11,Habilidades!$B$11), if(C40="Encontrar mágica", SUMIF(C40,Habilidades!$A$12,D40) * SUMIF(C40,Habilidades!$A$12,Habilidades!$B$12), if(C40="Cuidadoso 1", SUMIF(C40,Habilidades!$A$22,D40) * SUMIF(C40,Habilidades!$A$22,Habilidades!$B$22), if(C40="Cuidadoso 2", SUMIF(C40,Habilidades!$A$23,D54) * SUMIF(C40,Habilidades!$A$23,Habilidades!$B$23), if(C40="Cuidadoso 3", SUMIF(C40,Habilidades!$A$24,D40) * SUMIF(C40,Habilidades!$A$24,Habilidades!$B$24), if(C40="Ganancioso 1", SUMIF(C40,Habilidades!$A$25,D40) * SUMIF(C40,Habilidades!$A$25,Habilidades!$B$25), if(C40="Ganancioso 2", SUMIF(C40,Habilidades!$A$26,D40) * SUMIF(C40,Habilidades!$A$26,Habilidades!$B$26), if(C40="Ganancioso 3", SUMIF(C40,Habilidades!$A$27,D40) * SUMIF(C40,Habilidades!$A$27,Habilidades!$B$27), if(C40="Curandeiro 1", SUMIF(C40,Habilidades!$A$28,D40) * SUMIF(C40,Habilidades!$A$28,Habilidades!$B$28), if(C40="Curandeiro 2", SUMIF(C40,Habilidades!$A$29,D40) * SUMIF(C40,Habilidades!$A$29,Habilidades!$B$29), if(C40="Curandeiro 3", SUMIF(C40,Habilidades!$A$30,D40) * SUMIF(C40,Habilidades!$A$30,Habilidades!$B$30), if(C40="Sortudo 1", SUMIF(C40,Habilidades!$A$31,D40) * SUMIF(C40,Habilidades!$A$31,Habilidades!$B$31), if(C40="Sortudo 2", SUMIF(C40,Habilidades!$A$32,D40) * SUMIF(C40,Habilidades!$A$32,Habilidades!$B$32), if(C40="Sortudo 3", SUMIF(C40,Habilidades!$A$33,D40) * SUMIF(C40,Habilidades!$A$33,Habilidades!$B$33), if(C40="Protetor 1", SUMIF(C40,Habilidades!$A$34,D40) * SUMIF(C40,Habilidades!$A$34,Habilidades!$B$34), if(C40="Protetor 2", SUMIF(C40,Habilidades!$A$35,D40) * SUMIF(C40,Habilidades!$A$35,Habilidades!$B$35), if(C40="Protetor 3", SUMIF(C40,Habilidades!$A$36,D40) * SUMIF(C40,Habilidades!$A$36,Habilidades!$B$36), if(C40="Engenhoso 1", SUMIF(C40,Habilidades!$A$40,D40) * SUMIF(C40,Habilidades!$A$40,Habilidades!$B$40), if(C40="Engenhoso 2", SUMIF(C40,Habilidades!$A$41,D40) * SUMIF(C40,Habilidades!$A$41,Habilidades!$B$41), if(C40="Engenhoso 3", SUMIF(C40,Habilidades!$A$42,D40) * SUMIF(C40,Habilidades!$A$42,Habilidades!$B$42), if(C40="Reviver 1", SUMIF(C40,Habilidades!$A$43,D40) * SUMIF(C40,Habilidades!$A$43,Habilidades!$B$43), if(C40="Reviver 2", SUMIF(C40,Habilidades!$A$44,D40) * SUMIF(C40,Habilidades!$A$44,Habilidades!$B$44), if(C40="Reviver 3", SUMIF(C40,Habilidades!$A$45,D40) * SUMIF(C40,Habilidades!$A$45,Habilidades!$B$45), if(C40="Catador 1", SUMIF(C40,Habilidades!$A$46,D40) * SUMIF(C40,Habilidades!$A$46,Habilidades!$B$46), if(C40="Catador 2", SUMIF(C40,Habilidades!$A$47,D40) * SUMIF(C40,Habilidades!$A$47,Habilidades!$B$47), if(C40="Catador 3", SUMIF(C40,Habilidades!$A$48,D40) * SUMIF(C40,Habilidades!$A$48,Habilidades!$B$48), if(C40="Fornecedor 1", SUMIF(C40,Habilidades!$A$49,D40) * SUMIF(C40,Habilidades!$A$49,Habilidades!$B$49), if(C40="Fornecedor 2", SUMIF(C40,Habilidades!$A$50,D40) * SUMIF(C40,Habilidades!$A$50,Habilidades!$B$50), if(C40="Fornecedor 3", SUMIF(C40,Habilidades!$A$51,D40) * SUMIF(C40,Habilidades!$A$51,Habilidades!$B$51), if(C40="Suporte 1", SUMIF(C40,Habilidades!$A$52,D40) * SUMIF(C40,Habilidades!$A$52,Habilidades!$B$52), if(C40="Suporte 2", SUMIF(C40,Habilidades!$A$53,D40) * SUMIF(C40,Habilidades!$A$53,Habilidades!$B$53), if(C40="Suporte 3", SUMIF(C40,Habilidades!$A$54,D40) * SUMIF(C40,Habilidades!$A$54,Habilidades!$B$54), if(C40="Caça-tesouros 1", SUMIF(C40,Habilidades!$A$55,D40) * SUMIF(C40,Habilidades!$A$55,Habilidades!$B$55), if(C40="Caça-tesouros 2", SUMIF(C40,Habilidades!$A$56,D40) * SUMIF(C40,Habilidades!$A$56,Habilidades!$B$56), if(C40="Caça-tesouros 3", SUMIF(C40,Habilidades!$A$57,D40) * SUMIF(C40,Habilidades!$A$57,Habilidades!$B$57), if(C40="Velocista 1", SUMIF(C40,Habilidades!$A$77,D40) * SUMIF(C40,Habilidades!$A$77,Habilidades!$B$77), if(C40="Velocista 2", SUMIF(C40,Habilidades!$A$78,D40) * SUMIF(C40,Habilidades!$A$78,Habilidades!$B$78), if(C40="Velocista 3", SUMIF(C40,Habilidades!$A$79,D40) * SUMIF(C40,Habilidades!$A$79,Habilidades!$B$79), "-"))))))))))))))))))))))))))))))))))))))</f>
        <v>50</v>
      </c>
      <c r="F40" s="110"/>
      <c r="G40" s="137"/>
      <c r="H40" s="137"/>
      <c r="I40" s="137"/>
      <c r="J40" s="137"/>
      <c r="K40" s="137"/>
      <c r="L40" s="137"/>
      <c r="M40" s="110"/>
      <c r="N40" s="110"/>
    </row>
    <row r="41">
      <c r="C41" s="142"/>
      <c r="D41" s="129">
        <f t="shared" si="2"/>
        <v>0</v>
      </c>
      <c r="E41" s="130" t="str">
        <f>if(C41="Detectar Segredo", SUMIF(C41,Habilidades!$A$11,D41) * SUMIF(C41,Habilidades!$A$11,Habilidades!$B$11), if(C41="Encontrar mágica", SUMIF(C41,Habilidades!$A$12,D41) * SUMIF(C41,Habilidades!$A$12,Habilidades!$B$12), if(C41="Cuidadoso 1", SUMIF(C41,Habilidades!$A$22,D41) * SUMIF(C41,Habilidades!$A$22,Habilidades!$B$22), if(C41="Cuidadoso 2", SUMIF(C41,Habilidades!$A$23,D55) * SUMIF(C41,Habilidades!$A$23,Habilidades!$B$23), if(C41="Cuidadoso 3", SUMIF(C41,Habilidades!$A$24,D41) * SUMIF(C41,Habilidades!$A$24,Habilidades!$B$24), if(C41="Ganancioso 1", SUMIF(C41,Habilidades!$A$25,D41) * SUMIF(C41,Habilidades!$A$25,Habilidades!$B$25), if(C41="Ganancioso 2", SUMIF(C41,Habilidades!$A$26,D41) * SUMIF(C41,Habilidades!$A$26,Habilidades!$B$26), if(C41="Ganancioso 3", SUMIF(C41,Habilidades!$A$27,D41) * SUMIF(C41,Habilidades!$A$27,Habilidades!$B$27), if(C41="Curandeiro 1", SUMIF(C41,Habilidades!$A$28,D41) * SUMIF(C41,Habilidades!$A$28,Habilidades!$B$28), if(C41="Curandeiro 2", SUMIF(C41,Habilidades!$A$29,D41) * SUMIF(C41,Habilidades!$A$29,Habilidades!$B$29), if(C41="Curandeiro 3", SUMIF(C41,Habilidades!$A$30,D41) * SUMIF(C41,Habilidades!$A$30,Habilidades!$B$30), if(C41="Sortudo 1", SUMIF(C41,Habilidades!$A$31,D41) * SUMIF(C41,Habilidades!$A$31,Habilidades!$B$31), if(C41="Sortudo 2", SUMIF(C41,Habilidades!$A$32,D41) * SUMIF(C41,Habilidades!$A$32,Habilidades!$B$32), if(C41="Sortudo 3", SUMIF(C41,Habilidades!$A$33,D41) * SUMIF(C41,Habilidades!$A$33,Habilidades!$B$33), if(C41="Protetor 1", SUMIF(C41,Habilidades!$A$34,D41) * SUMIF(C41,Habilidades!$A$34,Habilidades!$B$34), if(C41="Protetor 2", SUMIF(C41,Habilidades!$A$35,D41) * SUMIF(C41,Habilidades!$A$35,Habilidades!$B$35), if(C41="Protetor 3", SUMIF(C41,Habilidades!$A$36,D41) * SUMIF(C41,Habilidades!$A$36,Habilidades!$B$36), if(C41="Engenhoso 1", SUMIF(C41,Habilidades!$A$40,D41) * SUMIF(C41,Habilidades!$A$40,Habilidades!$B$40), if(C41="Engenhoso 2", SUMIF(C41,Habilidades!$A$41,D41) * SUMIF(C41,Habilidades!$A$41,Habilidades!$B$41), if(C41="Engenhoso 3", SUMIF(C41,Habilidades!$A$42,D41) * SUMIF(C41,Habilidades!$A$42,Habilidades!$B$42), if(C41="Reviver 1", SUMIF(C41,Habilidades!$A$43,D41) * SUMIF(C41,Habilidades!$A$43,Habilidades!$B$43), if(C41="Reviver 2", SUMIF(C41,Habilidades!$A$44,D41) * SUMIF(C41,Habilidades!$A$44,Habilidades!$B$44), if(C41="Reviver 3", SUMIF(C41,Habilidades!$A$45,D41) * SUMIF(C41,Habilidades!$A$45,Habilidades!$B$45), if(C41="Catador 1", SUMIF(C41,Habilidades!$A$46,D41) * SUMIF(C41,Habilidades!$A$46,Habilidades!$B$46), if(C41="Catador 2", SUMIF(C41,Habilidades!$A$47,D41) * SUMIF(C41,Habilidades!$A$47,Habilidades!$B$47), if(C41="Catador 3", SUMIF(C41,Habilidades!$A$48,D41) * SUMIF(C41,Habilidades!$A$48,Habilidades!$B$48), if(C41="Fornecedor 1", SUMIF(C41,Habilidades!$A$49,D41) * SUMIF(C41,Habilidades!$A$49,Habilidades!$B$49), if(C41="Fornecedor 2", SUMIF(C41,Habilidades!$A$50,D41) * SUMIF(C41,Habilidades!$A$50,Habilidades!$B$50), if(C41="Fornecedor 3", SUMIF(C41,Habilidades!$A$51,D41) * SUMIF(C41,Habilidades!$A$51,Habilidades!$B$51), if(C41="Suporte 1", SUMIF(C41,Habilidades!$A$52,D41) * SUMIF(C41,Habilidades!$A$52,Habilidades!$B$52), if(C41="Suporte 2", SUMIF(C41,Habilidades!$A$53,D41) * SUMIF(C41,Habilidades!$A$53,Habilidades!$B$53), if(C41="Suporte 3", SUMIF(C41,Habilidades!$A$54,D41) * SUMIF(C41,Habilidades!$A$54,Habilidades!$B$54), if(C41="Caça-tesouros 1", SUMIF(C41,Habilidades!$A$55,D41) * SUMIF(C41,Habilidades!$A$55,Habilidades!$B$55), if(C41="Caça-tesouros 2", SUMIF(C41,Habilidades!$A$56,D41) * SUMIF(C41,Habilidades!$A$56,Habilidades!$B$56), if(C41="Caça-tesouros 3", SUMIF(C41,Habilidades!$A$57,D41) * SUMIF(C41,Habilidades!$A$57,Habilidades!$B$57), if(C41="Velocista 1", SUMIF(C41,Habilidades!$A$77,D41) * SUMIF(C41,Habilidades!$A$77,Habilidades!$B$77), if(C41="Velocista 2", SUMIF(C41,Habilidades!$A$78,D41) * SUMIF(C41,Habilidades!$A$78,Habilidades!$B$78), if(C41="Velocista 3", SUMIF(C41,Habilidades!$A$79,D41) * SUMIF(C41,Habilidades!$A$79,Habilidades!$B$79), "-"))))))))))))))))))))))))))))))))))))))</f>
        <v>-</v>
      </c>
      <c r="F41" s="110"/>
      <c r="G41" s="137"/>
      <c r="H41" s="137"/>
      <c r="I41" s="137"/>
      <c r="J41" s="137"/>
      <c r="K41" s="137"/>
      <c r="L41" s="137"/>
      <c r="M41" s="110"/>
      <c r="N41" s="110"/>
    </row>
    <row r="42">
      <c r="C42" s="142"/>
      <c r="D42" s="129">
        <f t="shared" si="2"/>
        <v>0</v>
      </c>
      <c r="E42" s="130" t="str">
        <f>if(C42="Detectar Segredo", SUMIF(C42,Habilidades!$A$11,D42) * SUMIF(C42,Habilidades!$A$11,Habilidades!$B$11), if(C42="Encontrar mágica", SUMIF(C42,Habilidades!$A$12,D42) * SUMIF(C42,Habilidades!$A$12,Habilidades!$B$12), if(C42="Cuidadoso 1", SUMIF(C42,Habilidades!$A$22,D42) * SUMIF(C42,Habilidades!$A$22,Habilidades!$B$22), if(C42="Cuidadoso 2", SUMIF(C42,Habilidades!$A$23,D56) * SUMIF(C42,Habilidades!$A$23,Habilidades!$B$23), if(C42="Cuidadoso 3", SUMIF(C42,Habilidades!$A$24,D42) * SUMIF(C42,Habilidades!$A$24,Habilidades!$B$24), if(C42="Ganancioso 1", SUMIF(C42,Habilidades!$A$25,D42) * SUMIF(C42,Habilidades!$A$25,Habilidades!$B$25), if(C42="Ganancioso 2", SUMIF(C42,Habilidades!$A$26,D42) * SUMIF(C42,Habilidades!$A$26,Habilidades!$B$26), if(C42="Ganancioso 3", SUMIF(C42,Habilidades!$A$27,D42) * SUMIF(C42,Habilidades!$A$27,Habilidades!$B$27), if(C42="Curandeiro 1", SUMIF(C42,Habilidades!$A$28,D42) * SUMIF(C42,Habilidades!$A$28,Habilidades!$B$28), if(C42="Curandeiro 2", SUMIF(C42,Habilidades!$A$29,D42) * SUMIF(C42,Habilidades!$A$29,Habilidades!$B$29), if(C42="Curandeiro 3", SUMIF(C42,Habilidades!$A$30,D42) * SUMIF(C42,Habilidades!$A$30,Habilidades!$B$30), if(C42="Sortudo 1", SUMIF(C42,Habilidades!$A$31,D42) * SUMIF(C42,Habilidades!$A$31,Habilidades!$B$31), if(C42="Sortudo 2", SUMIF(C42,Habilidades!$A$32,D42) * SUMIF(C42,Habilidades!$A$32,Habilidades!$B$32), if(C42="Sortudo 3", SUMIF(C42,Habilidades!$A$33,D42) * SUMIF(C42,Habilidades!$A$33,Habilidades!$B$33), if(C42="Protetor 1", SUMIF(C42,Habilidades!$A$34,D42) * SUMIF(C42,Habilidades!$A$34,Habilidades!$B$34), if(C42="Protetor 2", SUMIF(C42,Habilidades!$A$35,D42) * SUMIF(C42,Habilidades!$A$35,Habilidades!$B$35), if(C42="Protetor 3", SUMIF(C42,Habilidades!$A$36,D42) * SUMIF(C42,Habilidades!$A$36,Habilidades!$B$36), if(C42="Engenhoso 1", SUMIF(C42,Habilidades!$A$40,D42) * SUMIF(C42,Habilidades!$A$40,Habilidades!$B$40), if(C42="Engenhoso 2", SUMIF(C42,Habilidades!$A$41,D42) * SUMIF(C42,Habilidades!$A$41,Habilidades!$B$41), if(C42="Engenhoso 3", SUMIF(C42,Habilidades!$A$42,D42) * SUMIF(C42,Habilidades!$A$42,Habilidades!$B$42), if(C42="Reviver 1", SUMIF(C42,Habilidades!$A$43,D42) * SUMIF(C42,Habilidades!$A$43,Habilidades!$B$43), if(C42="Reviver 2", SUMIF(C42,Habilidades!$A$44,D42) * SUMIF(C42,Habilidades!$A$44,Habilidades!$B$44), if(C42="Reviver 3", SUMIF(C42,Habilidades!$A$45,D42) * SUMIF(C42,Habilidades!$A$45,Habilidades!$B$45), if(C42="Catador 1", SUMIF(C42,Habilidades!$A$46,D42) * SUMIF(C42,Habilidades!$A$46,Habilidades!$B$46), if(C42="Catador 2", SUMIF(C42,Habilidades!$A$47,D42) * SUMIF(C42,Habilidades!$A$47,Habilidades!$B$47), if(C42="Catador 3", SUMIF(C42,Habilidades!$A$48,D42) * SUMIF(C42,Habilidades!$A$48,Habilidades!$B$48), if(C42="Fornecedor 1", SUMIF(C42,Habilidades!$A$49,D42) * SUMIF(C42,Habilidades!$A$49,Habilidades!$B$49), if(C42="Fornecedor 2", SUMIF(C42,Habilidades!$A$50,D42) * SUMIF(C42,Habilidades!$A$50,Habilidades!$B$50), if(C42="Fornecedor 3", SUMIF(C42,Habilidades!$A$51,D42) * SUMIF(C42,Habilidades!$A$51,Habilidades!$B$51), if(C42="Suporte 1", SUMIF(C42,Habilidades!$A$52,D42) * SUMIF(C42,Habilidades!$A$52,Habilidades!$B$52), if(C42="Suporte 2", SUMIF(C42,Habilidades!$A$53,D42) * SUMIF(C42,Habilidades!$A$53,Habilidades!$B$53), if(C42="Suporte 3", SUMIF(C42,Habilidades!$A$54,D42) * SUMIF(C42,Habilidades!$A$54,Habilidades!$B$54), if(C42="Caça-tesouros 1", SUMIF(C42,Habilidades!$A$55,D42) * SUMIF(C42,Habilidades!$A$55,Habilidades!$B$55), if(C42="Caça-tesouros 2", SUMIF(C42,Habilidades!$A$56,D42) * SUMIF(C42,Habilidades!$A$56,Habilidades!$B$56), if(C42="Caça-tesouros 3", SUMIF(C42,Habilidades!$A$57,D42) * SUMIF(C42,Habilidades!$A$57,Habilidades!$B$57), if(C42="Velocista 1", SUMIF(C42,Habilidades!$A$77,D42) * SUMIF(C42,Habilidades!$A$77,Habilidades!$B$77), if(C42="Velocista 2", SUMIF(C42,Habilidades!$A$78,D42) * SUMIF(C42,Habilidades!$A$78,Habilidades!$B$78), if(C42="Velocista 3", SUMIF(C42,Habilidades!$A$79,D42) * SUMIF(C42,Habilidades!$A$79,Habilidades!$B$79), "-"))))))))))))))))))))))))))))))))))))))</f>
        <v>-</v>
      </c>
      <c r="F42" s="110"/>
      <c r="G42" s="137"/>
      <c r="H42" s="137"/>
      <c r="I42" s="137"/>
      <c r="J42" s="137"/>
      <c r="K42" s="137"/>
      <c r="L42" s="137"/>
      <c r="M42" s="110"/>
      <c r="N42" s="110"/>
    </row>
    <row r="43">
      <c r="C43" s="142"/>
      <c r="D43" s="129">
        <f t="shared" si="2"/>
        <v>0</v>
      </c>
      <c r="E43" s="130" t="str">
        <f>if(C43="Detectar Segredo", SUMIF(C43,Habilidades!$A$11,D43) * SUMIF(C43,Habilidades!$A$11,Habilidades!$B$11), if(C43="Encontrar mágica", SUMIF(C43,Habilidades!$A$12,D43) * SUMIF(C43,Habilidades!$A$12,Habilidades!$B$12), if(C43="Cuidadoso 1", SUMIF(C43,Habilidades!$A$22,D43) * SUMIF(C43,Habilidades!$A$22,Habilidades!$B$22), if(C43="Cuidadoso 2", SUMIF(C43,Habilidades!$A$23,D57) * SUMIF(C43,Habilidades!$A$23,Habilidades!$B$23), if(C43="Cuidadoso 3", SUMIF(C43,Habilidades!$A$24,D43) * SUMIF(C43,Habilidades!$A$24,Habilidades!$B$24), if(C43="Ganancioso 1", SUMIF(C43,Habilidades!$A$25,D43) * SUMIF(C43,Habilidades!$A$25,Habilidades!$B$25), if(C43="Ganancioso 2", SUMIF(C43,Habilidades!$A$26,D43) * SUMIF(C43,Habilidades!$A$26,Habilidades!$B$26), if(C43="Ganancioso 3", SUMIF(C43,Habilidades!$A$27,D43) * SUMIF(C43,Habilidades!$A$27,Habilidades!$B$27), if(C43="Curandeiro 1", SUMIF(C43,Habilidades!$A$28,D43) * SUMIF(C43,Habilidades!$A$28,Habilidades!$B$28), if(C43="Curandeiro 2", SUMIF(C43,Habilidades!$A$29,D43) * SUMIF(C43,Habilidades!$A$29,Habilidades!$B$29), if(C43="Curandeiro 3", SUMIF(C43,Habilidades!$A$30,D43) * SUMIF(C43,Habilidades!$A$30,Habilidades!$B$30), if(C43="Sortudo 1", SUMIF(C43,Habilidades!$A$31,D43) * SUMIF(C43,Habilidades!$A$31,Habilidades!$B$31), if(C43="Sortudo 2", SUMIF(C43,Habilidades!$A$32,D43) * SUMIF(C43,Habilidades!$A$32,Habilidades!$B$32), if(C43="Sortudo 3", SUMIF(C43,Habilidades!$A$33,D43) * SUMIF(C43,Habilidades!$A$33,Habilidades!$B$33), if(C43="Protetor 1", SUMIF(C43,Habilidades!$A$34,D43) * SUMIF(C43,Habilidades!$A$34,Habilidades!$B$34), if(C43="Protetor 2", SUMIF(C43,Habilidades!$A$35,D43) * SUMIF(C43,Habilidades!$A$35,Habilidades!$B$35), if(C43="Protetor 3", SUMIF(C43,Habilidades!$A$36,D43) * SUMIF(C43,Habilidades!$A$36,Habilidades!$B$36), if(C43="Engenhoso 1", SUMIF(C43,Habilidades!$A$40,D43) * SUMIF(C43,Habilidades!$A$40,Habilidades!$B$40), if(C43="Engenhoso 2", SUMIF(C43,Habilidades!$A$41,D43) * SUMIF(C43,Habilidades!$A$41,Habilidades!$B$41), if(C43="Engenhoso 3", SUMIF(C43,Habilidades!$A$42,D43) * SUMIF(C43,Habilidades!$A$42,Habilidades!$B$42), if(C43="Reviver 1", SUMIF(C43,Habilidades!$A$43,D43) * SUMIF(C43,Habilidades!$A$43,Habilidades!$B$43), if(C43="Reviver 2", SUMIF(C43,Habilidades!$A$44,D43) * SUMIF(C43,Habilidades!$A$44,Habilidades!$B$44), if(C43="Reviver 3", SUMIF(C43,Habilidades!$A$45,D43) * SUMIF(C43,Habilidades!$A$45,Habilidades!$B$45), if(C43="Catador 1", SUMIF(C43,Habilidades!$A$46,D43) * SUMIF(C43,Habilidades!$A$46,Habilidades!$B$46), if(C43="Catador 2", SUMIF(C43,Habilidades!$A$47,D43) * SUMIF(C43,Habilidades!$A$47,Habilidades!$B$47), if(C43="Catador 3", SUMIF(C43,Habilidades!$A$48,D43) * SUMIF(C43,Habilidades!$A$48,Habilidades!$B$48), if(C43="Fornecedor 1", SUMIF(C43,Habilidades!$A$49,D43) * SUMIF(C43,Habilidades!$A$49,Habilidades!$B$49), if(C43="Fornecedor 2", SUMIF(C43,Habilidades!$A$50,D43) * SUMIF(C43,Habilidades!$A$50,Habilidades!$B$50), if(C43="Fornecedor 3", SUMIF(C43,Habilidades!$A$51,D43) * SUMIF(C43,Habilidades!$A$51,Habilidades!$B$51), if(C43="Suporte 1", SUMIF(C43,Habilidades!$A$52,D43) * SUMIF(C43,Habilidades!$A$52,Habilidades!$B$52), if(C43="Suporte 2", SUMIF(C43,Habilidades!$A$53,D43) * SUMIF(C43,Habilidades!$A$53,Habilidades!$B$53), if(C43="Suporte 3", SUMIF(C43,Habilidades!$A$54,D43) * SUMIF(C43,Habilidades!$A$54,Habilidades!$B$54), if(C43="Caça-tesouros 1", SUMIF(C43,Habilidades!$A$55,D43) * SUMIF(C43,Habilidades!$A$55,Habilidades!$B$55), if(C43="Caça-tesouros 2", SUMIF(C43,Habilidades!$A$56,D43) * SUMIF(C43,Habilidades!$A$56,Habilidades!$B$56), if(C43="Caça-tesouros 3", SUMIF(C43,Habilidades!$A$57,D43) * SUMIF(C43,Habilidades!$A$57,Habilidades!$B$57), if(C43="Velocista 1", SUMIF(C43,Habilidades!$A$77,D43) * SUMIF(C43,Habilidades!$A$77,Habilidades!$B$77), if(C43="Velocista 2", SUMIF(C43,Habilidades!$A$78,D43) * SUMIF(C43,Habilidades!$A$78,Habilidades!$B$78), if(C43="Velocista 3", SUMIF(C43,Habilidades!$A$79,D43) * SUMIF(C43,Habilidades!$A$79,Habilidades!$B$79), "-"))))))))))))))))))))))))))))))))))))))</f>
        <v>-</v>
      </c>
      <c r="F43" s="110"/>
      <c r="G43" s="110"/>
      <c r="H43" s="110"/>
      <c r="I43" s="110"/>
      <c r="J43" s="110"/>
      <c r="K43" s="110"/>
      <c r="L43" s="110"/>
      <c r="M43" s="110"/>
      <c r="N43" s="110"/>
    </row>
    <row r="44">
      <c r="C44" s="142"/>
      <c r="D44" s="129">
        <f t="shared" si="2"/>
        <v>0</v>
      </c>
      <c r="E44" s="130" t="str">
        <f>if(C44="Detectar Segredo", SUMIF(C44,Habilidades!$A$11,D44) * SUMIF(C44,Habilidades!$A$11,Habilidades!$B$11), if(C44="Encontrar mágica", SUMIF(C44,Habilidades!$A$12,D44) * SUMIF(C44,Habilidades!$A$12,Habilidades!$B$12), if(C44="Cuidadoso 1", SUMIF(C44,Habilidades!$A$22,D44) * SUMIF(C44,Habilidades!$A$22,Habilidades!$B$22), if(C44="Cuidadoso 2", SUMIF(C44,Habilidades!$A$23,D58) * SUMIF(C44,Habilidades!$A$23,Habilidades!$B$23), if(C44="Cuidadoso 3", SUMIF(C44,Habilidades!$A$24,D44) * SUMIF(C44,Habilidades!$A$24,Habilidades!$B$24), if(C44="Ganancioso 1", SUMIF(C44,Habilidades!$A$25,D44) * SUMIF(C44,Habilidades!$A$25,Habilidades!$B$25), if(C44="Ganancioso 2", SUMIF(C44,Habilidades!$A$26,D44) * SUMIF(C44,Habilidades!$A$26,Habilidades!$B$26), if(C44="Ganancioso 3", SUMIF(C44,Habilidades!$A$27,D44) * SUMIF(C44,Habilidades!$A$27,Habilidades!$B$27), if(C44="Curandeiro 1", SUMIF(C44,Habilidades!$A$28,D44) * SUMIF(C44,Habilidades!$A$28,Habilidades!$B$28), if(C44="Curandeiro 2", SUMIF(C44,Habilidades!$A$29,D44) * SUMIF(C44,Habilidades!$A$29,Habilidades!$B$29), if(C44="Curandeiro 3", SUMIF(C44,Habilidades!$A$30,D44) * SUMIF(C44,Habilidades!$A$30,Habilidades!$B$30), if(C44="Sortudo 1", SUMIF(C44,Habilidades!$A$31,D44) * SUMIF(C44,Habilidades!$A$31,Habilidades!$B$31), if(C44="Sortudo 2", SUMIF(C44,Habilidades!$A$32,D44) * SUMIF(C44,Habilidades!$A$32,Habilidades!$B$32), if(C44="Sortudo 3", SUMIF(C44,Habilidades!$A$33,D44) * SUMIF(C44,Habilidades!$A$33,Habilidades!$B$33), if(C44="Protetor 1", SUMIF(C44,Habilidades!$A$34,D44) * SUMIF(C44,Habilidades!$A$34,Habilidades!$B$34), if(C44="Protetor 2", SUMIF(C44,Habilidades!$A$35,D44) * SUMIF(C44,Habilidades!$A$35,Habilidades!$B$35), if(C44="Protetor 3", SUMIF(C44,Habilidades!$A$36,D44) * SUMIF(C44,Habilidades!$A$36,Habilidades!$B$36), if(C44="Engenhoso 1", SUMIF(C44,Habilidades!$A$40,D44) * SUMIF(C44,Habilidades!$A$40,Habilidades!$B$40), if(C44="Engenhoso 2", SUMIF(C44,Habilidades!$A$41,D44) * SUMIF(C44,Habilidades!$A$41,Habilidades!$B$41), if(C44="Engenhoso 3", SUMIF(C44,Habilidades!$A$42,D44) * SUMIF(C44,Habilidades!$A$42,Habilidades!$B$42), if(C44="Reviver 1", SUMIF(C44,Habilidades!$A$43,D44) * SUMIF(C44,Habilidades!$A$43,Habilidades!$B$43), if(C44="Reviver 2", SUMIF(C44,Habilidades!$A$44,D44) * SUMIF(C44,Habilidades!$A$44,Habilidades!$B$44), if(C44="Reviver 3", SUMIF(C44,Habilidades!$A$45,D44) * SUMIF(C44,Habilidades!$A$45,Habilidades!$B$45), if(C44="Catador 1", SUMIF(C44,Habilidades!$A$46,D44) * SUMIF(C44,Habilidades!$A$46,Habilidades!$B$46), if(C44="Catador 2", SUMIF(C44,Habilidades!$A$47,D44) * SUMIF(C44,Habilidades!$A$47,Habilidades!$B$47), if(C44="Catador 3", SUMIF(C44,Habilidades!$A$48,D44) * SUMIF(C44,Habilidades!$A$48,Habilidades!$B$48), if(C44="Fornecedor 1", SUMIF(C44,Habilidades!$A$49,D44) * SUMIF(C44,Habilidades!$A$49,Habilidades!$B$49), if(C44="Fornecedor 2", SUMIF(C44,Habilidades!$A$50,D44) * SUMIF(C44,Habilidades!$A$50,Habilidades!$B$50), if(C44="Fornecedor 3", SUMIF(C44,Habilidades!$A$51,D44) * SUMIF(C44,Habilidades!$A$51,Habilidades!$B$51), if(C44="Suporte 1", SUMIF(C44,Habilidades!$A$52,D44) * SUMIF(C44,Habilidades!$A$52,Habilidades!$B$52), if(C44="Suporte 2", SUMIF(C44,Habilidades!$A$53,D44) * SUMIF(C44,Habilidades!$A$53,Habilidades!$B$53), if(C44="Suporte 3", SUMIF(C44,Habilidades!$A$54,D44) * SUMIF(C44,Habilidades!$A$54,Habilidades!$B$54), if(C44="Caça-tesouros 1", SUMIF(C44,Habilidades!$A$55,D44) * SUMIF(C44,Habilidades!$A$55,Habilidades!$B$55), if(C44="Caça-tesouros 2", SUMIF(C44,Habilidades!$A$56,D44) * SUMIF(C44,Habilidades!$A$56,Habilidades!$B$56), if(C44="Caça-tesouros 3", SUMIF(C44,Habilidades!$A$57,D44) * SUMIF(C44,Habilidades!$A$57,Habilidades!$B$57), if(C44="Velocista 1", SUMIF(C44,Habilidades!$A$77,D44) * SUMIF(C44,Habilidades!$A$77,Habilidades!$B$77), if(C44="Velocista 2", SUMIF(C44,Habilidades!$A$78,D44) * SUMIF(C44,Habilidades!$A$78,Habilidades!$B$78), if(C44="Velocista 3", SUMIF(C44,Habilidades!$A$79,D44) * SUMIF(C44,Habilidades!$A$79,Habilidades!$B$79), "-"))))))))))))))))))))))))))))))))))))))</f>
        <v>-</v>
      </c>
      <c r="F44" s="110"/>
      <c r="G44" s="110"/>
      <c r="H44" s="110"/>
      <c r="I44" s="110"/>
      <c r="J44" s="110"/>
      <c r="K44" s="110"/>
      <c r="L44" s="110"/>
      <c r="M44" s="110"/>
      <c r="N44" s="110"/>
    </row>
    <row r="45">
      <c r="C45" s="142"/>
      <c r="D45" s="129">
        <f t="shared" si="2"/>
        <v>0</v>
      </c>
      <c r="E45" s="130" t="str">
        <f>if(C45="Detectar Segredo", SUMIF(C45,Habilidades!$A$11,D45) * SUMIF(C45,Habilidades!$A$11,Habilidades!$B$11), if(C45="Encontrar mágica", SUMIF(C45,Habilidades!$A$12,D45) * SUMIF(C45,Habilidades!$A$12,Habilidades!$B$12), if(C45="Cuidadoso 1", SUMIF(C45,Habilidades!$A$22,D45) * SUMIF(C45,Habilidades!$A$22,Habilidades!$B$22), if(C45="Cuidadoso 2", SUMIF(C45,Habilidades!$A$23,D59) * SUMIF(C45,Habilidades!$A$23,Habilidades!$B$23), if(C45="Cuidadoso 3", SUMIF(C45,Habilidades!$A$24,D45) * SUMIF(C45,Habilidades!$A$24,Habilidades!$B$24), if(C45="Ganancioso 1", SUMIF(C45,Habilidades!$A$25,D45) * SUMIF(C45,Habilidades!$A$25,Habilidades!$B$25), if(C45="Ganancioso 2", SUMIF(C45,Habilidades!$A$26,D45) * SUMIF(C45,Habilidades!$A$26,Habilidades!$B$26), if(C45="Ganancioso 3", SUMIF(C45,Habilidades!$A$27,D45) * SUMIF(C45,Habilidades!$A$27,Habilidades!$B$27), if(C45="Curandeiro 1", SUMIF(C45,Habilidades!$A$28,D45) * SUMIF(C45,Habilidades!$A$28,Habilidades!$B$28), if(C45="Curandeiro 2", SUMIF(C45,Habilidades!$A$29,D45) * SUMIF(C45,Habilidades!$A$29,Habilidades!$B$29), if(C45="Curandeiro 3", SUMIF(C45,Habilidades!$A$30,D45) * SUMIF(C45,Habilidades!$A$30,Habilidades!$B$30), if(C45="Sortudo 1", SUMIF(C45,Habilidades!$A$31,D45) * SUMIF(C45,Habilidades!$A$31,Habilidades!$B$31), if(C45="Sortudo 2", SUMIF(C45,Habilidades!$A$32,D45) * SUMIF(C45,Habilidades!$A$32,Habilidades!$B$32), if(C45="Sortudo 3", SUMIF(C45,Habilidades!$A$33,D45) * SUMIF(C45,Habilidades!$A$33,Habilidades!$B$33), if(C45="Protetor 1", SUMIF(C45,Habilidades!$A$34,D45) * SUMIF(C45,Habilidades!$A$34,Habilidades!$B$34), if(C45="Protetor 2", SUMIF(C45,Habilidades!$A$35,D45) * SUMIF(C45,Habilidades!$A$35,Habilidades!$B$35), if(C45="Protetor 3", SUMIF(C45,Habilidades!$A$36,D45) * SUMIF(C45,Habilidades!$A$36,Habilidades!$B$36), if(C45="Engenhoso 1", SUMIF(C45,Habilidades!$A$40,D45) * SUMIF(C45,Habilidades!$A$40,Habilidades!$B$40), if(C45="Engenhoso 2", SUMIF(C45,Habilidades!$A$41,D45) * SUMIF(C45,Habilidades!$A$41,Habilidades!$B$41), if(C45="Engenhoso 3", SUMIF(C45,Habilidades!$A$42,D45) * SUMIF(C45,Habilidades!$A$42,Habilidades!$B$42), if(C45="Reviver 1", SUMIF(C45,Habilidades!$A$43,D45) * SUMIF(C45,Habilidades!$A$43,Habilidades!$B$43), if(C45="Reviver 2", SUMIF(C45,Habilidades!$A$44,D45) * SUMIF(C45,Habilidades!$A$44,Habilidades!$B$44), if(C45="Reviver 3", SUMIF(C45,Habilidades!$A$45,D45) * SUMIF(C45,Habilidades!$A$45,Habilidades!$B$45), if(C45="Catador 1", SUMIF(C45,Habilidades!$A$46,D45) * SUMIF(C45,Habilidades!$A$46,Habilidades!$B$46), if(C45="Catador 2", SUMIF(C45,Habilidades!$A$47,D45) * SUMIF(C45,Habilidades!$A$47,Habilidades!$B$47), if(C45="Catador 3", SUMIF(C45,Habilidades!$A$48,D45) * SUMIF(C45,Habilidades!$A$48,Habilidades!$B$48), if(C45="Fornecedor 1", SUMIF(C45,Habilidades!$A$49,D45) * SUMIF(C45,Habilidades!$A$49,Habilidades!$B$49), if(C45="Fornecedor 2", SUMIF(C45,Habilidades!$A$50,D45) * SUMIF(C45,Habilidades!$A$50,Habilidades!$B$50), if(C45="Fornecedor 3", SUMIF(C45,Habilidades!$A$51,D45) * SUMIF(C45,Habilidades!$A$51,Habilidades!$B$51), if(C45="Suporte 1", SUMIF(C45,Habilidades!$A$52,D45) * SUMIF(C45,Habilidades!$A$52,Habilidades!$B$52), if(C45="Suporte 2", SUMIF(C45,Habilidades!$A$53,D45) * SUMIF(C45,Habilidades!$A$53,Habilidades!$B$53), if(C45="Suporte 3", SUMIF(C45,Habilidades!$A$54,D45) * SUMIF(C45,Habilidades!$A$54,Habilidades!$B$54), if(C45="Caça-tesouros 1", SUMIF(C45,Habilidades!$A$55,D45) * SUMIF(C45,Habilidades!$A$55,Habilidades!$B$55), if(C45="Caça-tesouros 2", SUMIF(C45,Habilidades!$A$56,D45) * SUMIF(C45,Habilidades!$A$56,Habilidades!$B$56), if(C45="Caça-tesouros 3", SUMIF(C45,Habilidades!$A$57,D45) * SUMIF(C45,Habilidades!$A$57,Habilidades!$B$57), if(C45="Velocista 1", SUMIF(C45,Habilidades!$A$77,D45) * SUMIF(C45,Habilidades!$A$77,Habilidades!$B$77), if(C45="Velocista 2", SUMIF(C45,Habilidades!$A$78,D45) * SUMIF(C45,Habilidades!$A$78,Habilidades!$B$78), if(C45="Velocista 3", SUMIF(C45,Habilidades!$A$79,D45) * SUMIF(C45,Habilidades!$A$79,Habilidades!$B$79), "-"))))))))))))))))))))))))))))))))))))))</f>
        <v>-</v>
      </c>
      <c r="F45" s="110"/>
      <c r="G45" s="110"/>
      <c r="H45" s="110"/>
      <c r="I45" s="110"/>
      <c r="J45" s="110"/>
      <c r="K45" s="110"/>
      <c r="L45" s="110"/>
      <c r="M45" s="110"/>
      <c r="N45" s="110"/>
    </row>
    <row r="46">
      <c r="C46" s="142"/>
      <c r="D46" s="129">
        <f t="shared" si="2"/>
        <v>0</v>
      </c>
      <c r="E46" s="130" t="str">
        <f>if(C46="Detectar Segredo", SUMIF(C46,Habilidades!$A$11,D46) * SUMIF(C46,Habilidades!$A$11,Habilidades!$B$11), if(C46="Encontrar mágica", SUMIF(C46,Habilidades!$A$12,D46) * SUMIF(C46,Habilidades!$A$12,Habilidades!$B$12), if(C46="Cuidadoso 1", SUMIF(C46,Habilidades!$A$22,D46) * SUMIF(C46,Habilidades!$A$22,Habilidades!$B$22), if(C46="Cuidadoso 2", SUMIF(C46,Habilidades!$A$23,D60) * SUMIF(C46,Habilidades!$A$23,Habilidades!$B$23), if(C46="Cuidadoso 3", SUMIF(C46,Habilidades!$A$24,D46) * SUMIF(C46,Habilidades!$A$24,Habilidades!$B$24), if(C46="Ganancioso 1", SUMIF(C46,Habilidades!$A$25,D46) * SUMIF(C46,Habilidades!$A$25,Habilidades!$B$25), if(C46="Ganancioso 2", SUMIF(C46,Habilidades!$A$26,D46) * SUMIF(C46,Habilidades!$A$26,Habilidades!$B$26), if(C46="Ganancioso 3", SUMIF(C46,Habilidades!$A$27,D46) * SUMIF(C46,Habilidades!$A$27,Habilidades!$B$27), if(C46="Curandeiro 1", SUMIF(C46,Habilidades!$A$28,D46) * SUMIF(C46,Habilidades!$A$28,Habilidades!$B$28), if(C46="Curandeiro 2", SUMIF(C46,Habilidades!$A$29,D46) * SUMIF(C46,Habilidades!$A$29,Habilidades!$B$29), if(C46="Curandeiro 3", SUMIF(C46,Habilidades!$A$30,D46) * SUMIF(C46,Habilidades!$A$30,Habilidades!$B$30), if(C46="Sortudo 1", SUMIF(C46,Habilidades!$A$31,D46) * SUMIF(C46,Habilidades!$A$31,Habilidades!$B$31), if(C46="Sortudo 2", SUMIF(C46,Habilidades!$A$32,D46) * SUMIF(C46,Habilidades!$A$32,Habilidades!$B$32), if(C46="Sortudo 3", SUMIF(C46,Habilidades!$A$33,D46) * SUMIF(C46,Habilidades!$A$33,Habilidades!$B$33), if(C46="Protetor 1", SUMIF(C46,Habilidades!$A$34,D46) * SUMIF(C46,Habilidades!$A$34,Habilidades!$B$34), if(C46="Protetor 2", SUMIF(C46,Habilidades!$A$35,D46) * SUMIF(C46,Habilidades!$A$35,Habilidades!$B$35), if(C46="Protetor 3", SUMIF(C46,Habilidades!$A$36,D46) * SUMIF(C46,Habilidades!$A$36,Habilidades!$B$36), if(C46="Engenhoso 1", SUMIF(C46,Habilidades!$A$40,D46) * SUMIF(C46,Habilidades!$A$40,Habilidades!$B$40), if(C46="Engenhoso 2", SUMIF(C46,Habilidades!$A$41,D46) * SUMIF(C46,Habilidades!$A$41,Habilidades!$B$41), if(C46="Engenhoso 3", SUMIF(C46,Habilidades!$A$42,D46) * SUMIF(C46,Habilidades!$A$42,Habilidades!$B$42), if(C46="Reviver 1", SUMIF(C46,Habilidades!$A$43,D46) * SUMIF(C46,Habilidades!$A$43,Habilidades!$B$43), if(C46="Reviver 2", SUMIF(C46,Habilidades!$A$44,D46) * SUMIF(C46,Habilidades!$A$44,Habilidades!$B$44), if(C46="Reviver 3", SUMIF(C46,Habilidades!$A$45,D46) * SUMIF(C46,Habilidades!$A$45,Habilidades!$B$45), if(C46="Catador 1", SUMIF(C46,Habilidades!$A$46,D46) * SUMIF(C46,Habilidades!$A$46,Habilidades!$B$46), if(C46="Catador 2", SUMIF(C46,Habilidades!$A$47,D46) * SUMIF(C46,Habilidades!$A$47,Habilidades!$B$47), if(C46="Catador 3", SUMIF(C46,Habilidades!$A$48,D46) * SUMIF(C46,Habilidades!$A$48,Habilidades!$B$48), if(C46="Fornecedor 1", SUMIF(C46,Habilidades!$A$49,D46) * SUMIF(C46,Habilidades!$A$49,Habilidades!$B$49), if(C46="Fornecedor 2", SUMIF(C46,Habilidades!$A$50,D46) * SUMIF(C46,Habilidades!$A$50,Habilidades!$B$50), if(C46="Fornecedor 3", SUMIF(C46,Habilidades!$A$51,D46) * SUMIF(C46,Habilidades!$A$51,Habilidades!$B$51), if(C46="Suporte 1", SUMIF(C46,Habilidades!$A$52,D46) * SUMIF(C46,Habilidades!$A$52,Habilidades!$B$52), if(C46="Suporte 2", SUMIF(C46,Habilidades!$A$53,D46) * SUMIF(C46,Habilidades!$A$53,Habilidades!$B$53), if(C46="Suporte 3", SUMIF(C46,Habilidades!$A$54,D46) * SUMIF(C46,Habilidades!$A$54,Habilidades!$B$54), if(C46="Caça-tesouros 1", SUMIF(C46,Habilidades!$A$55,D46) * SUMIF(C46,Habilidades!$A$55,Habilidades!$B$55), if(C46="Caça-tesouros 2", SUMIF(C46,Habilidades!$A$56,D46) * SUMIF(C46,Habilidades!$A$56,Habilidades!$B$56), if(C46="Caça-tesouros 3", SUMIF(C46,Habilidades!$A$57,D46) * SUMIF(C46,Habilidades!$A$57,Habilidades!$B$57), if(C46="Velocista 1", SUMIF(C46,Habilidades!$A$77,D46) * SUMIF(C46,Habilidades!$A$77,Habilidades!$B$77), if(C46="Velocista 2", SUMIF(C46,Habilidades!$A$78,D46) * SUMIF(C46,Habilidades!$A$78,Habilidades!$B$78), if(C46="Velocista 3", SUMIF(C46,Habilidades!$A$79,D46) * SUMIF(C46,Habilidades!$A$79,Habilidades!$B$79), "-"))))))))))))))))))))))))))))))))))))))</f>
        <v>-</v>
      </c>
      <c r="F46" s="110"/>
      <c r="G46" s="110"/>
      <c r="H46" s="110"/>
      <c r="I46" s="110"/>
      <c r="J46" s="110"/>
      <c r="K46" s="110"/>
      <c r="L46" s="110"/>
      <c r="M46" s="110"/>
      <c r="N46" s="110"/>
    </row>
    <row r="47">
      <c r="C47" s="142"/>
      <c r="D47" s="129">
        <f t="shared" si="2"/>
        <v>0</v>
      </c>
      <c r="E47" s="130" t="str">
        <f>if(C47="Detectar Segredo", SUMIF(C47,Habilidades!$A$11,D47) * SUMIF(C47,Habilidades!$A$11,Habilidades!$B$11), if(C47="Encontrar mágica", SUMIF(C47,Habilidades!$A$12,D47) * SUMIF(C47,Habilidades!$A$12,Habilidades!$B$12), if(C47="Cuidadoso 1", SUMIF(C47,Habilidades!$A$22,D47) * SUMIF(C47,Habilidades!$A$22,Habilidades!$B$22), if(C47="Cuidadoso 2", SUMIF(C47,Habilidades!$A$23,D61) * SUMIF(C47,Habilidades!$A$23,Habilidades!$B$23), if(C47="Cuidadoso 3", SUMIF(C47,Habilidades!$A$24,D47) * SUMIF(C47,Habilidades!$A$24,Habilidades!$B$24), if(C47="Ganancioso 1", SUMIF(C47,Habilidades!$A$25,D47) * SUMIF(C47,Habilidades!$A$25,Habilidades!$B$25), if(C47="Ganancioso 2", SUMIF(C47,Habilidades!$A$26,D47) * SUMIF(C47,Habilidades!$A$26,Habilidades!$B$26), if(C47="Ganancioso 3", SUMIF(C47,Habilidades!$A$27,D47) * SUMIF(C47,Habilidades!$A$27,Habilidades!$B$27), if(C47="Curandeiro 1", SUMIF(C47,Habilidades!$A$28,D47) * SUMIF(C47,Habilidades!$A$28,Habilidades!$B$28), if(C47="Curandeiro 2", SUMIF(C47,Habilidades!$A$29,D47) * SUMIF(C47,Habilidades!$A$29,Habilidades!$B$29), if(C47="Curandeiro 3", SUMIF(C47,Habilidades!$A$30,D47) * SUMIF(C47,Habilidades!$A$30,Habilidades!$B$30), if(C47="Sortudo 1", SUMIF(C47,Habilidades!$A$31,D47) * SUMIF(C47,Habilidades!$A$31,Habilidades!$B$31), if(C47="Sortudo 2", SUMIF(C47,Habilidades!$A$32,D47) * SUMIF(C47,Habilidades!$A$32,Habilidades!$B$32), if(C47="Sortudo 3", SUMIF(C47,Habilidades!$A$33,D47) * SUMIF(C47,Habilidades!$A$33,Habilidades!$B$33), if(C47="Protetor 1", SUMIF(C47,Habilidades!$A$34,D47) * SUMIF(C47,Habilidades!$A$34,Habilidades!$B$34), if(C47="Protetor 2", SUMIF(C47,Habilidades!$A$35,D47) * SUMIF(C47,Habilidades!$A$35,Habilidades!$B$35), if(C47="Protetor 3", SUMIF(C47,Habilidades!$A$36,D47) * SUMIF(C47,Habilidades!$A$36,Habilidades!$B$36), if(C47="Engenhoso 1", SUMIF(C47,Habilidades!$A$40,D47) * SUMIF(C47,Habilidades!$A$40,Habilidades!$B$40), if(C47="Engenhoso 2", SUMIF(C47,Habilidades!$A$41,D47) * SUMIF(C47,Habilidades!$A$41,Habilidades!$B$41), if(C47="Engenhoso 3", SUMIF(C47,Habilidades!$A$42,D47) * SUMIF(C47,Habilidades!$A$42,Habilidades!$B$42), if(C47="Reviver 1", SUMIF(C47,Habilidades!$A$43,D47) * SUMIF(C47,Habilidades!$A$43,Habilidades!$B$43), if(C47="Reviver 2", SUMIF(C47,Habilidades!$A$44,D47) * SUMIF(C47,Habilidades!$A$44,Habilidades!$B$44), if(C47="Reviver 3", SUMIF(C47,Habilidades!$A$45,D47) * SUMIF(C47,Habilidades!$A$45,Habilidades!$B$45), if(C47="Catador 1", SUMIF(C47,Habilidades!$A$46,D47) * SUMIF(C47,Habilidades!$A$46,Habilidades!$B$46), if(C47="Catador 2", SUMIF(C47,Habilidades!$A$47,D47) * SUMIF(C47,Habilidades!$A$47,Habilidades!$B$47), if(C47="Catador 3", SUMIF(C47,Habilidades!$A$48,D47) * SUMIF(C47,Habilidades!$A$48,Habilidades!$B$48), if(C47="Fornecedor 1", SUMIF(C47,Habilidades!$A$49,D47) * SUMIF(C47,Habilidades!$A$49,Habilidades!$B$49), if(C47="Fornecedor 2", SUMIF(C47,Habilidades!$A$50,D47) * SUMIF(C47,Habilidades!$A$50,Habilidades!$B$50), if(C47="Fornecedor 3", SUMIF(C47,Habilidades!$A$51,D47) * SUMIF(C47,Habilidades!$A$51,Habilidades!$B$51), if(C47="Suporte 1", SUMIF(C47,Habilidades!$A$52,D47) * SUMIF(C47,Habilidades!$A$52,Habilidades!$B$52), if(C47="Suporte 2", SUMIF(C47,Habilidades!$A$53,D47) * SUMIF(C47,Habilidades!$A$53,Habilidades!$B$53), if(C47="Suporte 3", SUMIF(C47,Habilidades!$A$54,D47) * SUMIF(C47,Habilidades!$A$54,Habilidades!$B$54), if(C47="Caça-tesouros 1", SUMIF(C47,Habilidades!$A$55,D47) * SUMIF(C47,Habilidades!$A$55,Habilidades!$B$55), if(C47="Caça-tesouros 2", SUMIF(C47,Habilidades!$A$56,D47) * SUMIF(C47,Habilidades!$A$56,Habilidades!$B$56), if(C47="Caça-tesouros 3", SUMIF(C47,Habilidades!$A$57,D47) * SUMIF(C47,Habilidades!$A$57,Habilidades!$B$57), if(C47="Velocista 1", SUMIF(C47,Habilidades!$A$77,D47) * SUMIF(C47,Habilidades!$A$77,Habilidades!$B$77), if(C47="Velocista 2", SUMIF(C47,Habilidades!$A$78,D47) * SUMIF(C47,Habilidades!$A$78,Habilidades!$B$78), if(C47="Velocista 3", SUMIF(C47,Habilidades!$A$79,D47) * SUMIF(C47,Habilidades!$A$79,Habilidades!$B$79), "-"))))))))))))))))))))))))))))))))))))))</f>
        <v>-</v>
      </c>
      <c r="F47" s="110"/>
      <c r="G47" s="110"/>
      <c r="H47" s="110"/>
      <c r="I47" s="110"/>
      <c r="J47" s="110"/>
      <c r="K47" s="110"/>
      <c r="L47" s="110"/>
      <c r="M47" s="110"/>
      <c r="N47" s="110"/>
    </row>
    <row r="48">
      <c r="C48" s="142"/>
      <c r="D48" s="129">
        <f t="shared" si="2"/>
        <v>0</v>
      </c>
      <c r="E48" s="130" t="str">
        <f>if(C48="Detectar Segredo", SUMIF(C48,Habilidades!$A$11,D48) * SUMIF(C48,Habilidades!$A$11,Habilidades!$B$11), if(C48="Encontrar mágica", SUMIF(C48,Habilidades!$A$12,D48) * SUMIF(C48,Habilidades!$A$12,Habilidades!$B$12), if(C48="Cuidadoso 1", SUMIF(C48,Habilidades!$A$22,D48) * SUMIF(C48,Habilidades!$A$22,Habilidades!$B$22), if(C48="Cuidadoso 2", SUMIF(C48,Habilidades!$A$23,D62) * SUMIF(C48,Habilidades!$A$23,Habilidades!$B$23), if(C48="Cuidadoso 3", SUMIF(C48,Habilidades!$A$24,D48) * SUMIF(C48,Habilidades!$A$24,Habilidades!$B$24), if(C48="Ganancioso 1", SUMIF(C48,Habilidades!$A$25,D48) * SUMIF(C48,Habilidades!$A$25,Habilidades!$B$25), if(C48="Ganancioso 2", SUMIF(C48,Habilidades!$A$26,D48) * SUMIF(C48,Habilidades!$A$26,Habilidades!$B$26), if(C48="Ganancioso 3", SUMIF(C48,Habilidades!$A$27,D48) * SUMIF(C48,Habilidades!$A$27,Habilidades!$B$27), if(C48="Curandeiro 1", SUMIF(C48,Habilidades!$A$28,D48) * SUMIF(C48,Habilidades!$A$28,Habilidades!$B$28), if(C48="Curandeiro 2", SUMIF(C48,Habilidades!$A$29,D48) * SUMIF(C48,Habilidades!$A$29,Habilidades!$B$29), if(C48="Curandeiro 3", SUMIF(C48,Habilidades!$A$30,D48) * SUMIF(C48,Habilidades!$A$30,Habilidades!$B$30), if(C48="Sortudo 1", SUMIF(C48,Habilidades!$A$31,D48) * SUMIF(C48,Habilidades!$A$31,Habilidades!$B$31), if(C48="Sortudo 2", SUMIF(C48,Habilidades!$A$32,D48) * SUMIF(C48,Habilidades!$A$32,Habilidades!$B$32), if(C48="Sortudo 3", SUMIF(C48,Habilidades!$A$33,D48) * SUMIF(C48,Habilidades!$A$33,Habilidades!$B$33), if(C48="Protetor 1", SUMIF(C48,Habilidades!$A$34,D48) * SUMIF(C48,Habilidades!$A$34,Habilidades!$B$34), if(C48="Protetor 2", SUMIF(C48,Habilidades!$A$35,D48) * SUMIF(C48,Habilidades!$A$35,Habilidades!$B$35), if(C48="Protetor 3", SUMIF(C48,Habilidades!$A$36,D48) * SUMIF(C48,Habilidades!$A$36,Habilidades!$B$36), if(C48="Engenhoso 1", SUMIF(C48,Habilidades!$A$40,D48) * SUMIF(C48,Habilidades!$A$40,Habilidades!$B$40), if(C48="Engenhoso 2", SUMIF(C48,Habilidades!$A$41,D48) * SUMIF(C48,Habilidades!$A$41,Habilidades!$B$41), if(C48="Engenhoso 3", SUMIF(C48,Habilidades!$A$42,D48) * SUMIF(C48,Habilidades!$A$42,Habilidades!$B$42), if(C48="Reviver 1", SUMIF(C48,Habilidades!$A$43,D48) * SUMIF(C48,Habilidades!$A$43,Habilidades!$B$43), if(C48="Reviver 2", SUMIF(C48,Habilidades!$A$44,D48) * SUMIF(C48,Habilidades!$A$44,Habilidades!$B$44), if(C48="Reviver 3", SUMIF(C48,Habilidades!$A$45,D48) * SUMIF(C48,Habilidades!$A$45,Habilidades!$B$45), if(C48="Catador 1", SUMIF(C48,Habilidades!$A$46,D48) * SUMIF(C48,Habilidades!$A$46,Habilidades!$B$46), if(C48="Catador 2", SUMIF(C48,Habilidades!$A$47,D48) * SUMIF(C48,Habilidades!$A$47,Habilidades!$B$47), if(C48="Catador 3", SUMIF(C48,Habilidades!$A$48,D48) * SUMIF(C48,Habilidades!$A$48,Habilidades!$B$48), if(C48="Fornecedor 1", SUMIF(C48,Habilidades!$A$49,D48) * SUMIF(C48,Habilidades!$A$49,Habilidades!$B$49), if(C48="Fornecedor 2", SUMIF(C48,Habilidades!$A$50,D48) * SUMIF(C48,Habilidades!$A$50,Habilidades!$B$50), if(C48="Fornecedor 3", SUMIF(C48,Habilidades!$A$51,D48) * SUMIF(C48,Habilidades!$A$51,Habilidades!$B$51), if(C48="Suporte 1", SUMIF(C48,Habilidades!$A$52,D48) * SUMIF(C48,Habilidades!$A$52,Habilidades!$B$52), if(C48="Suporte 2", SUMIF(C48,Habilidades!$A$53,D48) * SUMIF(C48,Habilidades!$A$53,Habilidades!$B$53), if(C48="Suporte 3", SUMIF(C48,Habilidades!$A$54,D48) * SUMIF(C48,Habilidades!$A$54,Habilidades!$B$54), if(C48="Caça-tesouros 1", SUMIF(C48,Habilidades!$A$55,D48) * SUMIF(C48,Habilidades!$A$55,Habilidades!$B$55), if(C48="Caça-tesouros 2", SUMIF(C48,Habilidades!$A$56,D48) * SUMIF(C48,Habilidades!$A$56,Habilidades!$B$56), if(C48="Caça-tesouros 3", SUMIF(C48,Habilidades!$A$57,D48) * SUMIF(C48,Habilidades!$A$57,Habilidades!$B$57), if(C48="Velocista 1", SUMIF(C48,Habilidades!$A$77,D48) * SUMIF(C48,Habilidades!$A$77,Habilidades!$B$77), if(C48="Velocista 2", SUMIF(C48,Habilidades!$A$78,D48) * SUMIF(C48,Habilidades!$A$78,Habilidades!$B$78), if(C48="Velocista 3", SUMIF(C48,Habilidades!$A$79,D48) * SUMIF(C48,Habilidades!$A$79,Habilidades!$B$79), "-"))))))))))))))))))))))))))))))))))))))</f>
        <v>-</v>
      </c>
      <c r="F48" s="110"/>
      <c r="G48" s="110"/>
      <c r="H48" s="110"/>
      <c r="I48" s="110"/>
      <c r="J48" s="110"/>
      <c r="K48" s="110"/>
      <c r="L48" s="110"/>
      <c r="M48" s="110"/>
      <c r="N48" s="110"/>
    </row>
    <row r="49">
      <c r="C49" s="142"/>
      <c r="D49" s="129">
        <f t="shared" si="2"/>
        <v>0</v>
      </c>
      <c r="E49" s="130" t="str">
        <f>if(C49="Detectar Segredo", SUMIF(C49,Habilidades!$A$11,D49) * SUMIF(C49,Habilidades!$A$11,Habilidades!$B$11), if(C49="Encontrar mágica", SUMIF(C49,Habilidades!$A$12,D49) * SUMIF(C49,Habilidades!$A$12,Habilidades!$B$12), if(C49="Cuidadoso 1", SUMIF(C49,Habilidades!$A$22,D49) * SUMIF(C49,Habilidades!$A$22,Habilidades!$B$22), if(C49="Cuidadoso 2", SUMIF(C49,Habilidades!$A$23,D63) * SUMIF(C49,Habilidades!$A$23,Habilidades!$B$23), if(C49="Cuidadoso 3", SUMIF(C49,Habilidades!$A$24,D49) * SUMIF(C49,Habilidades!$A$24,Habilidades!$B$24), if(C49="Ganancioso 1", SUMIF(C49,Habilidades!$A$25,D49) * SUMIF(C49,Habilidades!$A$25,Habilidades!$B$25), if(C49="Ganancioso 2", SUMIF(C49,Habilidades!$A$26,D49) * SUMIF(C49,Habilidades!$A$26,Habilidades!$B$26), if(C49="Ganancioso 3", SUMIF(C49,Habilidades!$A$27,D49) * SUMIF(C49,Habilidades!$A$27,Habilidades!$B$27), if(C49="Curandeiro 1", SUMIF(C49,Habilidades!$A$28,D49) * SUMIF(C49,Habilidades!$A$28,Habilidades!$B$28), if(C49="Curandeiro 2", SUMIF(C49,Habilidades!$A$29,D49) * SUMIF(C49,Habilidades!$A$29,Habilidades!$B$29), if(C49="Curandeiro 3", SUMIF(C49,Habilidades!$A$30,D49) * SUMIF(C49,Habilidades!$A$30,Habilidades!$B$30), if(C49="Sortudo 1", SUMIF(C49,Habilidades!$A$31,D49) * SUMIF(C49,Habilidades!$A$31,Habilidades!$B$31), if(C49="Sortudo 2", SUMIF(C49,Habilidades!$A$32,D49) * SUMIF(C49,Habilidades!$A$32,Habilidades!$B$32), if(C49="Sortudo 3", SUMIF(C49,Habilidades!$A$33,D49) * SUMIF(C49,Habilidades!$A$33,Habilidades!$B$33), if(C49="Protetor 1", SUMIF(C49,Habilidades!$A$34,D49) * SUMIF(C49,Habilidades!$A$34,Habilidades!$B$34), if(C49="Protetor 2", SUMIF(C49,Habilidades!$A$35,D49) * SUMIF(C49,Habilidades!$A$35,Habilidades!$B$35), if(C49="Protetor 3", SUMIF(C49,Habilidades!$A$36,D49) * SUMIF(C49,Habilidades!$A$36,Habilidades!$B$36), if(C49="Engenhoso 1", SUMIF(C49,Habilidades!$A$40,D49) * SUMIF(C49,Habilidades!$A$40,Habilidades!$B$40), if(C49="Engenhoso 2", SUMIF(C49,Habilidades!$A$41,D49) * SUMIF(C49,Habilidades!$A$41,Habilidades!$B$41), if(C49="Engenhoso 3", SUMIF(C49,Habilidades!$A$42,D49) * SUMIF(C49,Habilidades!$A$42,Habilidades!$B$42), if(C49="Reviver 1", SUMIF(C49,Habilidades!$A$43,D49) * SUMIF(C49,Habilidades!$A$43,Habilidades!$B$43), if(C49="Reviver 2", SUMIF(C49,Habilidades!$A$44,D49) * SUMIF(C49,Habilidades!$A$44,Habilidades!$B$44), if(C49="Reviver 3", SUMIF(C49,Habilidades!$A$45,D49) * SUMIF(C49,Habilidades!$A$45,Habilidades!$B$45), if(C49="Catador 1", SUMIF(C49,Habilidades!$A$46,D49) * SUMIF(C49,Habilidades!$A$46,Habilidades!$B$46), if(C49="Catador 2", SUMIF(C49,Habilidades!$A$47,D49) * SUMIF(C49,Habilidades!$A$47,Habilidades!$B$47), if(C49="Catador 3", SUMIF(C49,Habilidades!$A$48,D49) * SUMIF(C49,Habilidades!$A$48,Habilidades!$B$48), if(C49="Fornecedor 1", SUMIF(C49,Habilidades!$A$49,D49) * SUMIF(C49,Habilidades!$A$49,Habilidades!$B$49), if(C49="Fornecedor 2", SUMIF(C49,Habilidades!$A$50,D49) * SUMIF(C49,Habilidades!$A$50,Habilidades!$B$50), if(C49="Fornecedor 3", SUMIF(C49,Habilidades!$A$51,D49) * SUMIF(C49,Habilidades!$A$51,Habilidades!$B$51), if(C49="Suporte 1", SUMIF(C49,Habilidades!$A$52,D49) * SUMIF(C49,Habilidades!$A$52,Habilidades!$B$52), if(C49="Suporte 2", SUMIF(C49,Habilidades!$A$53,D49) * SUMIF(C49,Habilidades!$A$53,Habilidades!$B$53), if(C49="Suporte 3", SUMIF(C49,Habilidades!$A$54,D49) * SUMIF(C49,Habilidades!$A$54,Habilidades!$B$54), if(C49="Caça-tesouros 1", SUMIF(C49,Habilidades!$A$55,D49) * SUMIF(C49,Habilidades!$A$55,Habilidades!$B$55), if(C49="Caça-tesouros 2", SUMIF(C49,Habilidades!$A$56,D49) * SUMIF(C49,Habilidades!$A$56,Habilidades!$B$56), if(C49="Caça-tesouros 3", SUMIF(C49,Habilidades!$A$57,D49) * SUMIF(C49,Habilidades!$A$57,Habilidades!$B$57), if(C49="Velocista 1", SUMIF(C49,Habilidades!$A$77,D49) * SUMIF(C49,Habilidades!$A$77,Habilidades!$B$77), if(C49="Velocista 2", SUMIF(C49,Habilidades!$A$78,D49) * SUMIF(C49,Habilidades!$A$78,Habilidades!$B$78), if(C49="Velocista 3", SUMIF(C49,Habilidades!$A$79,D49) * SUMIF(C49,Habilidades!$A$79,Habilidades!$B$79), "-"))))))))))))))))))))))))))))))))))))))</f>
        <v>-</v>
      </c>
      <c r="F49" s="110"/>
      <c r="G49" s="110"/>
      <c r="H49" s="110"/>
      <c r="I49" s="110"/>
      <c r="J49" s="110"/>
      <c r="K49" s="110"/>
      <c r="L49" s="110"/>
      <c r="M49" s="110"/>
      <c r="N49" s="110"/>
    </row>
    <row r="50">
      <c r="C50" s="142"/>
      <c r="D50" s="129">
        <f t="shared" si="2"/>
        <v>0</v>
      </c>
      <c r="E50" s="130" t="str">
        <f>if(C50="Detectar Segredo", SUMIF(C50,Habilidades!$A$11,D50) * SUMIF(C50,Habilidades!$A$11,Habilidades!$B$11), if(C50="Encontrar mágica", SUMIF(C50,Habilidades!$A$12,D50) * SUMIF(C50,Habilidades!$A$12,Habilidades!$B$12), if(C50="Cuidadoso 1", SUMIF(C50,Habilidades!$A$22,D50) * SUMIF(C50,Habilidades!$A$22,Habilidades!$B$22), if(C50="Cuidadoso 2", SUMIF(C50,Habilidades!$A$23,D64) * SUMIF(C50,Habilidades!$A$23,Habilidades!$B$23), if(C50="Cuidadoso 3", SUMIF(C50,Habilidades!$A$24,D50) * SUMIF(C50,Habilidades!$A$24,Habilidades!$B$24), if(C50="Ganancioso 1", SUMIF(C50,Habilidades!$A$25,D50) * SUMIF(C50,Habilidades!$A$25,Habilidades!$B$25), if(C50="Ganancioso 2", SUMIF(C50,Habilidades!$A$26,D50) * SUMIF(C50,Habilidades!$A$26,Habilidades!$B$26), if(C50="Ganancioso 3", SUMIF(C50,Habilidades!$A$27,D50) * SUMIF(C50,Habilidades!$A$27,Habilidades!$B$27), if(C50="Curandeiro 1", SUMIF(C50,Habilidades!$A$28,D50) * SUMIF(C50,Habilidades!$A$28,Habilidades!$B$28), if(C50="Curandeiro 2", SUMIF(C50,Habilidades!$A$29,D50) * SUMIF(C50,Habilidades!$A$29,Habilidades!$B$29), if(C50="Curandeiro 3", SUMIF(C50,Habilidades!$A$30,D50) * SUMIF(C50,Habilidades!$A$30,Habilidades!$B$30), if(C50="Sortudo 1", SUMIF(C50,Habilidades!$A$31,D50) * SUMIF(C50,Habilidades!$A$31,Habilidades!$B$31), if(C50="Sortudo 2", SUMIF(C50,Habilidades!$A$32,D50) * SUMIF(C50,Habilidades!$A$32,Habilidades!$B$32), if(C50="Sortudo 3", SUMIF(C50,Habilidades!$A$33,D50) * SUMIF(C50,Habilidades!$A$33,Habilidades!$B$33), if(C50="Protetor 1", SUMIF(C50,Habilidades!$A$34,D50) * SUMIF(C50,Habilidades!$A$34,Habilidades!$B$34), if(C50="Protetor 2", SUMIF(C50,Habilidades!$A$35,D50) * SUMIF(C50,Habilidades!$A$35,Habilidades!$B$35), if(C50="Protetor 3", SUMIF(C50,Habilidades!$A$36,D50) * SUMIF(C50,Habilidades!$A$36,Habilidades!$B$36), if(C50="Engenhoso 1", SUMIF(C50,Habilidades!$A$40,D50) * SUMIF(C50,Habilidades!$A$40,Habilidades!$B$40), if(C50="Engenhoso 2", SUMIF(C50,Habilidades!$A$41,D50) * SUMIF(C50,Habilidades!$A$41,Habilidades!$B$41), if(C50="Engenhoso 3", SUMIF(C50,Habilidades!$A$42,D50) * SUMIF(C50,Habilidades!$A$42,Habilidades!$B$42), if(C50="Reviver 1", SUMIF(C50,Habilidades!$A$43,D50) * SUMIF(C50,Habilidades!$A$43,Habilidades!$B$43), if(C50="Reviver 2", SUMIF(C50,Habilidades!$A$44,D50) * SUMIF(C50,Habilidades!$A$44,Habilidades!$B$44), if(C50="Reviver 3", SUMIF(C50,Habilidades!$A$45,D50) * SUMIF(C50,Habilidades!$A$45,Habilidades!$B$45), if(C50="Catador 1", SUMIF(C50,Habilidades!$A$46,D50) * SUMIF(C50,Habilidades!$A$46,Habilidades!$B$46), if(C50="Catador 2", SUMIF(C50,Habilidades!$A$47,D50) * SUMIF(C50,Habilidades!$A$47,Habilidades!$B$47), if(C50="Catador 3", SUMIF(C50,Habilidades!$A$48,D50) * SUMIF(C50,Habilidades!$A$48,Habilidades!$B$48), if(C50="Fornecedor 1", SUMIF(C50,Habilidades!$A$49,D50) * SUMIF(C50,Habilidades!$A$49,Habilidades!$B$49), if(C50="Fornecedor 2", SUMIF(C50,Habilidades!$A$50,D50) * SUMIF(C50,Habilidades!$A$50,Habilidades!$B$50), if(C50="Fornecedor 3", SUMIF(C50,Habilidades!$A$51,D50) * SUMIF(C50,Habilidades!$A$51,Habilidades!$B$51), if(C50="Suporte 1", SUMIF(C50,Habilidades!$A$52,D50) * SUMIF(C50,Habilidades!$A$52,Habilidades!$B$52), if(C50="Suporte 2", SUMIF(C50,Habilidades!$A$53,D50) * SUMIF(C50,Habilidades!$A$53,Habilidades!$B$53), if(C50="Suporte 3", SUMIF(C50,Habilidades!$A$54,D50) * SUMIF(C50,Habilidades!$A$54,Habilidades!$B$54), if(C50="Caça-tesouros 1", SUMIF(C50,Habilidades!$A$55,D50) * SUMIF(C50,Habilidades!$A$55,Habilidades!$B$55), if(C50="Caça-tesouros 2", SUMIF(C50,Habilidades!$A$56,D50) * SUMIF(C50,Habilidades!$A$56,Habilidades!$B$56), if(C50="Caça-tesouros 3", SUMIF(C50,Habilidades!$A$57,D50) * SUMIF(C50,Habilidades!$A$57,Habilidades!$B$57), if(C50="Velocista 1", SUMIF(C50,Habilidades!$A$77,D50) * SUMIF(C50,Habilidades!$A$77,Habilidades!$B$77), if(C50="Velocista 2", SUMIF(C50,Habilidades!$A$78,D50) * SUMIF(C50,Habilidades!$A$78,Habilidades!$B$78), if(C50="Velocista 3", SUMIF(C50,Habilidades!$A$79,D50) * SUMIF(C50,Habilidades!$A$79,Habilidades!$B$79), "-"))))))))))))))))))))))))))))))))))))))</f>
        <v>-</v>
      </c>
      <c r="F50" s="110"/>
      <c r="G50" s="110"/>
      <c r="H50" s="110"/>
      <c r="I50" s="110"/>
      <c r="J50" s="110"/>
      <c r="K50" s="110"/>
      <c r="L50" s="110"/>
      <c r="M50" s="110"/>
      <c r="N50" s="110"/>
    </row>
    <row r="51">
      <c r="C51" s="142"/>
      <c r="D51" s="129">
        <f t="shared" si="2"/>
        <v>0</v>
      </c>
      <c r="E51" s="130" t="str">
        <f>if(C51="Detectar Segredo", SUMIF(C51,Habilidades!$A$11,D51) * SUMIF(C51,Habilidades!$A$11,Habilidades!$B$11), if(C51="Encontrar mágica", SUMIF(C51,Habilidades!$A$12,D51) * SUMIF(C51,Habilidades!$A$12,Habilidades!$B$12), if(C51="Cuidadoso 1", SUMIF(C51,Habilidades!$A$22,D51) * SUMIF(C51,Habilidades!$A$22,Habilidades!$B$22), if(C51="Cuidadoso 2", SUMIF(C51,Habilidades!$A$23,D65) * SUMIF(C51,Habilidades!$A$23,Habilidades!$B$23), if(C51="Cuidadoso 3", SUMIF(C51,Habilidades!$A$24,D51) * SUMIF(C51,Habilidades!$A$24,Habilidades!$B$24), if(C51="Ganancioso 1", SUMIF(C51,Habilidades!$A$25,D51) * SUMIF(C51,Habilidades!$A$25,Habilidades!$B$25), if(C51="Ganancioso 2", SUMIF(C51,Habilidades!$A$26,D51) * SUMIF(C51,Habilidades!$A$26,Habilidades!$B$26), if(C51="Ganancioso 3", SUMIF(C51,Habilidades!$A$27,D51) * SUMIF(C51,Habilidades!$A$27,Habilidades!$B$27), if(C51="Curandeiro 1", SUMIF(C51,Habilidades!$A$28,D51) * SUMIF(C51,Habilidades!$A$28,Habilidades!$B$28), if(C51="Curandeiro 2", SUMIF(C51,Habilidades!$A$29,D51) * SUMIF(C51,Habilidades!$A$29,Habilidades!$B$29), if(C51="Curandeiro 3", SUMIF(C51,Habilidades!$A$30,D51) * SUMIF(C51,Habilidades!$A$30,Habilidades!$B$30), if(C51="Sortudo 1", SUMIF(C51,Habilidades!$A$31,D51) * SUMIF(C51,Habilidades!$A$31,Habilidades!$B$31), if(C51="Sortudo 2", SUMIF(C51,Habilidades!$A$32,D51) * SUMIF(C51,Habilidades!$A$32,Habilidades!$B$32), if(C51="Sortudo 3", SUMIF(C51,Habilidades!$A$33,D51) * SUMIF(C51,Habilidades!$A$33,Habilidades!$B$33), if(C51="Protetor 1", SUMIF(C51,Habilidades!$A$34,D51) * SUMIF(C51,Habilidades!$A$34,Habilidades!$B$34), if(C51="Protetor 2", SUMIF(C51,Habilidades!$A$35,D51) * SUMIF(C51,Habilidades!$A$35,Habilidades!$B$35), if(C51="Protetor 3", SUMIF(C51,Habilidades!$A$36,D51) * SUMIF(C51,Habilidades!$A$36,Habilidades!$B$36), if(C51="Engenhoso 1", SUMIF(C51,Habilidades!$A$40,D51) * SUMIF(C51,Habilidades!$A$40,Habilidades!$B$40), if(C51="Engenhoso 2", SUMIF(C51,Habilidades!$A$41,D51) * SUMIF(C51,Habilidades!$A$41,Habilidades!$B$41), if(C51="Engenhoso 3", SUMIF(C51,Habilidades!$A$42,D51) * SUMIF(C51,Habilidades!$A$42,Habilidades!$B$42), if(C51="Reviver 1", SUMIF(C51,Habilidades!$A$43,D51) * SUMIF(C51,Habilidades!$A$43,Habilidades!$B$43), if(C51="Reviver 2", SUMIF(C51,Habilidades!$A$44,D51) * SUMIF(C51,Habilidades!$A$44,Habilidades!$B$44), if(C51="Reviver 3", SUMIF(C51,Habilidades!$A$45,D51) * SUMIF(C51,Habilidades!$A$45,Habilidades!$B$45), if(C51="Catador 1", SUMIF(C51,Habilidades!$A$46,D51) * SUMIF(C51,Habilidades!$A$46,Habilidades!$B$46), if(C51="Catador 2", SUMIF(C51,Habilidades!$A$47,D51) * SUMIF(C51,Habilidades!$A$47,Habilidades!$B$47), if(C51="Catador 3", SUMIF(C51,Habilidades!$A$48,D51) * SUMIF(C51,Habilidades!$A$48,Habilidades!$B$48), if(C51="Fornecedor 1", SUMIF(C51,Habilidades!$A$49,D51) * SUMIF(C51,Habilidades!$A$49,Habilidades!$B$49), if(C51="Fornecedor 2", SUMIF(C51,Habilidades!$A$50,D51) * SUMIF(C51,Habilidades!$A$50,Habilidades!$B$50), if(C51="Fornecedor 3", SUMIF(C51,Habilidades!$A$51,D51) * SUMIF(C51,Habilidades!$A$51,Habilidades!$B$51), if(C51="Suporte 1", SUMIF(C51,Habilidades!$A$52,D51) * SUMIF(C51,Habilidades!$A$52,Habilidades!$B$52), if(C51="Suporte 2", SUMIF(C51,Habilidades!$A$53,D51) * SUMIF(C51,Habilidades!$A$53,Habilidades!$B$53), if(C51="Suporte 3", SUMIF(C51,Habilidades!$A$54,D51) * SUMIF(C51,Habilidades!$A$54,Habilidades!$B$54), if(C51="Caça-tesouros 1", SUMIF(C51,Habilidades!$A$55,D51) * SUMIF(C51,Habilidades!$A$55,Habilidades!$B$55), if(C51="Caça-tesouros 2", SUMIF(C51,Habilidades!$A$56,D51) * SUMIF(C51,Habilidades!$A$56,Habilidades!$B$56), if(C51="Caça-tesouros 3", SUMIF(C51,Habilidades!$A$57,D51) * SUMIF(C51,Habilidades!$A$57,Habilidades!$B$57), if(C51="Velocista 1", SUMIF(C51,Habilidades!$A$77,D51) * SUMIF(C51,Habilidades!$A$77,Habilidades!$B$77), if(C51="Velocista 2", SUMIF(C51,Habilidades!$A$78,D51) * SUMIF(C51,Habilidades!$A$78,Habilidades!$B$78), if(C51="Velocista 3", SUMIF(C51,Habilidades!$A$79,D51) * SUMIF(C51,Habilidades!$A$79,Habilidades!$B$79), "-"))))))))))))))))))))))))))))))))))))))</f>
        <v>-</v>
      </c>
      <c r="F51" s="110"/>
      <c r="G51" s="110"/>
      <c r="H51" s="110"/>
      <c r="I51" s="110"/>
      <c r="J51" s="110"/>
      <c r="K51" s="110"/>
      <c r="L51" s="110"/>
      <c r="M51" s="110"/>
      <c r="N51" s="110"/>
    </row>
    <row r="52">
      <c r="C52" s="142"/>
      <c r="D52" s="129">
        <f t="shared" si="2"/>
        <v>0</v>
      </c>
      <c r="E52" s="130" t="str">
        <f>if(C52="Detectar Segredo", SUMIF(C52,Habilidades!$A$11,D52) * SUMIF(C52,Habilidades!$A$11,Habilidades!$B$11), if(C52="Encontrar mágica", SUMIF(C52,Habilidades!$A$12,D52) * SUMIF(C52,Habilidades!$A$12,Habilidades!$B$12), if(C52="Cuidadoso 1", SUMIF(C52,Habilidades!$A$22,D52) * SUMIF(C52,Habilidades!$A$22,Habilidades!$B$22), if(C52="Cuidadoso 2", SUMIF(C52,Habilidades!$A$23,D66) * SUMIF(C52,Habilidades!$A$23,Habilidades!$B$23), if(C52="Cuidadoso 3", SUMIF(C52,Habilidades!$A$24,D52) * SUMIF(C52,Habilidades!$A$24,Habilidades!$B$24), if(C52="Ganancioso 1", SUMIF(C52,Habilidades!$A$25,D52) * SUMIF(C52,Habilidades!$A$25,Habilidades!$B$25), if(C52="Ganancioso 2", SUMIF(C52,Habilidades!$A$26,D52) * SUMIF(C52,Habilidades!$A$26,Habilidades!$B$26), if(C52="Ganancioso 3", SUMIF(C52,Habilidades!$A$27,D52) * SUMIF(C52,Habilidades!$A$27,Habilidades!$B$27), if(C52="Curandeiro 1", SUMIF(C52,Habilidades!$A$28,D52) * SUMIF(C52,Habilidades!$A$28,Habilidades!$B$28), if(C52="Curandeiro 2", SUMIF(C52,Habilidades!$A$29,D52) * SUMIF(C52,Habilidades!$A$29,Habilidades!$B$29), if(C52="Curandeiro 3", SUMIF(C52,Habilidades!$A$30,D52) * SUMIF(C52,Habilidades!$A$30,Habilidades!$B$30), if(C52="Sortudo 1", SUMIF(C52,Habilidades!$A$31,D52) * SUMIF(C52,Habilidades!$A$31,Habilidades!$B$31), if(C52="Sortudo 2", SUMIF(C52,Habilidades!$A$32,D52) * SUMIF(C52,Habilidades!$A$32,Habilidades!$B$32), if(C52="Sortudo 3", SUMIF(C52,Habilidades!$A$33,D52) * SUMIF(C52,Habilidades!$A$33,Habilidades!$B$33), if(C52="Protetor 1", SUMIF(C52,Habilidades!$A$34,D52) * SUMIF(C52,Habilidades!$A$34,Habilidades!$B$34), if(C52="Protetor 2", SUMIF(C52,Habilidades!$A$35,D52) * SUMIF(C52,Habilidades!$A$35,Habilidades!$B$35), if(C52="Protetor 3", SUMIF(C52,Habilidades!$A$36,D52) * SUMIF(C52,Habilidades!$A$36,Habilidades!$B$36), if(C52="Engenhoso 1", SUMIF(C52,Habilidades!$A$40,D52) * SUMIF(C52,Habilidades!$A$40,Habilidades!$B$40), if(C52="Engenhoso 2", SUMIF(C52,Habilidades!$A$41,D52) * SUMIF(C52,Habilidades!$A$41,Habilidades!$B$41), if(C52="Engenhoso 3", SUMIF(C52,Habilidades!$A$42,D52) * SUMIF(C52,Habilidades!$A$42,Habilidades!$B$42), if(C52="Reviver 1", SUMIF(C52,Habilidades!$A$43,D52) * SUMIF(C52,Habilidades!$A$43,Habilidades!$B$43), if(C52="Reviver 2", SUMIF(C52,Habilidades!$A$44,D52) * SUMIF(C52,Habilidades!$A$44,Habilidades!$B$44), if(C52="Reviver 3", SUMIF(C52,Habilidades!$A$45,D52) * SUMIF(C52,Habilidades!$A$45,Habilidades!$B$45), if(C52="Catador 1", SUMIF(C52,Habilidades!$A$46,D52) * SUMIF(C52,Habilidades!$A$46,Habilidades!$B$46), if(C52="Catador 2", SUMIF(C52,Habilidades!$A$47,D52) * SUMIF(C52,Habilidades!$A$47,Habilidades!$B$47), if(C52="Catador 3", SUMIF(C52,Habilidades!$A$48,D52) * SUMIF(C52,Habilidades!$A$48,Habilidades!$B$48), if(C52="Fornecedor 1", SUMIF(C52,Habilidades!$A$49,D52) * SUMIF(C52,Habilidades!$A$49,Habilidades!$B$49), if(C52="Fornecedor 2", SUMIF(C52,Habilidades!$A$50,D52) * SUMIF(C52,Habilidades!$A$50,Habilidades!$B$50), if(C52="Fornecedor 3", SUMIF(C52,Habilidades!$A$51,D52) * SUMIF(C52,Habilidades!$A$51,Habilidades!$B$51), if(C52="Suporte 1", SUMIF(C52,Habilidades!$A$52,D52) * SUMIF(C52,Habilidades!$A$52,Habilidades!$B$52), if(C52="Suporte 2", SUMIF(C52,Habilidades!$A$53,D52) * SUMIF(C52,Habilidades!$A$53,Habilidades!$B$53), if(C52="Suporte 3", SUMIF(C52,Habilidades!$A$54,D52) * SUMIF(C52,Habilidades!$A$54,Habilidades!$B$54), if(C52="Caça-tesouros 1", SUMIF(C52,Habilidades!$A$55,D52) * SUMIF(C52,Habilidades!$A$55,Habilidades!$B$55), if(C52="Caça-tesouros 2", SUMIF(C52,Habilidades!$A$56,D52) * SUMIF(C52,Habilidades!$A$56,Habilidades!$B$56), if(C52="Caça-tesouros 3", SUMIF(C52,Habilidades!$A$57,D52) * SUMIF(C52,Habilidades!$A$57,Habilidades!$B$57), if(C52="Velocista 1", SUMIF(C52,Habilidades!$A$77,D52) * SUMIF(C52,Habilidades!$A$77,Habilidades!$B$77), if(C52="Velocista 2", SUMIF(C52,Habilidades!$A$78,D52) * SUMIF(C52,Habilidades!$A$78,Habilidades!$B$78), if(C52="Velocista 3", SUMIF(C52,Habilidades!$A$79,D52) * SUMIF(C52,Habilidades!$A$79,Habilidades!$B$79), "-"))))))))))))))))))))))))))))))))))))))</f>
        <v>-</v>
      </c>
      <c r="F52" s="110"/>
      <c r="G52" s="110"/>
      <c r="H52" s="110"/>
      <c r="I52" s="110"/>
      <c r="J52" s="110"/>
      <c r="K52" s="110"/>
      <c r="L52" s="110"/>
      <c r="M52" s="110"/>
      <c r="N52" s="110"/>
    </row>
    <row r="53">
      <c r="C53" s="142"/>
      <c r="D53" s="129">
        <f t="shared" si="2"/>
        <v>0</v>
      </c>
      <c r="E53" s="130" t="str">
        <f>if(C53="Detectar Segredo", SUMIF(C53,Habilidades!$A$11,D53) * SUMIF(C53,Habilidades!$A$11,Habilidades!$B$11), if(C53="Encontrar mágica", SUMIF(C53,Habilidades!$A$12,D53) * SUMIF(C53,Habilidades!$A$12,Habilidades!$B$12), if(C53="Cuidadoso 1", SUMIF(C53,Habilidades!$A$22,D53) * SUMIF(C53,Habilidades!$A$22,Habilidades!$B$22), if(C53="Cuidadoso 2", SUMIF(C53,Habilidades!$A$23,D67) * SUMIF(C53,Habilidades!$A$23,Habilidades!$B$23), if(C53="Cuidadoso 3", SUMIF(C53,Habilidades!$A$24,D53) * SUMIF(C53,Habilidades!$A$24,Habilidades!$B$24), if(C53="Ganancioso 1", SUMIF(C53,Habilidades!$A$25,D53) * SUMIF(C53,Habilidades!$A$25,Habilidades!$B$25), if(C53="Ganancioso 2", SUMIF(C53,Habilidades!$A$26,D53) * SUMIF(C53,Habilidades!$A$26,Habilidades!$B$26), if(C53="Ganancioso 3", SUMIF(C53,Habilidades!$A$27,D53) * SUMIF(C53,Habilidades!$A$27,Habilidades!$B$27), if(C53="Curandeiro 1", SUMIF(C53,Habilidades!$A$28,D53) * SUMIF(C53,Habilidades!$A$28,Habilidades!$B$28), if(C53="Curandeiro 2", SUMIF(C53,Habilidades!$A$29,D53) * SUMIF(C53,Habilidades!$A$29,Habilidades!$B$29), if(C53="Curandeiro 3", SUMIF(C53,Habilidades!$A$30,D53) * SUMIF(C53,Habilidades!$A$30,Habilidades!$B$30), if(C53="Sortudo 1", SUMIF(C53,Habilidades!$A$31,D53) * SUMIF(C53,Habilidades!$A$31,Habilidades!$B$31), if(C53="Sortudo 2", SUMIF(C53,Habilidades!$A$32,D53) * SUMIF(C53,Habilidades!$A$32,Habilidades!$B$32), if(C53="Sortudo 3", SUMIF(C53,Habilidades!$A$33,D53) * SUMIF(C53,Habilidades!$A$33,Habilidades!$B$33), if(C53="Protetor 1", SUMIF(C53,Habilidades!$A$34,D53) * SUMIF(C53,Habilidades!$A$34,Habilidades!$B$34), if(C53="Protetor 2", SUMIF(C53,Habilidades!$A$35,D53) * SUMIF(C53,Habilidades!$A$35,Habilidades!$B$35), if(C53="Protetor 3", SUMIF(C53,Habilidades!$A$36,D53) * SUMIF(C53,Habilidades!$A$36,Habilidades!$B$36), if(C53="Engenhoso 1", SUMIF(C53,Habilidades!$A$40,D53) * SUMIF(C53,Habilidades!$A$40,Habilidades!$B$40), if(C53="Engenhoso 2", SUMIF(C53,Habilidades!$A$41,D53) * SUMIF(C53,Habilidades!$A$41,Habilidades!$B$41), if(C53="Engenhoso 3", SUMIF(C53,Habilidades!$A$42,D53) * SUMIF(C53,Habilidades!$A$42,Habilidades!$B$42), if(C53="Reviver 1", SUMIF(C53,Habilidades!$A$43,D53) * SUMIF(C53,Habilidades!$A$43,Habilidades!$B$43), if(C53="Reviver 2", SUMIF(C53,Habilidades!$A$44,D53) * SUMIF(C53,Habilidades!$A$44,Habilidades!$B$44), if(C53="Reviver 3", SUMIF(C53,Habilidades!$A$45,D53) * SUMIF(C53,Habilidades!$A$45,Habilidades!$B$45), if(C53="Catador 1", SUMIF(C53,Habilidades!$A$46,D53) * SUMIF(C53,Habilidades!$A$46,Habilidades!$B$46), if(C53="Catador 2", SUMIF(C53,Habilidades!$A$47,D53) * SUMIF(C53,Habilidades!$A$47,Habilidades!$B$47), if(C53="Catador 3", SUMIF(C53,Habilidades!$A$48,D53) * SUMIF(C53,Habilidades!$A$48,Habilidades!$B$48), if(C53="Fornecedor 1", SUMIF(C53,Habilidades!$A$49,D53) * SUMIF(C53,Habilidades!$A$49,Habilidades!$B$49), if(C53="Fornecedor 2", SUMIF(C53,Habilidades!$A$50,D53) * SUMIF(C53,Habilidades!$A$50,Habilidades!$B$50), if(C53="Fornecedor 3", SUMIF(C53,Habilidades!$A$51,D53) * SUMIF(C53,Habilidades!$A$51,Habilidades!$B$51), if(C53="Suporte 1", SUMIF(C53,Habilidades!$A$52,D53) * SUMIF(C53,Habilidades!$A$52,Habilidades!$B$52), if(C53="Suporte 2", SUMIF(C53,Habilidades!$A$53,D53) * SUMIF(C53,Habilidades!$A$53,Habilidades!$B$53), if(C53="Suporte 3", SUMIF(C53,Habilidades!$A$54,D53) * SUMIF(C53,Habilidades!$A$54,Habilidades!$B$54), if(C53="Caça-tesouros 1", SUMIF(C53,Habilidades!$A$55,D53) * SUMIF(C53,Habilidades!$A$55,Habilidades!$B$55), if(C53="Caça-tesouros 2", SUMIF(C53,Habilidades!$A$56,D53) * SUMIF(C53,Habilidades!$A$56,Habilidades!$B$56), if(C53="Caça-tesouros 3", SUMIF(C53,Habilidades!$A$57,D53) * SUMIF(C53,Habilidades!$A$57,Habilidades!$B$57), if(C53="Velocista 1", SUMIF(C53,Habilidades!$A$77,D53) * SUMIF(C53,Habilidades!$A$77,Habilidades!$B$77), if(C53="Velocista 2", SUMIF(C53,Habilidades!$A$78,D53) * SUMIF(C53,Habilidades!$A$78,Habilidades!$B$78), if(C53="Velocista 3", SUMIF(C53,Habilidades!$A$79,D53) * SUMIF(C53,Habilidades!$A$79,Habilidades!$B$79), "-"))))))))))))))))))))))))))))))))))))))</f>
        <v>-</v>
      </c>
      <c r="F53" s="110"/>
      <c r="G53" s="110"/>
      <c r="H53" s="110"/>
      <c r="I53" s="110"/>
      <c r="J53" s="110"/>
      <c r="K53" s="110"/>
      <c r="L53" s="110"/>
      <c r="M53" s="110"/>
      <c r="N53" s="110"/>
    </row>
    <row r="54">
      <c r="C54" s="142"/>
      <c r="D54" s="129">
        <f t="shared" si="2"/>
        <v>0</v>
      </c>
      <c r="E54" s="130" t="str">
        <f>if(C54="Detectar Segredo", SUMIF(C54,Habilidades!$A$11,D54) * SUMIF(C54,Habilidades!$A$11,Habilidades!$B$11), if(C54="Encontrar mágica", SUMIF(C54,Habilidades!$A$12,D54) * SUMIF(C54,Habilidades!$A$12,Habilidades!$B$12), if(C54="Cuidadoso 1", SUMIF(C54,Habilidades!$A$22,D54) * SUMIF(C54,Habilidades!$A$22,Habilidades!$B$22), if(C54="Cuidadoso 2", SUMIF(C54,Habilidades!$A$23,D68) * SUMIF(C54,Habilidades!$A$23,Habilidades!$B$23), if(C54="Cuidadoso 3", SUMIF(C54,Habilidades!$A$24,D54) * SUMIF(C54,Habilidades!$A$24,Habilidades!$B$24), if(C54="Ganancioso 1", SUMIF(C54,Habilidades!$A$25,D54) * SUMIF(C54,Habilidades!$A$25,Habilidades!$B$25), if(C54="Ganancioso 2", SUMIF(C54,Habilidades!$A$26,D54) * SUMIF(C54,Habilidades!$A$26,Habilidades!$B$26), if(C54="Ganancioso 3", SUMIF(C54,Habilidades!$A$27,D54) * SUMIF(C54,Habilidades!$A$27,Habilidades!$B$27), if(C54="Curandeiro 1", SUMIF(C54,Habilidades!$A$28,D54) * SUMIF(C54,Habilidades!$A$28,Habilidades!$B$28), if(C54="Curandeiro 2", SUMIF(C54,Habilidades!$A$29,D54) * SUMIF(C54,Habilidades!$A$29,Habilidades!$B$29), if(C54="Curandeiro 3", SUMIF(C54,Habilidades!$A$30,D54) * SUMIF(C54,Habilidades!$A$30,Habilidades!$B$30), if(C54="Sortudo 1", SUMIF(C54,Habilidades!$A$31,D54) * SUMIF(C54,Habilidades!$A$31,Habilidades!$B$31), if(C54="Sortudo 2", SUMIF(C54,Habilidades!$A$32,D54) * SUMIF(C54,Habilidades!$A$32,Habilidades!$B$32), if(C54="Sortudo 3", SUMIF(C54,Habilidades!$A$33,D54) * SUMIF(C54,Habilidades!$A$33,Habilidades!$B$33), if(C54="Protetor 1", SUMIF(C54,Habilidades!$A$34,D54) * SUMIF(C54,Habilidades!$A$34,Habilidades!$B$34), if(C54="Protetor 2", SUMIF(C54,Habilidades!$A$35,D54) * SUMIF(C54,Habilidades!$A$35,Habilidades!$B$35), if(C54="Protetor 3", SUMIF(C54,Habilidades!$A$36,D54) * SUMIF(C54,Habilidades!$A$36,Habilidades!$B$36), if(C54="Engenhoso 1", SUMIF(C54,Habilidades!$A$40,D54) * SUMIF(C54,Habilidades!$A$40,Habilidades!$B$40), if(C54="Engenhoso 2", SUMIF(C54,Habilidades!$A$41,D54) * SUMIF(C54,Habilidades!$A$41,Habilidades!$B$41), if(C54="Engenhoso 3", SUMIF(C54,Habilidades!$A$42,D54) * SUMIF(C54,Habilidades!$A$42,Habilidades!$B$42), if(C54="Reviver 1", SUMIF(C54,Habilidades!$A$43,D54) * SUMIF(C54,Habilidades!$A$43,Habilidades!$B$43), if(C54="Reviver 2", SUMIF(C54,Habilidades!$A$44,D54) * SUMIF(C54,Habilidades!$A$44,Habilidades!$B$44), if(C54="Reviver 3", SUMIF(C54,Habilidades!$A$45,D54) * SUMIF(C54,Habilidades!$A$45,Habilidades!$B$45), if(C54="Catador 1", SUMIF(C54,Habilidades!$A$46,D54) * SUMIF(C54,Habilidades!$A$46,Habilidades!$B$46), if(C54="Catador 2", SUMIF(C54,Habilidades!$A$47,D54) * SUMIF(C54,Habilidades!$A$47,Habilidades!$B$47), if(C54="Catador 3", SUMIF(C54,Habilidades!$A$48,D54) * SUMIF(C54,Habilidades!$A$48,Habilidades!$B$48), if(C54="Fornecedor 1", SUMIF(C54,Habilidades!$A$49,D54) * SUMIF(C54,Habilidades!$A$49,Habilidades!$B$49), if(C54="Fornecedor 2", SUMIF(C54,Habilidades!$A$50,D54) * SUMIF(C54,Habilidades!$A$50,Habilidades!$B$50), if(C54="Fornecedor 3", SUMIF(C54,Habilidades!$A$51,D54) * SUMIF(C54,Habilidades!$A$51,Habilidades!$B$51), if(C54="Suporte 1", SUMIF(C54,Habilidades!$A$52,D54) * SUMIF(C54,Habilidades!$A$52,Habilidades!$B$52), if(C54="Suporte 2", SUMIF(C54,Habilidades!$A$53,D54) * SUMIF(C54,Habilidades!$A$53,Habilidades!$B$53), if(C54="Suporte 3", SUMIF(C54,Habilidades!$A$54,D54) * SUMIF(C54,Habilidades!$A$54,Habilidades!$B$54), if(C54="Caça-tesouros 1", SUMIF(C54,Habilidades!$A$55,D54) * SUMIF(C54,Habilidades!$A$55,Habilidades!$B$55), if(C54="Caça-tesouros 2", SUMIF(C54,Habilidades!$A$56,D54) * SUMIF(C54,Habilidades!$A$56,Habilidades!$B$56), if(C54="Caça-tesouros 3", SUMIF(C54,Habilidades!$A$57,D54) * SUMIF(C54,Habilidades!$A$57,Habilidades!$B$57), if(C54="Velocista 1", SUMIF(C54,Habilidades!$A$77,D54) * SUMIF(C54,Habilidades!$A$77,Habilidades!$B$77), if(C54="Velocista 2", SUMIF(C54,Habilidades!$A$78,D54) * SUMIF(C54,Habilidades!$A$78,Habilidades!$B$78), if(C54="Velocista 3", SUMIF(C54,Habilidades!$A$79,D54) * SUMIF(C54,Habilidades!$A$79,Habilidades!$B$79), "-"))))))))))))))))))))))))))))))))))))))</f>
        <v>-</v>
      </c>
      <c r="F54" s="110"/>
      <c r="G54" s="110"/>
      <c r="H54" s="110"/>
      <c r="I54" s="110"/>
      <c r="J54" s="110"/>
      <c r="K54" s="110"/>
      <c r="L54" s="110"/>
      <c r="M54" s="110"/>
      <c r="N54" s="110"/>
    </row>
    <row r="55">
      <c r="C55" s="142"/>
      <c r="D55" s="129">
        <f t="shared" si="2"/>
        <v>0</v>
      </c>
      <c r="E55" s="130" t="str">
        <f>if(C55="Detectar Segredo", SUMIF(C55,Habilidades!$A$11,D55) * SUMIF(C55,Habilidades!$A$11,Habilidades!$B$11), if(C55="Encontrar mágica", SUMIF(C55,Habilidades!$A$12,D55) * SUMIF(C55,Habilidades!$A$12,Habilidades!$B$12), if(C55="Cuidadoso 1", SUMIF(C55,Habilidades!$A$22,D55) * SUMIF(C55,Habilidades!$A$22,Habilidades!$B$22), if(C55="Cuidadoso 2", SUMIF(C55,Habilidades!$A$23,D69) * SUMIF(C55,Habilidades!$A$23,Habilidades!$B$23), if(C55="Cuidadoso 3", SUMIF(C55,Habilidades!$A$24,D55) * SUMIF(C55,Habilidades!$A$24,Habilidades!$B$24), if(C55="Ganancioso 1", SUMIF(C55,Habilidades!$A$25,D55) * SUMIF(C55,Habilidades!$A$25,Habilidades!$B$25), if(C55="Ganancioso 2", SUMIF(C55,Habilidades!$A$26,D55) * SUMIF(C55,Habilidades!$A$26,Habilidades!$B$26), if(C55="Ganancioso 3", SUMIF(C55,Habilidades!$A$27,D55) * SUMIF(C55,Habilidades!$A$27,Habilidades!$B$27), if(C55="Curandeiro 1", SUMIF(C55,Habilidades!$A$28,D55) * SUMIF(C55,Habilidades!$A$28,Habilidades!$B$28), if(C55="Curandeiro 2", SUMIF(C55,Habilidades!$A$29,D55) * SUMIF(C55,Habilidades!$A$29,Habilidades!$B$29), if(C55="Curandeiro 3", SUMIF(C55,Habilidades!$A$30,D55) * SUMIF(C55,Habilidades!$A$30,Habilidades!$B$30), if(C55="Sortudo 1", SUMIF(C55,Habilidades!$A$31,D55) * SUMIF(C55,Habilidades!$A$31,Habilidades!$B$31), if(C55="Sortudo 2", SUMIF(C55,Habilidades!$A$32,D55) * SUMIF(C55,Habilidades!$A$32,Habilidades!$B$32), if(C55="Sortudo 3", SUMIF(C55,Habilidades!$A$33,D55) * SUMIF(C55,Habilidades!$A$33,Habilidades!$B$33), if(C55="Protetor 1", SUMIF(C55,Habilidades!$A$34,D55) * SUMIF(C55,Habilidades!$A$34,Habilidades!$B$34), if(C55="Protetor 2", SUMIF(C55,Habilidades!$A$35,D55) * SUMIF(C55,Habilidades!$A$35,Habilidades!$B$35), if(C55="Protetor 3", SUMIF(C55,Habilidades!$A$36,D55) * SUMIF(C55,Habilidades!$A$36,Habilidades!$B$36), if(C55="Engenhoso 1", SUMIF(C55,Habilidades!$A$40,D55) * SUMIF(C55,Habilidades!$A$40,Habilidades!$B$40), if(C55="Engenhoso 2", SUMIF(C55,Habilidades!$A$41,D55) * SUMIF(C55,Habilidades!$A$41,Habilidades!$B$41), if(C55="Engenhoso 3", SUMIF(C55,Habilidades!$A$42,D55) * SUMIF(C55,Habilidades!$A$42,Habilidades!$B$42), if(C55="Reviver 1", SUMIF(C55,Habilidades!$A$43,D55) * SUMIF(C55,Habilidades!$A$43,Habilidades!$B$43), if(C55="Reviver 2", SUMIF(C55,Habilidades!$A$44,D55) * SUMIF(C55,Habilidades!$A$44,Habilidades!$B$44), if(C55="Reviver 3", SUMIF(C55,Habilidades!$A$45,D55) * SUMIF(C55,Habilidades!$A$45,Habilidades!$B$45), if(C55="Catador 1", SUMIF(C55,Habilidades!$A$46,D55) * SUMIF(C55,Habilidades!$A$46,Habilidades!$B$46), if(C55="Catador 2", SUMIF(C55,Habilidades!$A$47,D55) * SUMIF(C55,Habilidades!$A$47,Habilidades!$B$47), if(C55="Catador 3", SUMIF(C55,Habilidades!$A$48,D55) * SUMIF(C55,Habilidades!$A$48,Habilidades!$B$48), if(C55="Fornecedor 1", SUMIF(C55,Habilidades!$A$49,D55) * SUMIF(C55,Habilidades!$A$49,Habilidades!$B$49), if(C55="Fornecedor 2", SUMIF(C55,Habilidades!$A$50,D55) * SUMIF(C55,Habilidades!$A$50,Habilidades!$B$50), if(C55="Fornecedor 3", SUMIF(C55,Habilidades!$A$51,D55) * SUMIF(C55,Habilidades!$A$51,Habilidades!$B$51), if(C55="Suporte 1", SUMIF(C55,Habilidades!$A$52,D55) * SUMIF(C55,Habilidades!$A$52,Habilidades!$B$52), if(C55="Suporte 2", SUMIF(C55,Habilidades!$A$53,D55) * SUMIF(C55,Habilidades!$A$53,Habilidades!$B$53), if(C55="Suporte 3", SUMIF(C55,Habilidades!$A$54,D55) * SUMIF(C55,Habilidades!$A$54,Habilidades!$B$54), if(C55="Caça-tesouros 1", SUMIF(C55,Habilidades!$A$55,D55) * SUMIF(C55,Habilidades!$A$55,Habilidades!$B$55), if(C55="Caça-tesouros 2", SUMIF(C55,Habilidades!$A$56,D55) * SUMIF(C55,Habilidades!$A$56,Habilidades!$B$56), if(C55="Caça-tesouros 3", SUMIF(C55,Habilidades!$A$57,D55) * SUMIF(C55,Habilidades!$A$57,Habilidades!$B$57), if(C55="Velocista 1", SUMIF(C55,Habilidades!$A$77,D55) * SUMIF(C55,Habilidades!$A$77,Habilidades!$B$77), if(C55="Velocista 2", SUMIF(C55,Habilidades!$A$78,D55) * SUMIF(C55,Habilidades!$A$78,Habilidades!$B$78), if(C55="Velocista 3", SUMIF(C55,Habilidades!$A$79,D55) * SUMIF(C55,Habilidades!$A$79,Habilidades!$B$79), "-"))))))))))))))))))))))))))))))))))))))</f>
        <v>-</v>
      </c>
      <c r="F55" s="110"/>
      <c r="G55" s="110"/>
      <c r="H55" s="110"/>
      <c r="I55" s="110"/>
      <c r="J55" s="110"/>
      <c r="K55" s="110"/>
      <c r="L55" s="110"/>
      <c r="M55" s="110"/>
      <c r="N55" s="110"/>
    </row>
    <row r="56">
      <c r="C56" s="142"/>
      <c r="D56" s="129">
        <f t="shared" si="2"/>
        <v>0</v>
      </c>
      <c r="E56" s="130" t="str">
        <f>if(C56="Detectar Segredo", SUMIF(C56,Habilidades!$A$11,D56) * SUMIF(C56,Habilidades!$A$11,Habilidades!$B$11), if(C56="Encontrar mágica", SUMIF(C56,Habilidades!$A$12,D56) * SUMIF(C56,Habilidades!$A$12,Habilidades!$B$12), if(C56="Cuidadoso 1", SUMIF(C56,Habilidades!$A$22,D56) * SUMIF(C56,Habilidades!$A$22,Habilidades!$B$22), if(C56="Cuidadoso 2", SUMIF(C56,Habilidades!$A$23,D70) * SUMIF(C56,Habilidades!$A$23,Habilidades!$B$23), if(C56="Cuidadoso 3", SUMIF(C56,Habilidades!$A$24,D56) * SUMIF(C56,Habilidades!$A$24,Habilidades!$B$24), if(C56="Ganancioso 1", SUMIF(C56,Habilidades!$A$25,D56) * SUMIF(C56,Habilidades!$A$25,Habilidades!$B$25), if(C56="Ganancioso 2", SUMIF(C56,Habilidades!$A$26,D56) * SUMIF(C56,Habilidades!$A$26,Habilidades!$B$26), if(C56="Ganancioso 3", SUMIF(C56,Habilidades!$A$27,D56) * SUMIF(C56,Habilidades!$A$27,Habilidades!$B$27), if(C56="Curandeiro 1", SUMIF(C56,Habilidades!$A$28,D56) * SUMIF(C56,Habilidades!$A$28,Habilidades!$B$28), if(C56="Curandeiro 2", SUMIF(C56,Habilidades!$A$29,D56) * SUMIF(C56,Habilidades!$A$29,Habilidades!$B$29), if(C56="Curandeiro 3", SUMIF(C56,Habilidades!$A$30,D56) * SUMIF(C56,Habilidades!$A$30,Habilidades!$B$30), if(C56="Sortudo 1", SUMIF(C56,Habilidades!$A$31,D56) * SUMIF(C56,Habilidades!$A$31,Habilidades!$B$31), if(C56="Sortudo 2", SUMIF(C56,Habilidades!$A$32,D56) * SUMIF(C56,Habilidades!$A$32,Habilidades!$B$32), if(C56="Sortudo 3", SUMIF(C56,Habilidades!$A$33,D56) * SUMIF(C56,Habilidades!$A$33,Habilidades!$B$33), if(C56="Protetor 1", SUMIF(C56,Habilidades!$A$34,D56) * SUMIF(C56,Habilidades!$A$34,Habilidades!$B$34), if(C56="Protetor 2", SUMIF(C56,Habilidades!$A$35,D56) * SUMIF(C56,Habilidades!$A$35,Habilidades!$B$35), if(C56="Protetor 3", SUMIF(C56,Habilidades!$A$36,D56) * SUMIF(C56,Habilidades!$A$36,Habilidades!$B$36), if(C56="Engenhoso 1", SUMIF(C56,Habilidades!$A$40,D56) * SUMIF(C56,Habilidades!$A$40,Habilidades!$B$40), if(C56="Engenhoso 2", SUMIF(C56,Habilidades!$A$41,D56) * SUMIF(C56,Habilidades!$A$41,Habilidades!$B$41), if(C56="Engenhoso 3", SUMIF(C56,Habilidades!$A$42,D56) * SUMIF(C56,Habilidades!$A$42,Habilidades!$B$42), if(C56="Reviver 1", SUMIF(C56,Habilidades!$A$43,D56) * SUMIF(C56,Habilidades!$A$43,Habilidades!$B$43), if(C56="Reviver 2", SUMIF(C56,Habilidades!$A$44,D56) * SUMIF(C56,Habilidades!$A$44,Habilidades!$B$44), if(C56="Reviver 3", SUMIF(C56,Habilidades!$A$45,D56) * SUMIF(C56,Habilidades!$A$45,Habilidades!$B$45), if(C56="Catador 1", SUMIF(C56,Habilidades!$A$46,D56) * SUMIF(C56,Habilidades!$A$46,Habilidades!$B$46), if(C56="Catador 2", SUMIF(C56,Habilidades!$A$47,D56) * SUMIF(C56,Habilidades!$A$47,Habilidades!$B$47), if(C56="Catador 3", SUMIF(C56,Habilidades!$A$48,D56) * SUMIF(C56,Habilidades!$A$48,Habilidades!$B$48), if(C56="Fornecedor 1", SUMIF(C56,Habilidades!$A$49,D56) * SUMIF(C56,Habilidades!$A$49,Habilidades!$B$49), if(C56="Fornecedor 2", SUMIF(C56,Habilidades!$A$50,D56) * SUMIF(C56,Habilidades!$A$50,Habilidades!$B$50), if(C56="Fornecedor 3", SUMIF(C56,Habilidades!$A$51,D56) * SUMIF(C56,Habilidades!$A$51,Habilidades!$B$51), if(C56="Suporte 1", SUMIF(C56,Habilidades!$A$52,D56) * SUMIF(C56,Habilidades!$A$52,Habilidades!$B$52), if(C56="Suporte 2", SUMIF(C56,Habilidades!$A$53,D56) * SUMIF(C56,Habilidades!$A$53,Habilidades!$B$53), if(C56="Suporte 3", SUMIF(C56,Habilidades!$A$54,D56) * SUMIF(C56,Habilidades!$A$54,Habilidades!$B$54), if(C56="Caça-tesouros 1", SUMIF(C56,Habilidades!$A$55,D56) * SUMIF(C56,Habilidades!$A$55,Habilidades!$B$55), if(C56="Caça-tesouros 2", SUMIF(C56,Habilidades!$A$56,D56) * SUMIF(C56,Habilidades!$A$56,Habilidades!$B$56), if(C56="Caça-tesouros 3", SUMIF(C56,Habilidades!$A$57,D56) * SUMIF(C56,Habilidades!$A$57,Habilidades!$B$57), if(C56="Velocista 1", SUMIF(C56,Habilidades!$A$77,D56) * SUMIF(C56,Habilidades!$A$77,Habilidades!$B$77), if(C56="Velocista 2", SUMIF(C56,Habilidades!$A$78,D56) * SUMIF(C56,Habilidades!$A$78,Habilidades!$B$78), if(C56="Velocista 3", SUMIF(C56,Habilidades!$A$79,D56) * SUMIF(C56,Habilidades!$A$79,Habilidades!$B$79), "-"))))))))))))))))))))))))))))))))))))))</f>
        <v>-</v>
      </c>
      <c r="F56" s="110"/>
      <c r="G56" s="110"/>
      <c r="H56" s="110"/>
      <c r="I56" s="110"/>
      <c r="J56" s="110"/>
      <c r="K56" s="110"/>
      <c r="L56" s="110"/>
      <c r="M56" s="110"/>
      <c r="N56" s="110"/>
    </row>
    <row r="57">
      <c r="C57" s="142"/>
      <c r="D57" s="129">
        <f t="shared" si="2"/>
        <v>0</v>
      </c>
      <c r="E57" s="130" t="str">
        <f>if(C57="Detectar Segredo", SUMIF(C57,Habilidades!$A$11,D57) * SUMIF(C57,Habilidades!$A$11,Habilidades!$B$11), if(C57="Encontrar mágica", SUMIF(C57,Habilidades!$A$12,D57) * SUMIF(C57,Habilidades!$A$12,Habilidades!$B$12), if(C57="Cuidadoso 1", SUMIF(C57,Habilidades!$A$22,D57) * SUMIF(C57,Habilidades!$A$22,Habilidades!$B$22), if(C57="Cuidadoso 2", SUMIF(C57,Habilidades!$A$23,#REF!) * SUMIF(C57,Habilidades!$A$23,Habilidades!$B$23), if(C57="Cuidadoso 3", SUMIF(C57,Habilidades!$A$24,D57) * SUMIF(C57,Habilidades!$A$24,Habilidades!$B$24), if(C57="Ganancioso 1", SUMIF(C57,Habilidades!$A$25,D57) * SUMIF(C57,Habilidades!$A$25,Habilidades!$B$25), if(C57="Ganancioso 2", SUMIF(C57,Habilidades!$A$26,D57) * SUMIF(C57,Habilidades!$A$26,Habilidades!$B$26), if(C57="Ganancioso 3", SUMIF(C57,Habilidades!$A$27,D57) * SUMIF(C57,Habilidades!$A$27,Habilidades!$B$27), if(C57="Curandeiro 1", SUMIF(C57,Habilidades!$A$28,D57) * SUMIF(C57,Habilidades!$A$28,Habilidades!$B$28), if(C57="Curandeiro 2", SUMIF(C57,Habilidades!$A$29,D57) * SUMIF(C57,Habilidades!$A$29,Habilidades!$B$29), if(C57="Curandeiro 3", SUMIF(C57,Habilidades!$A$30,D57) * SUMIF(C57,Habilidades!$A$30,Habilidades!$B$30), if(C57="Sortudo 1", SUMIF(C57,Habilidades!$A$31,D57) * SUMIF(C57,Habilidades!$A$31,Habilidades!$B$31), if(C57="Sortudo 2", SUMIF(C57,Habilidades!$A$32,D57) * SUMIF(C57,Habilidades!$A$32,Habilidades!$B$32), if(C57="Sortudo 3", SUMIF(C57,Habilidades!$A$33,D57) * SUMIF(C57,Habilidades!$A$33,Habilidades!$B$33), if(C57="Protetor 1", SUMIF(C57,Habilidades!$A$34,D57) * SUMIF(C57,Habilidades!$A$34,Habilidades!$B$34), if(C57="Protetor 2", SUMIF(C57,Habilidades!$A$35,D57) * SUMIF(C57,Habilidades!$A$35,Habilidades!$B$35), if(C57="Protetor 3", SUMIF(C57,Habilidades!$A$36,D57) * SUMIF(C57,Habilidades!$A$36,Habilidades!$B$36), if(C57="Engenhoso 1", SUMIF(C57,Habilidades!$A$40,D57) * SUMIF(C57,Habilidades!$A$40,Habilidades!$B$40), if(C57="Engenhoso 2", SUMIF(C57,Habilidades!$A$41,D57) * SUMIF(C57,Habilidades!$A$41,Habilidades!$B$41), if(C57="Engenhoso 3", SUMIF(C57,Habilidades!$A$42,D57) * SUMIF(C57,Habilidades!$A$42,Habilidades!$B$42), if(C57="Reviver 1", SUMIF(C57,Habilidades!$A$43,D57) * SUMIF(C57,Habilidades!$A$43,Habilidades!$B$43), if(C57="Reviver 2", SUMIF(C57,Habilidades!$A$44,D57) * SUMIF(C57,Habilidades!$A$44,Habilidades!$B$44), if(C57="Reviver 3", SUMIF(C57,Habilidades!$A$45,D57) * SUMIF(C57,Habilidades!$A$45,Habilidades!$B$45), if(C57="Catador 1", SUMIF(C57,Habilidades!$A$46,D57) * SUMIF(C57,Habilidades!$A$46,Habilidades!$B$46), if(C57="Catador 2", SUMIF(C57,Habilidades!$A$47,D57) * SUMIF(C57,Habilidades!$A$47,Habilidades!$B$47), if(C57="Catador 3", SUMIF(C57,Habilidades!$A$48,D57) * SUMIF(C57,Habilidades!$A$48,Habilidades!$B$48), if(C57="Fornecedor 1", SUMIF(C57,Habilidades!$A$49,D57) * SUMIF(C57,Habilidades!$A$49,Habilidades!$B$49), if(C57="Fornecedor 2", SUMIF(C57,Habilidades!$A$50,D57) * SUMIF(C57,Habilidades!$A$50,Habilidades!$B$50), if(C57="Fornecedor 3", SUMIF(C57,Habilidades!$A$51,D57) * SUMIF(C57,Habilidades!$A$51,Habilidades!$B$51), if(C57="Suporte 1", SUMIF(C57,Habilidades!$A$52,D57) * SUMIF(C57,Habilidades!$A$52,Habilidades!$B$52), if(C57="Suporte 2", SUMIF(C57,Habilidades!$A$53,D57) * SUMIF(C57,Habilidades!$A$53,Habilidades!$B$53), if(C57="Suporte 3", SUMIF(C57,Habilidades!$A$54,D57) * SUMIF(C57,Habilidades!$A$54,Habilidades!$B$54), if(C57="Caça-tesouros 1", SUMIF(C57,Habilidades!$A$55,D57) * SUMIF(C57,Habilidades!$A$55,Habilidades!$B$55), if(C57="Caça-tesouros 2", SUMIF(C57,Habilidades!$A$56,D57) * SUMIF(C57,Habilidades!$A$56,Habilidades!$B$56), if(C57="Caça-tesouros 3", SUMIF(C57,Habilidades!$A$57,D57) * SUMIF(C57,Habilidades!$A$57,Habilidades!$B$57), if(C57="Velocista 1", SUMIF(C57,Habilidades!$A$77,D57) * SUMIF(C57,Habilidades!$A$77,Habilidades!$B$77), if(C57="Velocista 2", SUMIF(C57,Habilidades!$A$78,D57) * SUMIF(C57,Habilidades!$A$78,Habilidades!$B$78), if(C57="Velocista 3", SUMIF(C57,Habilidades!$A$79,D57) * SUMIF(C57,Habilidades!$A$79,Habilidades!$B$79), "-"))))))))))))))))))))))))))))))))))))))</f>
        <v>-</v>
      </c>
      <c r="F57" s="110"/>
      <c r="G57" s="110"/>
      <c r="H57" s="110"/>
      <c r="I57" s="110"/>
      <c r="J57" s="110"/>
      <c r="K57" s="110"/>
      <c r="L57" s="110"/>
      <c r="M57" s="110"/>
      <c r="N57" s="110"/>
    </row>
    <row r="58">
      <c r="C58" s="142"/>
      <c r="D58" s="129">
        <f t="shared" si="2"/>
        <v>0</v>
      </c>
      <c r="E58" s="130" t="str">
        <f>if(C58="Detectar Segredo", SUMIF(C58,Habilidades!$A$11,D58) * SUMIF(C58,Habilidades!$A$11,Habilidades!$B$11), if(C58="Encontrar mágica", SUMIF(C58,Habilidades!$A$12,D58) * SUMIF(C58,Habilidades!$A$12,Habilidades!$B$12), if(C58="Cuidadoso 1", SUMIF(C58,Habilidades!$A$22,D58) * SUMIF(C58,Habilidades!$A$22,Habilidades!$B$22), if(C58="Cuidadoso 2", SUMIF(C58,Habilidades!$A$23,#REF!) * SUMIF(C58,Habilidades!$A$23,Habilidades!$B$23), if(C58="Cuidadoso 3", SUMIF(C58,Habilidades!$A$24,D58) * SUMIF(C58,Habilidades!$A$24,Habilidades!$B$24), if(C58="Ganancioso 1", SUMIF(C58,Habilidades!$A$25,D58) * SUMIF(C58,Habilidades!$A$25,Habilidades!$B$25), if(C58="Ganancioso 2", SUMIF(C58,Habilidades!$A$26,D58) * SUMIF(C58,Habilidades!$A$26,Habilidades!$B$26), if(C58="Ganancioso 3", SUMIF(C58,Habilidades!$A$27,D58) * SUMIF(C58,Habilidades!$A$27,Habilidades!$B$27), if(C58="Curandeiro 1", SUMIF(C58,Habilidades!$A$28,D58) * SUMIF(C58,Habilidades!$A$28,Habilidades!$B$28), if(C58="Curandeiro 2", SUMIF(C58,Habilidades!$A$29,D58) * SUMIF(C58,Habilidades!$A$29,Habilidades!$B$29), if(C58="Curandeiro 3", SUMIF(C58,Habilidades!$A$30,D58) * SUMIF(C58,Habilidades!$A$30,Habilidades!$B$30), if(C58="Sortudo 1", SUMIF(C58,Habilidades!$A$31,D58) * SUMIF(C58,Habilidades!$A$31,Habilidades!$B$31), if(C58="Sortudo 2", SUMIF(C58,Habilidades!$A$32,D58) * SUMIF(C58,Habilidades!$A$32,Habilidades!$B$32), if(C58="Sortudo 3", SUMIF(C58,Habilidades!$A$33,D58) * SUMIF(C58,Habilidades!$A$33,Habilidades!$B$33), if(C58="Protetor 1", SUMIF(C58,Habilidades!$A$34,D58) * SUMIF(C58,Habilidades!$A$34,Habilidades!$B$34), if(C58="Protetor 2", SUMIF(C58,Habilidades!$A$35,D58) * SUMIF(C58,Habilidades!$A$35,Habilidades!$B$35), if(C58="Protetor 3", SUMIF(C58,Habilidades!$A$36,D58) * SUMIF(C58,Habilidades!$A$36,Habilidades!$B$36), if(C58="Engenhoso 1", SUMIF(C58,Habilidades!$A$40,D58) * SUMIF(C58,Habilidades!$A$40,Habilidades!$B$40), if(C58="Engenhoso 2", SUMIF(C58,Habilidades!$A$41,D58) * SUMIF(C58,Habilidades!$A$41,Habilidades!$B$41), if(C58="Engenhoso 3", SUMIF(C58,Habilidades!$A$42,D58) * SUMIF(C58,Habilidades!$A$42,Habilidades!$B$42), if(C58="Reviver 1", SUMIF(C58,Habilidades!$A$43,D58) * SUMIF(C58,Habilidades!$A$43,Habilidades!$B$43), if(C58="Reviver 2", SUMIF(C58,Habilidades!$A$44,D58) * SUMIF(C58,Habilidades!$A$44,Habilidades!$B$44), if(C58="Reviver 3", SUMIF(C58,Habilidades!$A$45,D58) * SUMIF(C58,Habilidades!$A$45,Habilidades!$B$45), if(C58="Catador 1", SUMIF(C58,Habilidades!$A$46,D58) * SUMIF(C58,Habilidades!$A$46,Habilidades!$B$46), if(C58="Catador 2", SUMIF(C58,Habilidades!$A$47,D58) * SUMIF(C58,Habilidades!$A$47,Habilidades!$B$47), if(C58="Catador 3", SUMIF(C58,Habilidades!$A$48,D58) * SUMIF(C58,Habilidades!$A$48,Habilidades!$B$48), if(C58="Fornecedor 1", SUMIF(C58,Habilidades!$A$49,D58) * SUMIF(C58,Habilidades!$A$49,Habilidades!$B$49), if(C58="Fornecedor 2", SUMIF(C58,Habilidades!$A$50,D58) * SUMIF(C58,Habilidades!$A$50,Habilidades!$B$50), if(C58="Fornecedor 3", SUMIF(C58,Habilidades!$A$51,D58) * SUMIF(C58,Habilidades!$A$51,Habilidades!$B$51), if(C58="Suporte 1", SUMIF(C58,Habilidades!$A$52,D58) * SUMIF(C58,Habilidades!$A$52,Habilidades!$B$52), if(C58="Suporte 2", SUMIF(C58,Habilidades!$A$53,D58) * SUMIF(C58,Habilidades!$A$53,Habilidades!$B$53), if(C58="Suporte 3", SUMIF(C58,Habilidades!$A$54,D58) * SUMIF(C58,Habilidades!$A$54,Habilidades!$B$54), if(C58="Caça-tesouros 1", SUMIF(C58,Habilidades!$A$55,D58) * SUMIF(C58,Habilidades!$A$55,Habilidades!$B$55), if(C58="Caça-tesouros 2", SUMIF(C58,Habilidades!$A$56,D58) * SUMIF(C58,Habilidades!$A$56,Habilidades!$B$56), if(C58="Caça-tesouros 3", SUMIF(C58,Habilidades!$A$57,D58) * SUMIF(C58,Habilidades!$A$57,Habilidades!$B$57), if(C58="Velocista 1", SUMIF(C58,Habilidades!$A$77,D58) * SUMIF(C58,Habilidades!$A$77,Habilidades!$B$77), if(C58="Velocista 2", SUMIF(C58,Habilidades!$A$78,D58) * SUMIF(C58,Habilidades!$A$78,Habilidades!$B$78), if(C58="Velocista 3", SUMIF(C58,Habilidades!$A$79,D58) * SUMIF(C58,Habilidades!$A$79,Habilidades!$B$79), "-"))))))))))))))))))))))))))))))))))))))</f>
        <v>-</v>
      </c>
      <c r="F58" s="110"/>
      <c r="G58" s="110"/>
      <c r="H58" s="110"/>
      <c r="I58" s="110"/>
      <c r="J58" s="110"/>
      <c r="K58" s="110"/>
      <c r="L58" s="110"/>
      <c r="M58" s="110"/>
      <c r="N58" s="110"/>
    </row>
    <row r="59">
      <c r="C59" s="142"/>
      <c r="D59" s="129">
        <f t="shared" si="2"/>
        <v>0</v>
      </c>
      <c r="E59" s="130" t="str">
        <f>if(C59="Detectar Segredo", SUMIF(C59,Habilidades!$A$11,D59) * SUMIF(C59,Habilidades!$A$11,Habilidades!$B$11), if(C59="Encontrar mágica", SUMIF(C59,Habilidades!$A$12,D59) * SUMIF(C59,Habilidades!$A$12,Habilidades!$B$12), if(C59="Cuidadoso 1", SUMIF(C59,Habilidades!$A$22,D59) * SUMIF(C59,Habilidades!$A$22,Habilidades!$B$22), if(C59="Cuidadoso 2", SUMIF(C59,Habilidades!$A$23,#REF!) * SUMIF(C59,Habilidades!$A$23,Habilidades!$B$23), if(C59="Cuidadoso 3", SUMIF(C59,Habilidades!$A$24,D59) * SUMIF(C59,Habilidades!$A$24,Habilidades!$B$24), if(C59="Ganancioso 1", SUMIF(C59,Habilidades!$A$25,D59) * SUMIF(C59,Habilidades!$A$25,Habilidades!$B$25), if(C59="Ganancioso 2", SUMIF(C59,Habilidades!$A$26,D59) * SUMIF(C59,Habilidades!$A$26,Habilidades!$B$26), if(C59="Ganancioso 3", SUMIF(C59,Habilidades!$A$27,D59) * SUMIF(C59,Habilidades!$A$27,Habilidades!$B$27), if(C59="Curandeiro 1", SUMIF(C59,Habilidades!$A$28,D59) * SUMIF(C59,Habilidades!$A$28,Habilidades!$B$28), if(C59="Curandeiro 2", SUMIF(C59,Habilidades!$A$29,D59) * SUMIF(C59,Habilidades!$A$29,Habilidades!$B$29), if(C59="Curandeiro 3", SUMIF(C59,Habilidades!$A$30,D59) * SUMIF(C59,Habilidades!$A$30,Habilidades!$B$30), if(C59="Sortudo 1", SUMIF(C59,Habilidades!$A$31,D59) * SUMIF(C59,Habilidades!$A$31,Habilidades!$B$31), if(C59="Sortudo 2", SUMIF(C59,Habilidades!$A$32,D59) * SUMIF(C59,Habilidades!$A$32,Habilidades!$B$32), if(C59="Sortudo 3", SUMIF(C59,Habilidades!$A$33,D59) * SUMIF(C59,Habilidades!$A$33,Habilidades!$B$33), if(C59="Protetor 1", SUMIF(C59,Habilidades!$A$34,D59) * SUMIF(C59,Habilidades!$A$34,Habilidades!$B$34), if(C59="Protetor 2", SUMIF(C59,Habilidades!$A$35,D59) * SUMIF(C59,Habilidades!$A$35,Habilidades!$B$35), if(C59="Protetor 3", SUMIF(C59,Habilidades!$A$36,D59) * SUMIF(C59,Habilidades!$A$36,Habilidades!$B$36), if(C59="Engenhoso 1", SUMIF(C59,Habilidades!$A$40,D59) * SUMIF(C59,Habilidades!$A$40,Habilidades!$B$40), if(C59="Engenhoso 2", SUMIF(C59,Habilidades!$A$41,D59) * SUMIF(C59,Habilidades!$A$41,Habilidades!$B$41), if(C59="Engenhoso 3", SUMIF(C59,Habilidades!$A$42,D59) * SUMIF(C59,Habilidades!$A$42,Habilidades!$B$42), if(C59="Reviver 1", SUMIF(C59,Habilidades!$A$43,D59) * SUMIF(C59,Habilidades!$A$43,Habilidades!$B$43), if(C59="Reviver 2", SUMIF(C59,Habilidades!$A$44,D59) * SUMIF(C59,Habilidades!$A$44,Habilidades!$B$44), if(C59="Reviver 3", SUMIF(C59,Habilidades!$A$45,D59) * SUMIF(C59,Habilidades!$A$45,Habilidades!$B$45), if(C59="Catador 1", SUMIF(C59,Habilidades!$A$46,D59) * SUMIF(C59,Habilidades!$A$46,Habilidades!$B$46), if(C59="Catador 2", SUMIF(C59,Habilidades!$A$47,D59) * SUMIF(C59,Habilidades!$A$47,Habilidades!$B$47), if(C59="Catador 3", SUMIF(C59,Habilidades!$A$48,D59) * SUMIF(C59,Habilidades!$A$48,Habilidades!$B$48), if(C59="Fornecedor 1", SUMIF(C59,Habilidades!$A$49,D59) * SUMIF(C59,Habilidades!$A$49,Habilidades!$B$49), if(C59="Fornecedor 2", SUMIF(C59,Habilidades!$A$50,D59) * SUMIF(C59,Habilidades!$A$50,Habilidades!$B$50), if(C59="Fornecedor 3", SUMIF(C59,Habilidades!$A$51,D59) * SUMIF(C59,Habilidades!$A$51,Habilidades!$B$51), if(C59="Suporte 1", SUMIF(C59,Habilidades!$A$52,D59) * SUMIF(C59,Habilidades!$A$52,Habilidades!$B$52), if(C59="Suporte 2", SUMIF(C59,Habilidades!$A$53,D59) * SUMIF(C59,Habilidades!$A$53,Habilidades!$B$53), if(C59="Suporte 3", SUMIF(C59,Habilidades!$A$54,D59) * SUMIF(C59,Habilidades!$A$54,Habilidades!$B$54), if(C59="Caça-tesouros 1", SUMIF(C59,Habilidades!$A$55,D59) * SUMIF(C59,Habilidades!$A$55,Habilidades!$B$55), if(C59="Caça-tesouros 2", SUMIF(C59,Habilidades!$A$56,D59) * SUMIF(C59,Habilidades!$A$56,Habilidades!$B$56), if(C59="Caça-tesouros 3", SUMIF(C59,Habilidades!$A$57,D59) * SUMIF(C59,Habilidades!$A$57,Habilidades!$B$57), if(C59="Velocista 1", SUMIF(C59,Habilidades!$A$77,D59) * SUMIF(C59,Habilidades!$A$77,Habilidades!$B$77), if(C59="Velocista 2", SUMIF(C59,Habilidades!$A$78,D59) * SUMIF(C59,Habilidades!$A$78,Habilidades!$B$78), if(C59="Velocista 3", SUMIF(C59,Habilidades!$A$79,D59) * SUMIF(C59,Habilidades!$A$79,Habilidades!$B$79), "-"))))))))))))))))))))))))))))))))))))))</f>
        <v>-</v>
      </c>
      <c r="F59" s="110"/>
      <c r="G59" s="110"/>
      <c r="H59" s="110"/>
      <c r="I59" s="110"/>
      <c r="J59" s="110"/>
      <c r="K59" s="110"/>
      <c r="L59" s="110"/>
      <c r="M59" s="110"/>
      <c r="N59" s="110"/>
    </row>
    <row r="60">
      <c r="C60" s="142"/>
      <c r="D60" s="129">
        <f t="shared" si="2"/>
        <v>0</v>
      </c>
      <c r="E60" s="130" t="str">
        <f>if(C60="Detectar Segredo", SUMIF(C60,Habilidades!$A$11,D60) * SUMIF(C60,Habilidades!$A$11,Habilidades!$B$11), if(C60="Encontrar mágica", SUMIF(C60,Habilidades!$A$12,D60) * SUMIF(C60,Habilidades!$A$12,Habilidades!$B$12), if(C60="Cuidadoso 1", SUMIF(C60,Habilidades!$A$22,D60) * SUMIF(C60,Habilidades!$A$22,Habilidades!$B$22), if(C60="Cuidadoso 2", SUMIF(C60,Habilidades!$A$23,#REF!) * SUMIF(C60,Habilidades!$A$23,Habilidades!$B$23), if(C60="Cuidadoso 3", SUMIF(C60,Habilidades!$A$24,D60) * SUMIF(C60,Habilidades!$A$24,Habilidades!$B$24), if(C60="Ganancioso 1", SUMIF(C60,Habilidades!$A$25,D60) * SUMIF(C60,Habilidades!$A$25,Habilidades!$B$25), if(C60="Ganancioso 2", SUMIF(C60,Habilidades!$A$26,D60) * SUMIF(C60,Habilidades!$A$26,Habilidades!$B$26), if(C60="Ganancioso 3", SUMIF(C60,Habilidades!$A$27,D60) * SUMIF(C60,Habilidades!$A$27,Habilidades!$B$27), if(C60="Curandeiro 1", SUMIF(C60,Habilidades!$A$28,D60) * SUMIF(C60,Habilidades!$A$28,Habilidades!$B$28), if(C60="Curandeiro 2", SUMIF(C60,Habilidades!$A$29,D60) * SUMIF(C60,Habilidades!$A$29,Habilidades!$B$29), if(C60="Curandeiro 3", SUMIF(C60,Habilidades!$A$30,D60) * SUMIF(C60,Habilidades!$A$30,Habilidades!$B$30), if(C60="Sortudo 1", SUMIF(C60,Habilidades!$A$31,D60) * SUMIF(C60,Habilidades!$A$31,Habilidades!$B$31), if(C60="Sortudo 2", SUMIF(C60,Habilidades!$A$32,D60) * SUMIF(C60,Habilidades!$A$32,Habilidades!$B$32), if(C60="Sortudo 3", SUMIF(C60,Habilidades!$A$33,D60) * SUMIF(C60,Habilidades!$A$33,Habilidades!$B$33), if(C60="Protetor 1", SUMIF(C60,Habilidades!$A$34,D60) * SUMIF(C60,Habilidades!$A$34,Habilidades!$B$34), if(C60="Protetor 2", SUMIF(C60,Habilidades!$A$35,D60) * SUMIF(C60,Habilidades!$A$35,Habilidades!$B$35), if(C60="Protetor 3", SUMIF(C60,Habilidades!$A$36,D60) * SUMIF(C60,Habilidades!$A$36,Habilidades!$B$36), if(C60="Engenhoso 1", SUMIF(C60,Habilidades!$A$40,D60) * SUMIF(C60,Habilidades!$A$40,Habilidades!$B$40), if(C60="Engenhoso 2", SUMIF(C60,Habilidades!$A$41,D60) * SUMIF(C60,Habilidades!$A$41,Habilidades!$B$41), if(C60="Engenhoso 3", SUMIF(C60,Habilidades!$A$42,D60) * SUMIF(C60,Habilidades!$A$42,Habilidades!$B$42), if(C60="Reviver 1", SUMIF(C60,Habilidades!$A$43,D60) * SUMIF(C60,Habilidades!$A$43,Habilidades!$B$43), if(C60="Reviver 2", SUMIF(C60,Habilidades!$A$44,D60) * SUMIF(C60,Habilidades!$A$44,Habilidades!$B$44), if(C60="Reviver 3", SUMIF(C60,Habilidades!$A$45,D60) * SUMIF(C60,Habilidades!$A$45,Habilidades!$B$45), if(C60="Catador 1", SUMIF(C60,Habilidades!$A$46,D60) * SUMIF(C60,Habilidades!$A$46,Habilidades!$B$46), if(C60="Catador 2", SUMIF(C60,Habilidades!$A$47,D60) * SUMIF(C60,Habilidades!$A$47,Habilidades!$B$47), if(C60="Catador 3", SUMIF(C60,Habilidades!$A$48,D60) * SUMIF(C60,Habilidades!$A$48,Habilidades!$B$48), if(C60="Fornecedor 1", SUMIF(C60,Habilidades!$A$49,D60) * SUMIF(C60,Habilidades!$A$49,Habilidades!$B$49), if(C60="Fornecedor 2", SUMIF(C60,Habilidades!$A$50,D60) * SUMIF(C60,Habilidades!$A$50,Habilidades!$B$50), if(C60="Fornecedor 3", SUMIF(C60,Habilidades!$A$51,D60) * SUMIF(C60,Habilidades!$A$51,Habilidades!$B$51), if(C60="Suporte 1", SUMIF(C60,Habilidades!$A$52,D60) * SUMIF(C60,Habilidades!$A$52,Habilidades!$B$52), if(C60="Suporte 2", SUMIF(C60,Habilidades!$A$53,D60) * SUMIF(C60,Habilidades!$A$53,Habilidades!$B$53), if(C60="Suporte 3", SUMIF(C60,Habilidades!$A$54,D60) * SUMIF(C60,Habilidades!$A$54,Habilidades!$B$54), if(C60="Caça-tesouros 1", SUMIF(C60,Habilidades!$A$55,D60) * SUMIF(C60,Habilidades!$A$55,Habilidades!$B$55), if(C60="Caça-tesouros 2", SUMIF(C60,Habilidades!$A$56,D60) * SUMIF(C60,Habilidades!$A$56,Habilidades!$B$56), if(C60="Caça-tesouros 3", SUMIF(C60,Habilidades!$A$57,D60) * SUMIF(C60,Habilidades!$A$57,Habilidades!$B$57), if(C60="Velocista 1", SUMIF(C60,Habilidades!$A$77,D60) * SUMIF(C60,Habilidades!$A$77,Habilidades!$B$77), if(C60="Velocista 2", SUMIF(C60,Habilidades!$A$78,D60) * SUMIF(C60,Habilidades!$A$78,Habilidades!$B$78), if(C60="Velocista 3", SUMIF(C60,Habilidades!$A$79,D60) * SUMIF(C60,Habilidades!$A$79,Habilidades!$B$79), "-"))))))))))))))))))))))))))))))))))))))</f>
        <v>-</v>
      </c>
      <c r="F60" s="110"/>
      <c r="G60" s="110"/>
      <c r="H60" s="110"/>
      <c r="I60" s="110"/>
      <c r="J60" s="110"/>
      <c r="K60" s="110"/>
      <c r="L60" s="110"/>
      <c r="M60" s="110"/>
      <c r="N60" s="110"/>
    </row>
    <row r="61"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</row>
    <row r="62"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</row>
    <row r="63"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</row>
    <row r="64"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</row>
    <row r="65"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</row>
    <row r="66"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</row>
    <row r="67"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</row>
    <row r="68"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</row>
    <row r="69"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</row>
    <row r="70"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</sheetData>
  <mergeCells count="6">
    <mergeCell ref="A1:B70"/>
    <mergeCell ref="C10:M10"/>
    <mergeCell ref="K19:L19"/>
    <mergeCell ref="K20:L20"/>
    <mergeCell ref="H22:I22"/>
    <mergeCell ref="H23:I23"/>
  </mergeCells>
  <conditionalFormatting sqref="H20">
    <cfRule type="cellIs" dxfId="6" priority="1" operator="greaterThan">
      <formula>100</formula>
    </cfRule>
  </conditionalFormatting>
  <conditionalFormatting sqref="H20">
    <cfRule type="cellIs" dxfId="7" priority="2" operator="lessThanOrEqual">
      <formula>100</formula>
    </cfRule>
  </conditionalFormatting>
  <conditionalFormatting sqref="K27">
    <cfRule type="cellIs" dxfId="9" priority="3" operator="greaterThan">
      <formula>100</formula>
    </cfRule>
  </conditionalFormatting>
  <conditionalFormatting sqref="K27">
    <cfRule type="cellIs" dxfId="8" priority="4" operator="lessThanOrEqual">
      <formula>100</formula>
    </cfRule>
  </conditionalFormatting>
  <conditionalFormatting sqref="H20">
    <cfRule type="cellIs" dxfId="8" priority="5" operator="lessThan">
      <formula>100</formula>
    </cfRule>
  </conditionalFormatting>
  <conditionalFormatting sqref="H20:I20">
    <cfRule type="cellIs" dxfId="9" priority="6" operator="greaterThan">
      <formula>100</formula>
    </cfRule>
  </conditionalFormatting>
  <conditionalFormatting sqref="I20">
    <cfRule type="cellIs" dxfId="8" priority="7" operator="lessThanOrEqual">
      <formula>100</formula>
    </cfRule>
  </conditionalFormatting>
  <conditionalFormatting sqref="I20">
    <cfRule type="cellIs" dxfId="9" priority="8" operator="greaterThan">
      <formula>100</formula>
    </cfRule>
  </conditionalFormatting>
  <dataValidations>
    <dataValidation type="list" allowBlank="1" showErrorMessage="1" sqref="H3">
      <formula1>Listas3!$M$600:$M$798</formula1>
    </dataValidation>
    <dataValidation type="list" allowBlank="1" showErrorMessage="1" sqref="G8">
      <formula1>Listas3!$K$600:$K$798</formula1>
    </dataValidation>
    <dataValidation type="list" allowBlank="1" showErrorMessage="1" sqref="H4">
      <formula1>Listas3!$O$600:$O$798</formula1>
    </dataValidation>
    <dataValidation type="list" allowBlank="1" showErrorMessage="1" sqref="G3">
      <formula1>Listas3!$A$600:$A$798</formula1>
    </dataValidation>
    <dataValidation type="list" allowBlank="1" showErrorMessage="1" sqref="J6">
      <formula1>Listas3!$G$1196:$G$1394</formula1>
    </dataValidation>
    <dataValidation type="list" allowBlank="1" showErrorMessage="1" sqref="H6">
      <formula1>Listas3!$S$600:$S$798</formula1>
    </dataValidation>
    <dataValidation type="list" allowBlank="1" showErrorMessage="1" sqref="J4">
      <formula1>Listas3!$C$1196:$C$1394</formula1>
    </dataValidation>
    <dataValidation type="list" allowBlank="1" showErrorMessage="1" sqref="E3">
      <formula1>Listas3!$M$1:$M$200</formula1>
    </dataValidation>
    <dataValidation type="list" allowBlank="1" showErrorMessage="1" sqref="G4">
      <formula1>Listas3!$C$600:$C$798</formula1>
    </dataValidation>
    <dataValidation type="list" allowBlank="1" showErrorMessage="1" sqref="H7">
      <formula1>Listas3!$U$600:$U$798</formula1>
    </dataValidation>
    <dataValidation type="list" allowBlank="1" showErrorMessage="1" sqref="H8">
      <formula1>Listas3!$W$600:$W$798</formula1>
    </dataValidation>
    <dataValidation type="list" allowBlank="1" showErrorMessage="1" sqref="E4">
      <formula1>Listas3!$O$1:$O$200</formula1>
    </dataValidation>
    <dataValidation type="list" allowBlank="1" showErrorMessage="1" sqref="J7">
      <formula1>Listas3!$I$1196:$I$1394</formula1>
    </dataValidation>
    <dataValidation type="list" allowBlank="1" showErrorMessage="1" sqref="J3">
      <formula1>Listas3!$A$1196:$A$1394</formula1>
    </dataValidation>
    <dataValidation type="list" allowBlank="1" showErrorMessage="1" sqref="H5">
      <formula1>Listas3!$Q$600:$Q$798</formula1>
    </dataValidation>
    <dataValidation type="list" allowBlank="1" showErrorMessage="1" sqref="D6">
      <formula1>Listas3!$G$1:$G$200</formula1>
    </dataValidation>
    <dataValidation type="list" allowBlank="1" showErrorMessage="1" sqref="E5">
      <formula1>Listas3!$Q$1:$Q$200</formula1>
    </dataValidation>
    <dataValidation type="list" allowBlank="1" showErrorMessage="1" sqref="D7">
      <formula1>Listas3!$I$1:$I$200</formula1>
    </dataValidation>
    <dataValidation type="list" allowBlank="1" showErrorMessage="1" sqref="I6">
      <formula1>Listas3!$AE$600:$AE$798</formula1>
    </dataValidation>
    <dataValidation type="list" allowBlank="1" showErrorMessage="1" sqref="I7">
      <formula1>Listas3!$AG$600:$AG$798</formula1>
    </dataValidation>
    <dataValidation type="list" allowBlank="1" showErrorMessage="1" sqref="E6">
      <formula1>Listas3!$S$1:$S$200</formula1>
    </dataValidation>
    <dataValidation type="list" allowBlank="1" showErrorMessage="1" sqref="D5">
      <formula1>Listas3!E1:E200</formula1>
    </dataValidation>
    <dataValidation type="list" allowBlank="1" showErrorMessage="1" sqref="F7">
      <formula1>Listas3!$AG$1:$AG$200</formula1>
    </dataValidation>
    <dataValidation type="list" allowBlank="1" showErrorMessage="1" sqref="F6">
      <formula1>Listas3!$AE$1:$AE$200</formula1>
    </dataValidation>
    <dataValidation type="list" allowBlank="1" showErrorMessage="1" sqref="G7">
      <formula1>Listas3!$I$600:$I$798</formula1>
    </dataValidation>
    <dataValidation type="list" allowBlank="1" showErrorMessage="1" sqref="F8">
      <formula1>Listas3!$AI$1:$AI$200</formula1>
    </dataValidation>
    <dataValidation type="list" allowBlank="1" showErrorMessage="1" sqref="D4">
      <formula1>Listas3!$C$1:$C$200</formula1>
    </dataValidation>
    <dataValidation type="list" allowBlank="1" showErrorMessage="1" sqref="F4">
      <formula1>Listas3!$AA$1:$AA$200</formula1>
    </dataValidation>
    <dataValidation type="list" allowBlank="1" showErrorMessage="1" sqref="F5">
      <formula1>Listas3!$AC$1:$AC$200</formula1>
    </dataValidation>
    <dataValidation type="list" allowBlank="1" showErrorMessage="1" sqref="I8">
      <formula1>Listas3!$AI$600:$AI$798</formula1>
    </dataValidation>
    <dataValidation type="list" allowBlank="1" showErrorMessage="1" sqref="J8">
      <formula1>Listas3!$K$1196:$K$1394</formula1>
    </dataValidation>
    <dataValidation type="list" allowBlank="1" showErrorMessage="1" sqref="G5">
      <formula1>Listas3!$E$600:$E$798</formula1>
    </dataValidation>
    <dataValidation type="list" allowBlank="1" showErrorMessage="1" sqref="I3">
      <formula1>Listas3!$Y$600:$Y$798</formula1>
    </dataValidation>
    <dataValidation type="list" allowBlank="1" showErrorMessage="1" sqref="E7">
      <formula1>Listas3!$U$1:$U$200</formula1>
    </dataValidation>
    <dataValidation type="list" allowBlank="1" showErrorMessage="1" sqref="I5">
      <formula1>Listas3!$AC$600:$AC$798</formula1>
    </dataValidation>
    <dataValidation type="list" allowBlank="1" showErrorMessage="1" sqref="F3">
      <formula1>Listas3!$Y$1:$Y$200</formula1>
    </dataValidation>
    <dataValidation type="list" allowBlank="1" showErrorMessage="1" sqref="G6">
      <formula1>Listas3!$G$600:$G$798</formula1>
    </dataValidation>
    <dataValidation type="list" allowBlank="1" showErrorMessage="1" sqref="D8">
      <formula1>Listas3!$K$1:$K$200</formula1>
    </dataValidation>
    <dataValidation type="list" allowBlank="1" showErrorMessage="1" sqref="E8">
      <formula1>Listas3!$W$1:$W$200</formula1>
    </dataValidation>
    <dataValidation type="list" allowBlank="1" showErrorMessage="1" sqref="J5">
      <formula1>Listas3!$E$1196:$E$1394</formula1>
    </dataValidation>
    <dataValidation type="list" allowBlank="1" showErrorMessage="1" sqref="C3:C8">
      <formula1>Personagem!$B$1:$AC$1</formula1>
    </dataValidation>
    <dataValidation type="list" allowBlank="1" showErrorMessage="1" sqref="I4">
      <formula1>Listas3!$AA$600:$AA$798</formula1>
    </dataValidation>
    <dataValidation type="list" allowBlank="1" showErrorMessage="1" sqref="D3">
      <formula1>Listas3!$A$1:$A$200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0.38" outlineLevel="1"/>
    <col customWidth="1" min="2" max="2" width="2.63"/>
    <col customWidth="1" min="3" max="3" width="11.5"/>
    <col customWidth="1" min="4" max="4" width="20.5"/>
    <col customWidth="1" min="5" max="5" width="14.63"/>
    <col customWidth="1" min="6" max="6" width="15.63"/>
    <col customWidth="1" min="7" max="7" width="16.0"/>
    <col customWidth="1" min="8" max="8" width="18.0"/>
    <col customWidth="1" min="9" max="9" width="17.38"/>
    <col customWidth="1" min="10" max="10" width="17.25"/>
    <col customWidth="1" min="11" max="11" width="17.38"/>
    <col customWidth="1" min="12" max="12" width="17.25"/>
    <col customWidth="1" min="13" max="14" width="15.75"/>
  </cols>
  <sheetData>
    <row r="1">
      <c r="A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>
      <c r="C2" s="112" t="s">
        <v>807</v>
      </c>
      <c r="D2" s="113" t="s">
        <v>35</v>
      </c>
      <c r="E2" s="113" t="s">
        <v>44</v>
      </c>
      <c r="F2" s="113" t="s">
        <v>48</v>
      </c>
      <c r="G2" s="113" t="s">
        <v>51</v>
      </c>
      <c r="H2" s="113" t="s">
        <v>54</v>
      </c>
      <c r="I2" s="113" t="s">
        <v>57</v>
      </c>
      <c r="J2" s="113" t="s">
        <v>62</v>
      </c>
      <c r="K2" s="110"/>
      <c r="L2" s="110"/>
      <c r="M2" s="110"/>
      <c r="N2" s="110"/>
    </row>
    <row r="3">
      <c r="C3" s="114" t="s">
        <v>30</v>
      </c>
      <c r="D3" s="120" t="s">
        <v>385</v>
      </c>
      <c r="E3" s="114" t="s">
        <v>702</v>
      </c>
      <c r="F3" s="116" t="s">
        <v>292</v>
      </c>
      <c r="G3" s="152" t="s">
        <v>489</v>
      </c>
      <c r="H3" s="114" t="s">
        <v>665</v>
      </c>
      <c r="I3" s="114" t="s">
        <v>575</v>
      </c>
      <c r="J3" s="116" t="s">
        <v>638</v>
      </c>
      <c r="K3" s="117"/>
      <c r="L3" s="110"/>
      <c r="M3" s="110"/>
      <c r="N3" s="110"/>
    </row>
    <row r="4">
      <c r="C4" s="114" t="s">
        <v>15</v>
      </c>
      <c r="D4" s="151" t="s">
        <v>401</v>
      </c>
      <c r="E4" s="116" t="s">
        <v>688</v>
      </c>
      <c r="F4" s="116" t="s">
        <v>302</v>
      </c>
      <c r="G4" s="119" t="s">
        <v>526</v>
      </c>
      <c r="H4" s="154" t="s">
        <v>220</v>
      </c>
      <c r="I4" s="119" t="s">
        <v>443</v>
      </c>
      <c r="J4" s="119" t="s">
        <v>621</v>
      </c>
      <c r="K4" s="117"/>
      <c r="L4" s="110"/>
      <c r="M4" s="110"/>
      <c r="N4" s="110"/>
    </row>
    <row r="5">
      <c r="C5" s="114" t="s">
        <v>8</v>
      </c>
      <c r="D5" s="115" t="s">
        <v>401</v>
      </c>
      <c r="E5" s="114" t="s">
        <v>175</v>
      </c>
      <c r="F5" s="116" t="s">
        <v>302</v>
      </c>
      <c r="G5" s="121" t="s">
        <v>526</v>
      </c>
      <c r="H5" s="121" t="s">
        <v>214</v>
      </c>
      <c r="I5" s="121" t="s">
        <v>375</v>
      </c>
      <c r="J5" s="116" t="s">
        <v>638</v>
      </c>
      <c r="K5" s="117"/>
      <c r="L5" s="110"/>
      <c r="M5" s="110"/>
      <c r="N5" s="110"/>
    </row>
    <row r="6">
      <c r="C6" s="114" t="s">
        <v>14</v>
      </c>
      <c r="D6" s="118" t="s">
        <v>385</v>
      </c>
      <c r="E6" s="119" t="s">
        <v>175</v>
      </c>
      <c r="F6" s="119" t="s">
        <v>302</v>
      </c>
      <c r="G6" s="155" t="s">
        <v>526</v>
      </c>
      <c r="H6" s="116" t="s">
        <v>220</v>
      </c>
      <c r="I6" s="119" t="s">
        <v>375</v>
      </c>
      <c r="J6" s="119" t="s">
        <v>621</v>
      </c>
      <c r="K6" s="117"/>
      <c r="L6" s="110"/>
      <c r="M6" s="110"/>
      <c r="N6" s="110"/>
    </row>
    <row r="7">
      <c r="C7" s="114" t="s">
        <v>31</v>
      </c>
      <c r="D7" s="115" t="s">
        <v>255</v>
      </c>
      <c r="E7" s="116" t="s">
        <v>688</v>
      </c>
      <c r="F7" s="116" t="s">
        <v>292</v>
      </c>
      <c r="G7" s="152" t="s">
        <v>489</v>
      </c>
      <c r="H7" s="121" t="s">
        <v>648</v>
      </c>
      <c r="I7" s="121" t="s">
        <v>443</v>
      </c>
      <c r="J7" s="143" t="s">
        <v>621</v>
      </c>
      <c r="K7" s="117"/>
      <c r="L7" s="110"/>
      <c r="M7" s="110"/>
      <c r="N7" s="110"/>
    </row>
    <row r="8">
      <c r="C8" s="114"/>
      <c r="D8" s="118"/>
      <c r="E8" s="119"/>
      <c r="F8" s="119"/>
      <c r="G8" s="119"/>
      <c r="H8" s="119"/>
      <c r="I8" s="119"/>
      <c r="J8" s="119"/>
      <c r="K8" s="117"/>
      <c r="L8" s="110"/>
      <c r="M8" s="110"/>
      <c r="N8" s="110"/>
    </row>
    <row r="9">
      <c r="C9" s="110"/>
      <c r="D9" s="117"/>
      <c r="E9" s="117"/>
      <c r="F9" s="117"/>
      <c r="G9" s="117"/>
      <c r="H9" s="117"/>
      <c r="I9" s="117"/>
      <c r="J9" s="117"/>
      <c r="K9" s="117"/>
      <c r="L9" s="110"/>
      <c r="M9" s="110"/>
      <c r="N9" s="110"/>
    </row>
    <row r="10">
      <c r="C10" s="122" t="s">
        <v>808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10"/>
    </row>
    <row r="11">
      <c r="C11" s="125" t="str">
        <f t="shared" ref="C11:C16" si="1">C3</f>
        <v>Odette</v>
      </c>
      <c r="D11" s="126" t="str">
        <f>IFERROR(__xludf.DUMMYFUNCTION("FILTER('Armas do jogo'!E3:E70,'Armas do jogo'!B3:B70=D3)"),"Energético 3")</f>
        <v>Energético 3</v>
      </c>
      <c r="E11" s="126" t="str">
        <f>IFERROR(__xludf.DUMMYFUNCTION("FILTER('Armas do jogo'!E3:E70,'Armas do jogo'!B3:B70=E3)"),"Encontrar mágica")</f>
        <v>Encontrar mágica</v>
      </c>
      <c r="F11" s="126" t="str">
        <f>IFERROR(__xludf.DUMMYFUNCTION("FILTER('Armas do jogo'!E3:E70,'Armas do jogo'!B3:B70=F3)"),"Encontrar mágica")</f>
        <v>Encontrar mágica</v>
      </c>
      <c r="G11" s="126" t="str">
        <f>IFERROR(__xludf.DUMMYFUNCTION("FILTER('Armas do jogo'!E3:E70,'Armas do jogo'!B3:B70=G3)"),"Encontrar mágica")</f>
        <v>Encontrar mágica</v>
      </c>
      <c r="H11" s="126" t="str">
        <f>IFERROR(__xludf.DUMMYFUNCTION("FILTER('Armas do jogo'!E3:E70,'Armas do jogo'!B3:B70=H3)"),"Velocista 3")</f>
        <v>Velocista 3</v>
      </c>
      <c r="I11" s="126" t="str">
        <f>IFERROR(__xludf.DUMMYFUNCTION("FILTER('Armas do jogo'!E3:E70,'Armas do jogo'!B3:B70=I3)"),"Velocista 3")</f>
        <v>Velocista 3</v>
      </c>
      <c r="J11" s="126" t="str">
        <f>IFERROR(__xludf.DUMMYFUNCTION("FILTER('Armas do jogo'!E3:E70,'Armas do jogo'!B3:B70=J3)"),"Encontrar mágica")</f>
        <v>Encontrar mágica</v>
      </c>
      <c r="K11" s="126" t="str">
        <f>'Heróis'!A$13</f>
        <v>Cuidadoso 2</v>
      </c>
      <c r="L11" s="126" t="str">
        <f>'Heróis'!$A$14</f>
        <v>Suporte 2</v>
      </c>
      <c r="M11" s="127" t="str">
        <f>'Heróis'!$A$15</f>
        <v>Amazona 2</v>
      </c>
      <c r="N11" s="110"/>
    </row>
    <row r="12">
      <c r="C12" s="125" t="str">
        <f t="shared" si="1"/>
        <v>Francesca</v>
      </c>
      <c r="D12" s="126" t="str">
        <f>IFERROR(__xludf.DUMMYFUNCTION("FILTER('Armas do jogo'!E4:E658,'Armas do jogo'!B4:B658=D4)"),"Encontrar mágica")</f>
        <v>Encontrar mágica</v>
      </c>
      <c r="E12" s="126" t="str">
        <f>IFERROR(__xludf.DUMMYFUNCTION("FILTER('Armas do jogo'!E4:E658,'Armas do jogo'!B4:B658=E4)"),"Reviver 3")</f>
        <v>Reviver 3</v>
      </c>
      <c r="F12" s="126" t="str">
        <f>IFERROR(__xludf.DUMMYFUNCTION("FILTER('Armas do jogo'!E4:E658,'Armas do jogo'!B4:B658=F4)"),"Reviver 2")</f>
        <v>Reviver 2</v>
      </c>
      <c r="G12" s="126" t="str">
        <f>IFERROR(__xludf.DUMMYFUNCTION("FILTER('Armas do jogo'!E4:E658,'Armas do jogo'!B4:B658=G4)"),"Encontrar mágica")</f>
        <v>Encontrar mágica</v>
      </c>
      <c r="H12" s="126" t="str">
        <f>IFERROR(__xludf.DUMMYFUNCTION("FILTER('Armas do jogo'!E4:E658,'Armas do jogo'!B4:B658=H4)"),"Encontrar mágica")</f>
        <v>Encontrar mágica</v>
      </c>
      <c r="I12" s="126" t="str">
        <f>IFERROR(__xludf.DUMMYFUNCTION("FILTER('Armas do jogo'!E4:E658,'Armas do jogo'!B4:B658=I4)"),"Energético 3")</f>
        <v>Energético 3</v>
      </c>
      <c r="J12" s="126" t="str">
        <f>IFERROR(__xludf.DUMMYFUNCTION("FILTER('Armas do jogo'!E4:E658,'Armas do jogo'!B4:B658=J4)"),"Encontrar mágica")</f>
        <v>Encontrar mágica</v>
      </c>
      <c r="K12" s="126" t="str">
        <f>'Heróis'!B$13</f>
        <v>Cuidadoso 3</v>
      </c>
      <c r="L12" s="126" t="str">
        <f>'Heróis'!$B$14</f>
        <v>Resistente 1</v>
      </c>
      <c r="M12" s="126" t="str">
        <f>'Heróis'!$B$15</f>
        <v>Fornecedor 3</v>
      </c>
      <c r="N12" s="110"/>
    </row>
    <row r="13">
      <c r="C13" s="125" t="str">
        <f t="shared" si="1"/>
        <v>Alicia</v>
      </c>
      <c r="D13" s="126" t="str">
        <f>IFERROR(__xludf.DUMMYFUNCTION("FILTER('Armas do jogo'!E5:E659,'Armas do jogo'!B5:B659=D5)"),"Encontrar mágica")</f>
        <v>Encontrar mágica</v>
      </c>
      <c r="E13" s="126" t="str">
        <f>IFERROR(__xludf.DUMMYFUNCTION("FILTER('Armas do jogo'!E5:E659,'Armas do jogo'!B5:B659=E5)"),"Reviver 2")</f>
        <v>Reviver 2</v>
      </c>
      <c r="F13" s="126" t="str">
        <f>IFERROR(__xludf.DUMMYFUNCTION("FILTER('Armas do jogo'!E5:E659,'Armas do jogo'!B5:B659=F5)"),"Reviver 2")</f>
        <v>Reviver 2</v>
      </c>
      <c r="G13" s="126" t="str">
        <f>IFERROR(__xludf.DUMMYFUNCTION("FILTER('Armas do jogo'!E5:E659,'Armas do jogo'!B5:B659=G5)"),"Encontrar mágica")</f>
        <v>Encontrar mágica</v>
      </c>
      <c r="H13" s="126" t="str">
        <f>IFERROR(__xludf.DUMMYFUNCTION("FILTER('Armas do jogo'!E5:E659,'Armas do jogo'!B5:B659=H5)"),"Reviver 2")</f>
        <v>Reviver 2</v>
      </c>
      <c r="I13" s="126" t="str">
        <f>IFERROR(__xludf.DUMMYFUNCTION("FILTER('Armas do jogo'!E5:E659,'Armas do jogo'!B5:B659=I5)"),"Encontrar mágica")</f>
        <v>Encontrar mágica</v>
      </c>
      <c r="J13" s="126" t="str">
        <f>IFERROR(__xludf.DUMMYFUNCTION("FILTER('Armas do jogo'!E5:E659,'Armas do jogo'!B5:B659=J5)"),"Encontrar mágica")</f>
        <v>Encontrar mágica</v>
      </c>
      <c r="K13" s="126" t="str">
        <f>'Heróis'!C$13</f>
        <v>Energético 3</v>
      </c>
      <c r="L13" s="126" t="str">
        <f>'Heróis'!$C$14</f>
        <v>Sortudo 3</v>
      </c>
      <c r="M13" s="126" t="str">
        <f>'Heróis'!$C$15</f>
        <v>Amazona 3</v>
      </c>
      <c r="N13" s="110"/>
    </row>
    <row r="14">
      <c r="C14" s="125" t="str">
        <f t="shared" si="1"/>
        <v>Fiora</v>
      </c>
      <c r="D14" s="126" t="str">
        <f>IFERROR(__xludf.DUMMYFUNCTION("FILTER('Armas do jogo'!E6:E660,'Armas do jogo'!B6:B660=D6)"),"Energético 3")</f>
        <v>Energético 3</v>
      </c>
      <c r="E14" s="126" t="str">
        <f>IFERROR(__xludf.DUMMYFUNCTION("FILTER('Armas do jogo'!E6:E660,'Armas do jogo'!B6:B660=E6)"),"Reviver 2")</f>
        <v>Reviver 2</v>
      </c>
      <c r="F14" s="126" t="str">
        <f>IFERROR(__xludf.DUMMYFUNCTION("FILTER('Armas do jogo'!E6:E660,'Armas do jogo'!B6:B660=F6)"),"Reviver 2")</f>
        <v>Reviver 2</v>
      </c>
      <c r="G14" s="126" t="str">
        <f>IFERROR(__xludf.DUMMYFUNCTION("FILTER('Armas do jogo'!E6:E660,'Armas do jogo'!B6:B660=G6)"),"Encontrar mágica")</f>
        <v>Encontrar mágica</v>
      </c>
      <c r="H14" s="126" t="str">
        <f>IFERROR(__xludf.DUMMYFUNCTION("FILTER('Armas do jogo'!E6:E660,'Armas do jogo'!B6:B660=H6)"),"Encontrar mágica")</f>
        <v>Encontrar mágica</v>
      </c>
      <c r="I14" s="126" t="str">
        <f>IFERROR(__xludf.DUMMYFUNCTION("FILTER('Armas do jogo'!E6:E660,'Armas do jogo'!B6:B660=I6)"),"Encontrar mágica")</f>
        <v>Encontrar mágica</v>
      </c>
      <c r="J14" s="126" t="str">
        <f>IFERROR(__xludf.DUMMYFUNCTION("FILTER('Armas do jogo'!E6:E660,'Armas do jogo'!B6:B660=J6)"),"Encontrar mágica")</f>
        <v>Encontrar mágica</v>
      </c>
      <c r="K14" s="126" t="str">
        <f>'Heróis'!D$13</f>
        <v>Ganancioso 2</v>
      </c>
      <c r="L14" s="126" t="str">
        <f>'Heróis'!$D$14</f>
        <v>Reviver 2</v>
      </c>
      <c r="M14" s="126" t="str">
        <f>'Heróis'!$D$15</f>
        <v>Comandante 2</v>
      </c>
      <c r="N14" s="110"/>
    </row>
    <row r="15">
      <c r="C15" s="125" t="str">
        <f t="shared" si="1"/>
        <v>Oneira</v>
      </c>
      <c r="D15" s="126" t="str">
        <f>IFERROR(__xludf.DUMMYFUNCTION("FILTER('Armas do jogo'!E7:E661,'Armas do jogo'!B7:B661=D7)"),"Encontrar mágica")</f>
        <v>Encontrar mágica</v>
      </c>
      <c r="E15" s="126" t="str">
        <f>IFERROR(__xludf.DUMMYFUNCTION("FILTER('Armas do jogo'!E7:E661,'Armas do jogo'!B7:B661=E7)"),"Reviver 3")</f>
        <v>Reviver 3</v>
      </c>
      <c r="F15" s="126" t="str">
        <f>IFERROR(__xludf.DUMMYFUNCTION("FILTER('Armas do jogo'!E7:E661,'Armas do jogo'!B7:B661=F7)"),"Encontrar mágica")</f>
        <v>Encontrar mágica</v>
      </c>
      <c r="G15" s="126" t="str">
        <f>IFERROR(__xludf.DUMMYFUNCTION("FILTER('Armas do jogo'!E7:E661,'Armas do jogo'!B7:B661=G7)"),"Encontrar mágica")</f>
        <v>Encontrar mágica</v>
      </c>
      <c r="H15" s="126" t="str">
        <f>IFERROR(__xludf.DUMMYFUNCTION("FILTER('Armas do jogo'!E7:E661,'Armas do jogo'!B7:B661=H7)"),"Detectar segredo")</f>
        <v>Detectar segredo</v>
      </c>
      <c r="I15" s="126" t="str">
        <f>IFERROR(__xludf.DUMMYFUNCTION("FILTER('Armas do jogo'!E7:E661,'Armas do jogo'!B7:B661=I7)"),"Energético 3")</f>
        <v>Energético 3</v>
      </c>
      <c r="J15" s="126" t="str">
        <f>IFERROR(__xludf.DUMMYFUNCTION("FILTER('Armas do jogo'!E7:E661,'Armas do jogo'!B7:B661=J7)"),"Encontrar mágica")</f>
        <v>Encontrar mágica</v>
      </c>
      <c r="K15" s="126" t="str">
        <f>'Heróis'!E$13</f>
        <v>Ganancioso 3</v>
      </c>
      <c r="L15" s="126" t="str">
        <f>'Heróis'!$E$14</f>
        <v>Curandeiro 2</v>
      </c>
      <c r="M15" s="126" t="str">
        <f>'Heróis'!$E$15</f>
        <v>Suporte 2</v>
      </c>
      <c r="N15" s="110"/>
    </row>
    <row r="16">
      <c r="C16" s="125" t="str">
        <f t="shared" si="1"/>
        <v/>
      </c>
      <c r="D16" s="126" t="str">
        <f>IFERROR(__xludf.DUMMYFUNCTION("FILTER('Armas do jogo'!E8:E662,'Armas do jogo'!B8:B662=D8)"),"#REF!")</f>
        <v>#REF!</v>
      </c>
      <c r="E16" s="126" t="str">
        <f>IFERROR(__xludf.DUMMYFUNCTION("FILTER('Armas do jogo'!E8:E662,'Armas do jogo'!B8:B662=E8)"),"#REF!")</f>
        <v>#REF!</v>
      </c>
      <c r="F16" s="126" t="str">
        <f>IFERROR(__xludf.DUMMYFUNCTION("FILTER('Armas do jogo'!E8:E662,'Armas do jogo'!B8:B662=F8)"),"")</f>
        <v/>
      </c>
      <c r="G16" s="126" t="str">
        <f>IFERROR(__xludf.DUMMYFUNCTION("FILTER('Armas do jogo'!E8:E662,'Armas do jogo'!B8:B662=G8)"),"#REF!")</f>
        <v>#REF!</v>
      </c>
      <c r="H16" s="126" t="str">
        <f>IFERROR(__xludf.DUMMYFUNCTION("FILTER('Armas do jogo'!E8:E662,'Armas do jogo'!B8:B662=H8)"),"#REF!")</f>
        <v>#REF!</v>
      </c>
      <c r="I16" s="126" t="str">
        <f>IFERROR(__xludf.DUMMYFUNCTION("FILTER('Armas do jogo'!E8:E662,'Armas do jogo'!B8:B662=I8)"),"#REF!")</f>
        <v>#REF!</v>
      </c>
      <c r="J16" s="126" t="str">
        <f>IFERROR(__xludf.DUMMYFUNCTION("FILTER('Armas do jogo'!E8:E662,'Armas do jogo'!B8:B662=J8)"),"#REF!")</f>
        <v>#REF!</v>
      </c>
      <c r="K16" s="126" t="b">
        <f>'Heróis'!F$13</f>
        <v>0</v>
      </c>
      <c r="L16" s="126" t="str">
        <f>'Heróis'!$F$14</f>
        <v/>
      </c>
      <c r="M16" s="126" t="str">
        <f>'Heróis'!$F$15</f>
        <v/>
      </c>
      <c r="N16" s="110"/>
    </row>
    <row r="17"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>
      <c r="C18" s="114" t="s">
        <v>809</v>
      </c>
      <c r="D18" s="114" t="s">
        <v>810</v>
      </c>
      <c r="E18" s="120" t="s">
        <v>811</v>
      </c>
      <c r="F18" s="110"/>
      <c r="G18" s="110"/>
      <c r="H18" s="110"/>
      <c r="I18" s="110"/>
      <c r="J18" s="110"/>
      <c r="K18" s="110"/>
      <c r="L18" s="110"/>
      <c r="M18" s="110"/>
      <c r="N18" s="110"/>
    </row>
    <row r="19">
      <c r="C19" s="128" t="str">
        <f>IFERROR(__xludf.DUMMYFUNCTION("UNIQUE(sort(filter(Skills!G:G,Skills!G:G&lt;&gt;""""),1,true))"),"Amazona 2")</f>
        <v>Amazona 2</v>
      </c>
      <c r="D19" s="129">
        <f t="shared" ref="D19:D60" si="2">COUNTIF($D$11:$M$16,C19)</f>
        <v>1</v>
      </c>
      <c r="E19" s="130" t="str">
        <f>if(C19="Detectar Segredo", SUMIF(C19,Habilidades!$A$11,D19) * SUMIF(C19,Habilidades!$A$11,Habilidades!$B$11), if(C19="Encontrar mágica", SUMIF(C19,Habilidades!$A$12,D19) * SUMIF(C19,Habilidades!$A$12,Habilidades!$B$12), if(C19="Cuidadoso 1", SUMIF(C19,Habilidades!$A$22,D19) * SUMIF(C19,Habilidades!$A$22,Habilidades!$B$22), if(C19="Cuidadoso 2", SUMIF(C19,Habilidades!$A$23,D33) * SUMIF(C19,Habilidades!$A$23,Habilidades!$B$23), if(C19="Cuidadoso 3", SUMIF(C19,Habilidades!$A$24,D19) * SUMIF(C19,Habilidades!$A$24,Habilidades!$B$24), if(C19="Ganancioso 1", SUMIF(C19,Habilidades!$A$25,D19) * SUMIF(C19,Habilidades!$A$25,Habilidades!$B$25), if(C19="Ganancioso 2", SUMIF(C19,Habilidades!$A$26,D19) * SUMIF(C19,Habilidades!$A$26,Habilidades!$B$26), if(C19="Ganancioso 3", SUMIF(C19,Habilidades!$A$27,D19) * SUMIF(C19,Habilidades!$A$27,Habilidades!$B$27), if(C19="Curandeiro 1", SUMIF(C19,Habilidades!$A$28,D19) * SUMIF(C19,Habilidades!$A$28,Habilidades!$B$28), if(C19="Curandeiro 2", SUMIF(C19,Habilidades!$A$29,D19) * SUMIF(C19,Habilidades!$A$29,Habilidades!$B$29), if(C19="Curandeiro 3", SUMIF(C19,Habilidades!$A$30,D19) * SUMIF(C19,Habilidades!$A$30,Habilidades!$B$30), if(C19="Sortudo 1", SUMIF(C19,Habilidades!$A$31,D19) * SUMIF(C19,Habilidades!$A$31,Habilidades!$B$31), if(C19="Sortudo 2", SUMIF(C19,Habilidades!$A$32,D19) * SUMIF(C19,Habilidades!$A$32,Habilidades!$B$32), if(C19="Sortudo 3", SUMIF(C19,Habilidades!$A$33,D19) * SUMIF(C19,Habilidades!$A$33,Habilidades!$B$33), if(C19="Protetor 1", SUMIF(C19,Habilidades!$A$34,D19) * SUMIF(C19,Habilidades!$A$34,Habilidades!$B$34), if(C19="Protetor 2", SUMIF(C19,Habilidades!$A$35,D19) * SUMIF(C19,Habilidades!$A$35,Habilidades!$B$35), if(C19="Protetor 3", SUMIF(C19,Habilidades!$A$36,D19) * SUMIF(C19,Habilidades!$A$36,Habilidades!$B$36), if(C19="Engenhoso 1", SUMIF(C19,Habilidades!$A$40,D19) * SUMIF(C19,Habilidades!$A$40,Habilidades!$B$40), if(C19="Engenhoso 2", SUMIF(C19,Habilidades!$A$41,D19) * SUMIF(C19,Habilidades!$A$41,Habilidades!$B$41), if(C19="Engenhoso 3", SUMIF(C19,Habilidades!$A$42,D19) * SUMIF(C19,Habilidades!$A$42,Habilidades!$B$42), if(C19="Reviver 1", SUMIF(C19,Habilidades!$A$43,D19) * SUMIF(C19,Habilidades!$A$43,Habilidades!$B$43), if(C19="Reviver 2", SUMIF(C19,Habilidades!$A$44,D19) * SUMIF(C19,Habilidades!$A$44,Habilidades!$B$44), if(C19="Reviver 3", SUMIF(C19,Habilidades!$A$45,D19) * SUMIF(C19,Habilidades!$A$45,Habilidades!$B$45), if(C19="Catador 1", SUMIF(C19,Habilidades!$A$46,D19) * SUMIF(C19,Habilidades!$A$46,Habilidades!$B$46), if(C19="Catador 2", SUMIF(C19,Habilidades!$A$47,D19) * SUMIF(C19,Habilidades!$A$47,Habilidades!$B$47), if(C19="Catador 3", SUMIF(C19,Habilidades!$A$48,D19) * SUMIF(C19,Habilidades!$A$48,Habilidades!$B$48), if(C19="Fornecedor 1", SUMIF(C19,Habilidades!$A$49,D19) * SUMIF(C19,Habilidades!$A$49,Habilidades!$B$49), if(C19="Fornecedor 2", SUMIF(C19,Habilidades!$A$50,D19) * SUMIF(C19,Habilidades!$A$50,Habilidades!$B$50), if(C19="Fornecedor 3", SUMIF(C19,Habilidades!$A$51,D19) * SUMIF(C19,Habilidades!$A$51,Habilidades!$B$51), if(C19="Suporte 1", SUMIF(C19,Habilidades!$A$52,D19) * SUMIF(C19,Habilidades!$A$52,Habilidades!$B$52), if(C19="Suporte 2", SUMIF(C19,Habilidades!$A$53,D19) * SUMIF(C19,Habilidades!$A$53,Habilidades!$B$53), if(C19="Suporte 3", SUMIF(C19,Habilidades!$A$54,D19) * SUMIF(C19,Habilidades!$A$54,Habilidades!$B$54), if(C19="Caça-tesouros 1", SUMIF(C19,Habilidades!$A$55,D19) * SUMIF(C19,Habilidades!$A$55,Habilidades!$B$55), if(C19="Caça-tesouros 2", SUMIF(C19,Habilidades!$A$56,D19) * SUMIF(C19,Habilidades!$A$56,Habilidades!$B$56), if(C19="Caça-tesouros 3", SUMIF(C19,Habilidades!$A$57,D19) * SUMIF(C19,Habilidades!$A$57,Habilidades!$B$57), if(C19="Velocista 1", SUMIF(C19,Habilidades!$A$77,D19) * SUMIF(C19,Habilidades!$A$77,Habilidades!$B$77), if(C19="Velocista 2", SUMIF(C19,Habilidades!$A$78,D19) * SUMIF(C19,Habilidades!$A$78,Habilidades!$B$78), if(C19="Velocista 3", SUMIF(C19,Habilidades!$A$79,D19) * SUMIF(C19,Habilidades!$A$79,Habilidades!$B$79), "-"))))))))))))))))))))))))))))))))))))))</f>
        <v>-</v>
      </c>
      <c r="F19" s="110"/>
      <c r="G19" s="131" t="s">
        <v>812</v>
      </c>
      <c r="H19" s="131" t="s">
        <v>813</v>
      </c>
      <c r="I19" s="131" t="s">
        <v>814</v>
      </c>
      <c r="J19" s="131" t="s">
        <v>815</v>
      </c>
      <c r="K19" s="132" t="s">
        <v>816</v>
      </c>
      <c r="L19" s="124"/>
      <c r="M19" s="110"/>
      <c r="N19" s="110"/>
    </row>
    <row r="20">
      <c r="C20" s="133" t="str">
        <f>IFERROR(__xludf.DUMMYFUNCTION("""COMPUTED_VALUE"""),"Amazona 3")</f>
        <v>Amazona 3</v>
      </c>
      <c r="D20" s="129">
        <f t="shared" si="2"/>
        <v>1</v>
      </c>
      <c r="E20" s="130" t="str">
        <f>if(C20="Detectar Segredo", SUMIF(C20,Habilidades!$A$11,D20) * SUMIF(C20,Habilidades!$A$11,Habilidades!$B$11), if(C20="Encontrar mágica", SUMIF(C20,Habilidades!$A$12,D20) * SUMIF(C20,Habilidades!$A$12,Habilidades!$B$12), if(C20="Cuidadoso 1", SUMIF(C20,Habilidades!$A$22,D20) * SUMIF(C20,Habilidades!$A$22,Habilidades!$B$22), if(C20="Cuidadoso 2", SUMIF(C20,Habilidades!$A$23,D34) * SUMIF(C20,Habilidades!$A$23,Habilidades!$B$23), if(C20="Cuidadoso 3", SUMIF(C20,Habilidades!$A$24,D20) * SUMIF(C20,Habilidades!$A$24,Habilidades!$B$24), if(C20="Ganancioso 1", SUMIF(C20,Habilidades!$A$25,D20) * SUMIF(C20,Habilidades!$A$25,Habilidades!$B$25), if(C20="Ganancioso 2", SUMIF(C20,Habilidades!$A$26,D20) * SUMIF(C20,Habilidades!$A$26,Habilidades!$B$26), if(C20="Ganancioso 3", SUMIF(C20,Habilidades!$A$27,D20) * SUMIF(C20,Habilidades!$A$27,Habilidades!$B$27), if(C20="Curandeiro 1", SUMIF(C20,Habilidades!$A$28,D20) * SUMIF(C20,Habilidades!$A$28,Habilidades!$B$28), if(C20="Curandeiro 2", SUMIF(C20,Habilidades!$A$29,D20) * SUMIF(C20,Habilidades!$A$29,Habilidades!$B$29), if(C20="Curandeiro 3", SUMIF(C20,Habilidades!$A$30,D20) * SUMIF(C20,Habilidades!$A$30,Habilidades!$B$30), if(C20="Sortudo 1", SUMIF(C20,Habilidades!$A$31,D20) * SUMIF(C20,Habilidades!$A$31,Habilidades!$B$31), if(C20="Sortudo 2", SUMIF(C20,Habilidades!$A$32,D20) * SUMIF(C20,Habilidades!$A$32,Habilidades!$B$32), if(C20="Sortudo 3", SUMIF(C20,Habilidades!$A$33,D20) * SUMIF(C20,Habilidades!$A$33,Habilidades!$B$33), if(C20="Protetor 1", SUMIF(C20,Habilidades!$A$34,D20) * SUMIF(C20,Habilidades!$A$34,Habilidades!$B$34), if(C20="Protetor 2", SUMIF(C20,Habilidades!$A$35,D20) * SUMIF(C20,Habilidades!$A$35,Habilidades!$B$35), if(C20="Protetor 3", SUMIF(C20,Habilidades!$A$36,D20) * SUMIF(C20,Habilidades!$A$36,Habilidades!$B$36), if(C20="Engenhoso 1", SUMIF(C20,Habilidades!$A$40,D20) * SUMIF(C20,Habilidades!$A$40,Habilidades!$B$40), if(C20="Engenhoso 2", SUMIF(C20,Habilidades!$A$41,D20) * SUMIF(C20,Habilidades!$A$41,Habilidades!$B$41), if(C20="Engenhoso 3", SUMIF(C20,Habilidades!$A$42,D20) * SUMIF(C20,Habilidades!$A$42,Habilidades!$B$42), if(C20="Reviver 1", SUMIF(C20,Habilidades!$A$43,D20) * SUMIF(C20,Habilidades!$A$43,Habilidades!$B$43), if(C20="Reviver 2", SUMIF(C20,Habilidades!$A$44,D20) * SUMIF(C20,Habilidades!$A$44,Habilidades!$B$44), if(C20="Reviver 3", SUMIF(C20,Habilidades!$A$45,D20) * SUMIF(C20,Habilidades!$A$45,Habilidades!$B$45), if(C20="Catador 1", SUMIF(C20,Habilidades!$A$46,D20) * SUMIF(C20,Habilidades!$A$46,Habilidades!$B$46), if(C20="Catador 2", SUMIF(C20,Habilidades!$A$47,D20) * SUMIF(C20,Habilidades!$A$47,Habilidades!$B$47), if(C20="Catador 3", SUMIF(C20,Habilidades!$A$48,D20) * SUMIF(C20,Habilidades!$A$48,Habilidades!$B$48), if(C20="Fornecedor 1", SUMIF(C20,Habilidades!$A$49,D20) * SUMIF(C20,Habilidades!$A$49,Habilidades!$B$49), if(C20="Fornecedor 2", SUMIF(C20,Habilidades!$A$50,D20) * SUMIF(C20,Habilidades!$A$50,Habilidades!$B$50), if(C20="Fornecedor 3", SUMIF(C20,Habilidades!$A$51,D20) * SUMIF(C20,Habilidades!$A$51,Habilidades!$B$51), if(C20="Suporte 1", SUMIF(C20,Habilidades!$A$52,D20) * SUMIF(C20,Habilidades!$A$52,Habilidades!$B$52), if(C20="Suporte 2", SUMIF(C20,Habilidades!$A$53,D20) * SUMIF(C20,Habilidades!$A$53,Habilidades!$B$53), if(C20="Suporte 3", SUMIF(C20,Habilidades!$A$54,D20) * SUMIF(C20,Habilidades!$A$54,Habilidades!$B$54), if(C20="Caça-tesouros 1", SUMIF(C20,Habilidades!$A$55,D20) * SUMIF(C20,Habilidades!$A$55,Habilidades!$B$55), if(C20="Caça-tesouros 2", SUMIF(C20,Habilidades!$A$56,D20) * SUMIF(C20,Habilidades!$A$56,Habilidades!$B$56), if(C20="Caça-tesouros 3", SUMIF(C20,Habilidades!$A$57,D20) * SUMIF(C20,Habilidades!$A$57,Habilidades!$B$57), if(C20="Velocista 1", SUMIF(C20,Habilidades!$A$77,D20) * SUMIF(C20,Habilidades!$A$77,Habilidades!$B$77), if(C20="Velocista 2", SUMIF(C20,Habilidades!$A$78,D20) * SUMIF(C20,Habilidades!$A$78,Habilidades!$B$78), if(C20="Velocista 3", SUMIF(C20,Habilidades!$A$79,D20) * SUMIF(C20,Habilidades!$A$79,Habilidades!$B$79), "-"))))))))))))))))))))))))))))))))))))))</f>
        <v>-</v>
      </c>
      <c r="F20" s="110"/>
      <c r="G20" s="130">
        <f>SUMIF(C19:C70, "*Detectar*", E19:E52) + SUMIF(C19:C52, "*Encontrar*", E19:E52)</f>
        <v>246</v>
      </c>
      <c r="H20" s="130">
        <f>SUMIF(C19:C70, "*Velocista*", E19:E60)</f>
        <v>100</v>
      </c>
      <c r="I20" s="130">
        <f>SUMIF(C19:C70, "*Reviver*", E19:E46)</f>
        <v>100</v>
      </c>
      <c r="J20" s="131">
        <f>SUMIF(C19:C70, "*Suporte*", E19:E60) + SUMIF(C19:C60, "*Engenhoso*", E19:E60)</f>
        <v>4</v>
      </c>
      <c r="K20" s="134">
        <f>if(G20 &gt; 0, sum(10+G20), 0)</f>
        <v>256</v>
      </c>
      <c r="L20" s="124"/>
      <c r="M20" s="110"/>
      <c r="N20" s="110"/>
    </row>
    <row r="21">
      <c r="C21" s="133" t="str">
        <f>IFERROR(__xludf.DUMMYFUNCTION("""COMPUTED_VALUE"""),"Comandante 2")</f>
        <v>Comandante 2</v>
      </c>
      <c r="D21" s="129">
        <f t="shared" si="2"/>
        <v>1</v>
      </c>
      <c r="E21" s="130" t="str">
        <f>if(C21="Detectar Segredo", SUMIF(C21,Habilidades!$A$11,D21) * SUMIF(C21,Habilidades!$A$11,Habilidades!$B$11), if(C21="Encontrar mágica", SUMIF(C21,Habilidades!$A$12,D21) * SUMIF(C21,Habilidades!$A$12,Habilidades!$B$12), if(C21="Cuidadoso 1", SUMIF(C21,Habilidades!$A$22,D21) * SUMIF(C21,Habilidades!$A$22,Habilidades!$B$22), if(C21="Cuidadoso 2", SUMIF(C21,Habilidades!$A$23,D35) * SUMIF(C21,Habilidades!$A$23,Habilidades!$B$23), if(C21="Cuidadoso 3", SUMIF(C21,Habilidades!$A$24,D21) * SUMIF(C21,Habilidades!$A$24,Habilidades!$B$24), if(C21="Ganancioso 1", SUMIF(C21,Habilidades!$A$25,D21) * SUMIF(C21,Habilidades!$A$25,Habilidades!$B$25), if(C21="Ganancioso 2", SUMIF(C21,Habilidades!$A$26,D21) * SUMIF(C21,Habilidades!$A$26,Habilidades!$B$26), if(C21="Ganancioso 3", SUMIF(C21,Habilidades!$A$27,D21) * SUMIF(C21,Habilidades!$A$27,Habilidades!$B$27), if(C21="Curandeiro 1", SUMIF(C21,Habilidades!$A$28,D21) * SUMIF(C21,Habilidades!$A$28,Habilidades!$B$28), if(C21="Curandeiro 2", SUMIF(C21,Habilidades!$A$29,D21) * SUMIF(C21,Habilidades!$A$29,Habilidades!$B$29), if(C21="Curandeiro 3", SUMIF(C21,Habilidades!$A$30,D21) * SUMIF(C21,Habilidades!$A$30,Habilidades!$B$30), if(C21="Sortudo 1", SUMIF(C21,Habilidades!$A$31,D21) * SUMIF(C21,Habilidades!$A$31,Habilidades!$B$31), if(C21="Sortudo 2", SUMIF(C21,Habilidades!$A$32,D21) * SUMIF(C21,Habilidades!$A$32,Habilidades!$B$32), if(C21="Sortudo 3", SUMIF(C21,Habilidades!$A$33,D21) * SUMIF(C21,Habilidades!$A$33,Habilidades!$B$33), if(C21="Protetor 1", SUMIF(C21,Habilidades!$A$34,D21) * SUMIF(C21,Habilidades!$A$34,Habilidades!$B$34), if(C21="Protetor 2", SUMIF(C21,Habilidades!$A$35,D21) * SUMIF(C21,Habilidades!$A$35,Habilidades!$B$35), if(C21="Protetor 3", SUMIF(C21,Habilidades!$A$36,D21) * SUMIF(C21,Habilidades!$A$36,Habilidades!$B$36), if(C21="Engenhoso 1", SUMIF(C21,Habilidades!$A$40,D21) * SUMIF(C21,Habilidades!$A$40,Habilidades!$B$40), if(C21="Engenhoso 2", SUMIF(C21,Habilidades!$A$41,D21) * SUMIF(C21,Habilidades!$A$41,Habilidades!$B$41), if(C21="Engenhoso 3", SUMIF(C21,Habilidades!$A$42,D21) * SUMIF(C21,Habilidades!$A$42,Habilidades!$B$42), if(C21="Reviver 1", SUMIF(C21,Habilidades!$A$43,D21) * SUMIF(C21,Habilidades!$A$43,Habilidades!$B$43), if(C21="Reviver 2", SUMIF(C21,Habilidades!$A$44,D21) * SUMIF(C21,Habilidades!$A$44,Habilidades!$B$44), if(C21="Reviver 3", SUMIF(C21,Habilidades!$A$45,D21) * SUMIF(C21,Habilidades!$A$45,Habilidades!$B$45), if(C21="Catador 1", SUMIF(C21,Habilidades!$A$46,D21) * SUMIF(C21,Habilidades!$A$46,Habilidades!$B$46), if(C21="Catador 2", SUMIF(C21,Habilidades!$A$47,D21) * SUMIF(C21,Habilidades!$A$47,Habilidades!$B$47), if(C21="Catador 3", SUMIF(C21,Habilidades!$A$48,D21) * SUMIF(C21,Habilidades!$A$48,Habilidades!$B$48), if(C21="Fornecedor 1", SUMIF(C21,Habilidades!$A$49,D21) * SUMIF(C21,Habilidades!$A$49,Habilidades!$B$49), if(C21="Fornecedor 2", SUMIF(C21,Habilidades!$A$50,D21) * SUMIF(C21,Habilidades!$A$50,Habilidades!$B$50), if(C21="Fornecedor 3", SUMIF(C21,Habilidades!$A$51,D21) * SUMIF(C21,Habilidades!$A$51,Habilidades!$B$51), if(C21="Suporte 1", SUMIF(C21,Habilidades!$A$52,D21) * SUMIF(C21,Habilidades!$A$52,Habilidades!$B$52), if(C21="Suporte 2", SUMIF(C21,Habilidades!$A$53,D21) * SUMIF(C21,Habilidades!$A$53,Habilidades!$B$53), if(C21="Suporte 3", SUMIF(C21,Habilidades!$A$54,D21) * SUMIF(C21,Habilidades!$A$54,Habilidades!$B$54), if(C21="Caça-tesouros 1", SUMIF(C21,Habilidades!$A$55,D21) * SUMIF(C21,Habilidades!$A$55,Habilidades!$B$55), if(C21="Caça-tesouros 2", SUMIF(C21,Habilidades!$A$56,D21) * SUMIF(C21,Habilidades!$A$56,Habilidades!$B$56), if(C21="Caça-tesouros 3", SUMIF(C21,Habilidades!$A$57,D21) * SUMIF(C21,Habilidades!$A$57,Habilidades!$B$57), if(C21="Velocista 1", SUMIF(C21,Habilidades!$A$77,D21) * SUMIF(C21,Habilidades!$A$77,Habilidades!$B$77), if(C21="Velocista 2", SUMIF(C21,Habilidades!$A$78,D21) * SUMIF(C21,Habilidades!$A$78,Habilidades!$B$78), if(C21="Velocista 3", SUMIF(C21,Habilidades!$A$79,D21) * SUMIF(C21,Habilidades!$A$79,Habilidades!$B$79), "-"))))))))))))))))))))))))))))))))))))))</f>
        <v>-</v>
      </c>
      <c r="F21" s="135"/>
      <c r="G21" s="136"/>
      <c r="H21" s="136"/>
      <c r="I21" s="136"/>
      <c r="J21" s="136"/>
      <c r="K21" s="137"/>
      <c r="L21" s="137"/>
      <c r="M21" s="110"/>
      <c r="N21" s="110"/>
    </row>
    <row r="22">
      <c r="C22" s="133" t="str">
        <f>IFERROR(__xludf.DUMMYFUNCTION("""COMPUTED_VALUE"""),"Cuidadoso 2")</f>
        <v>Cuidadoso 2</v>
      </c>
      <c r="D22" s="129">
        <f t="shared" si="2"/>
        <v>1</v>
      </c>
      <c r="E22" s="130">
        <f>if(C22="Detectar Segredo", SUMIF(C22,Habilidades!$A$11,D22) * SUMIF(C22,Habilidades!$A$11,Habilidades!$B$11), if(C22="Encontrar mágica", SUMIF(C22,Habilidades!$A$12,D22) * SUMIF(C22,Habilidades!$A$12,Habilidades!$B$12), if(C22="Cuidadoso 1", SUMIF(C22,Habilidades!$A$22,D22) * SUMIF(C22,Habilidades!$A$22,Habilidades!$B$22), if(C22="Cuidadoso 2", SUMIF(C22,Habilidades!$A$23,D36) * SUMIF(C22,Habilidades!$A$23,Habilidades!$B$23), if(C22="Cuidadoso 3", SUMIF(C22,Habilidades!$A$24,D22) * SUMIF(C22,Habilidades!$A$24,Habilidades!$B$24), if(C22="Ganancioso 1", SUMIF(C22,Habilidades!$A$25,D22) * SUMIF(C22,Habilidades!$A$25,Habilidades!$B$25), if(C22="Ganancioso 2", SUMIF(C22,Habilidades!$A$26,D22) * SUMIF(C22,Habilidades!$A$26,Habilidades!$B$26), if(C22="Ganancioso 3", SUMIF(C22,Habilidades!$A$27,D22) * SUMIF(C22,Habilidades!$A$27,Habilidades!$B$27), if(C22="Curandeiro 1", SUMIF(C22,Habilidades!$A$28,D22) * SUMIF(C22,Habilidades!$A$28,Habilidades!$B$28), if(C22="Curandeiro 2", SUMIF(C22,Habilidades!$A$29,D22) * SUMIF(C22,Habilidades!$A$29,Habilidades!$B$29), if(C22="Curandeiro 3", SUMIF(C22,Habilidades!$A$30,D22) * SUMIF(C22,Habilidades!$A$30,Habilidades!$B$30), if(C22="Sortudo 1", SUMIF(C22,Habilidades!$A$31,D22) * SUMIF(C22,Habilidades!$A$31,Habilidades!$B$31), if(C22="Sortudo 2", SUMIF(C22,Habilidades!$A$32,D22) * SUMIF(C22,Habilidades!$A$32,Habilidades!$B$32), if(C22="Sortudo 3", SUMIF(C22,Habilidades!$A$33,D22) * SUMIF(C22,Habilidades!$A$33,Habilidades!$B$33), if(C22="Protetor 1", SUMIF(C22,Habilidades!$A$34,D22) * SUMIF(C22,Habilidades!$A$34,Habilidades!$B$34), if(C22="Protetor 2", SUMIF(C22,Habilidades!$A$35,D22) * SUMIF(C22,Habilidades!$A$35,Habilidades!$B$35), if(C22="Protetor 3", SUMIF(C22,Habilidades!$A$36,D22) * SUMIF(C22,Habilidades!$A$36,Habilidades!$B$36), if(C22="Engenhoso 1", SUMIF(C22,Habilidades!$A$40,D22) * SUMIF(C22,Habilidades!$A$40,Habilidades!$B$40), if(C22="Engenhoso 2", SUMIF(C22,Habilidades!$A$41,D22) * SUMIF(C22,Habilidades!$A$41,Habilidades!$B$41), if(C22="Engenhoso 3", SUMIF(C22,Habilidades!$A$42,D22) * SUMIF(C22,Habilidades!$A$42,Habilidades!$B$42), if(C22="Reviver 1", SUMIF(C22,Habilidades!$A$43,D22) * SUMIF(C22,Habilidades!$A$43,Habilidades!$B$43), if(C22="Reviver 2", SUMIF(C22,Habilidades!$A$44,D22) * SUMIF(C22,Habilidades!$A$44,Habilidades!$B$44), if(C22="Reviver 3", SUMIF(C22,Habilidades!$A$45,D22) * SUMIF(C22,Habilidades!$A$45,Habilidades!$B$45), if(C22="Catador 1", SUMIF(C22,Habilidades!$A$46,D22) * SUMIF(C22,Habilidades!$A$46,Habilidades!$B$46), if(C22="Catador 2", SUMIF(C22,Habilidades!$A$47,D22) * SUMIF(C22,Habilidades!$A$47,Habilidades!$B$47), if(C22="Catador 3", SUMIF(C22,Habilidades!$A$48,D22) * SUMIF(C22,Habilidades!$A$48,Habilidades!$B$48), if(C22="Fornecedor 1", SUMIF(C22,Habilidades!$A$49,D22) * SUMIF(C22,Habilidades!$A$49,Habilidades!$B$49), if(C22="Fornecedor 2", SUMIF(C22,Habilidades!$A$50,D22) * SUMIF(C22,Habilidades!$A$50,Habilidades!$B$50), if(C22="Fornecedor 3", SUMIF(C22,Habilidades!$A$51,D22) * SUMIF(C22,Habilidades!$A$51,Habilidades!$B$51), if(C22="Suporte 1", SUMIF(C22,Habilidades!$A$52,D22) * SUMIF(C22,Habilidades!$A$52,Habilidades!$B$52), if(C22="Suporte 2", SUMIF(C22,Habilidades!$A$53,D22) * SUMIF(C22,Habilidades!$A$53,Habilidades!$B$53), if(C22="Suporte 3", SUMIF(C22,Habilidades!$A$54,D22) * SUMIF(C22,Habilidades!$A$54,Habilidades!$B$54), if(C22="Caça-tesouros 1", SUMIF(C22,Habilidades!$A$55,D22) * SUMIF(C22,Habilidades!$A$55,Habilidades!$B$55), if(C22="Caça-tesouros 2", SUMIF(C22,Habilidades!$A$56,D22) * SUMIF(C22,Habilidades!$A$56,Habilidades!$B$56), if(C22="Caça-tesouros 3", SUMIF(C22,Habilidades!$A$57,D22) * SUMIF(C22,Habilidades!$A$57,Habilidades!$B$57), if(C22="Velocista 1", SUMIF(C22,Habilidades!$A$77,D22) * SUMIF(C22,Habilidades!$A$77,Habilidades!$B$77), if(C22="Velocista 2", SUMIF(C22,Habilidades!$A$78,D22) * SUMIF(C22,Habilidades!$A$78,Habilidades!$B$78), if(C22="Velocista 3", SUMIF(C22,Habilidades!$A$79,D22) * SUMIF(C22,Habilidades!$A$79,Habilidades!$B$79), "-"))))))))))))))))))))))))))))))))))))))</f>
        <v>60</v>
      </c>
      <c r="F22" s="110"/>
      <c r="G22" s="138"/>
      <c r="H22" s="153"/>
      <c r="J22" s="139"/>
      <c r="K22" s="137"/>
      <c r="L22" s="137"/>
      <c r="M22" s="110"/>
      <c r="N22" s="110"/>
    </row>
    <row r="23">
      <c r="C23" s="133" t="str">
        <f>IFERROR(__xludf.DUMMYFUNCTION("""COMPUTED_VALUE"""),"Cuidadoso 3")</f>
        <v>Cuidadoso 3</v>
      </c>
      <c r="D23" s="129">
        <f t="shared" si="2"/>
        <v>1</v>
      </c>
      <c r="E23" s="130">
        <f>if(C23="Detectar Segredo", SUMIF(C23,Habilidades!$A$11,D23) * SUMIF(C23,Habilidades!$A$11,Habilidades!$B$11), if(C23="Encontrar mágica", SUMIF(C23,Habilidades!$A$12,D23) * SUMIF(C23,Habilidades!$A$12,Habilidades!$B$12), if(C23="Cuidadoso 1", SUMIF(C23,Habilidades!$A$22,D23) * SUMIF(C23,Habilidades!$A$22,Habilidades!$B$22), if(C23="Cuidadoso 2", SUMIF(C23,Habilidades!$A$23,D37) * SUMIF(C23,Habilidades!$A$23,Habilidades!$B$23), if(C23="Cuidadoso 3", SUMIF(C23,Habilidades!$A$24,D23) * SUMIF(C23,Habilidades!$A$24,Habilidades!$B$24), if(C23="Ganancioso 1", SUMIF(C23,Habilidades!$A$25,D23) * SUMIF(C23,Habilidades!$A$25,Habilidades!$B$25), if(C23="Ganancioso 2", SUMIF(C23,Habilidades!$A$26,D23) * SUMIF(C23,Habilidades!$A$26,Habilidades!$B$26), if(C23="Ganancioso 3", SUMIF(C23,Habilidades!$A$27,D23) * SUMIF(C23,Habilidades!$A$27,Habilidades!$B$27), if(C23="Curandeiro 1", SUMIF(C23,Habilidades!$A$28,D23) * SUMIF(C23,Habilidades!$A$28,Habilidades!$B$28), if(C23="Curandeiro 2", SUMIF(C23,Habilidades!$A$29,D23) * SUMIF(C23,Habilidades!$A$29,Habilidades!$B$29), if(C23="Curandeiro 3", SUMIF(C23,Habilidades!$A$30,D23) * SUMIF(C23,Habilidades!$A$30,Habilidades!$B$30), if(C23="Sortudo 1", SUMIF(C23,Habilidades!$A$31,D23) * SUMIF(C23,Habilidades!$A$31,Habilidades!$B$31), if(C23="Sortudo 2", SUMIF(C23,Habilidades!$A$32,D23) * SUMIF(C23,Habilidades!$A$32,Habilidades!$B$32), if(C23="Sortudo 3", SUMIF(C23,Habilidades!$A$33,D23) * SUMIF(C23,Habilidades!$A$33,Habilidades!$B$33), if(C23="Protetor 1", SUMIF(C23,Habilidades!$A$34,D23) * SUMIF(C23,Habilidades!$A$34,Habilidades!$B$34), if(C23="Protetor 2", SUMIF(C23,Habilidades!$A$35,D23) * SUMIF(C23,Habilidades!$A$35,Habilidades!$B$35), if(C23="Protetor 3", SUMIF(C23,Habilidades!$A$36,D23) * SUMIF(C23,Habilidades!$A$36,Habilidades!$B$36), if(C23="Engenhoso 1", SUMIF(C23,Habilidades!$A$40,D23) * SUMIF(C23,Habilidades!$A$40,Habilidades!$B$40), if(C23="Engenhoso 2", SUMIF(C23,Habilidades!$A$41,D23) * SUMIF(C23,Habilidades!$A$41,Habilidades!$B$41), if(C23="Engenhoso 3", SUMIF(C23,Habilidades!$A$42,D23) * SUMIF(C23,Habilidades!$A$42,Habilidades!$B$42), if(C23="Reviver 1", SUMIF(C23,Habilidades!$A$43,D23) * SUMIF(C23,Habilidades!$A$43,Habilidades!$B$43), if(C23="Reviver 2", SUMIF(C23,Habilidades!$A$44,D23) * SUMIF(C23,Habilidades!$A$44,Habilidades!$B$44), if(C23="Reviver 3", SUMIF(C23,Habilidades!$A$45,D23) * SUMIF(C23,Habilidades!$A$45,Habilidades!$B$45), if(C23="Catador 1", SUMIF(C23,Habilidades!$A$46,D23) * SUMIF(C23,Habilidades!$A$46,Habilidades!$B$46), if(C23="Catador 2", SUMIF(C23,Habilidades!$A$47,D23) * SUMIF(C23,Habilidades!$A$47,Habilidades!$B$47), if(C23="Catador 3", SUMIF(C23,Habilidades!$A$48,D23) * SUMIF(C23,Habilidades!$A$48,Habilidades!$B$48), if(C23="Fornecedor 1", SUMIF(C23,Habilidades!$A$49,D23) * SUMIF(C23,Habilidades!$A$49,Habilidades!$B$49), if(C23="Fornecedor 2", SUMIF(C23,Habilidades!$A$50,D23) * SUMIF(C23,Habilidades!$A$50,Habilidades!$B$50), if(C23="Fornecedor 3", SUMIF(C23,Habilidades!$A$51,D23) * SUMIF(C23,Habilidades!$A$51,Habilidades!$B$51), if(C23="Suporte 1", SUMIF(C23,Habilidades!$A$52,D23) * SUMIF(C23,Habilidades!$A$52,Habilidades!$B$52), if(C23="Suporte 2", SUMIF(C23,Habilidades!$A$53,D23) * SUMIF(C23,Habilidades!$A$53,Habilidades!$B$53), if(C23="Suporte 3", SUMIF(C23,Habilidades!$A$54,D23) * SUMIF(C23,Habilidades!$A$54,Habilidades!$B$54), if(C23="Caça-tesouros 1", SUMIF(C23,Habilidades!$A$55,D23) * SUMIF(C23,Habilidades!$A$55,Habilidades!$B$55), if(C23="Caça-tesouros 2", SUMIF(C23,Habilidades!$A$56,D23) * SUMIF(C23,Habilidades!$A$56,Habilidades!$B$56), if(C23="Caça-tesouros 3", SUMIF(C23,Habilidades!$A$57,D23) * SUMIF(C23,Habilidades!$A$57,Habilidades!$B$57), if(C23="Velocista 1", SUMIF(C23,Habilidades!$A$77,D23) * SUMIF(C23,Habilidades!$A$77,Habilidades!$B$77), if(C23="Velocista 2", SUMIF(C23,Habilidades!$A$78,D23) * SUMIF(C23,Habilidades!$A$78,Habilidades!$B$78), if(C23="Velocista 3", SUMIF(C23,Habilidades!$A$79,D23) * SUMIF(C23,Habilidades!$A$79,Habilidades!$B$79), "-"))))))))))))))))))))))))))))))))))))))</f>
        <v>50</v>
      </c>
      <c r="F23" s="110"/>
      <c r="G23" s="140"/>
      <c r="H23" s="136"/>
      <c r="J23" s="139"/>
      <c r="K23" s="137"/>
      <c r="L23" s="137"/>
      <c r="M23" s="110"/>
      <c r="N23" s="110"/>
    </row>
    <row r="24">
      <c r="C24" s="133" t="str">
        <f>IFERROR(__xludf.DUMMYFUNCTION("""COMPUTED_VALUE"""),"Curandeiro 2")</f>
        <v>Curandeiro 2</v>
      </c>
      <c r="D24" s="129">
        <f t="shared" si="2"/>
        <v>1</v>
      </c>
      <c r="E24" s="130">
        <f>if(C24="Detectar Segredo", SUMIF(C24,Habilidades!$A$11,D24) * SUMIF(C24,Habilidades!$A$11,Habilidades!$B$11), if(C24="Encontrar mágica", SUMIF(C24,Habilidades!$A$12,D24) * SUMIF(C24,Habilidades!$A$12,Habilidades!$B$12), if(C24="Cuidadoso 1", SUMIF(C24,Habilidades!$A$22,D24) * SUMIF(C24,Habilidades!$A$22,Habilidades!$B$22), if(C24="Cuidadoso 2", SUMIF(C24,Habilidades!$A$23,D38) * SUMIF(C24,Habilidades!$A$23,Habilidades!$B$23), if(C24="Cuidadoso 3", SUMIF(C24,Habilidades!$A$24,D24) * SUMIF(C24,Habilidades!$A$24,Habilidades!$B$24), if(C24="Ganancioso 1", SUMIF(C24,Habilidades!$A$25,D24) * SUMIF(C24,Habilidades!$A$25,Habilidades!$B$25), if(C24="Ganancioso 2", SUMIF(C24,Habilidades!$A$26,D24) * SUMIF(C24,Habilidades!$A$26,Habilidades!$B$26), if(C24="Ganancioso 3", SUMIF(C24,Habilidades!$A$27,D24) * SUMIF(C24,Habilidades!$A$27,Habilidades!$B$27), if(C24="Curandeiro 1", SUMIF(C24,Habilidades!$A$28,D24) * SUMIF(C24,Habilidades!$A$28,Habilidades!$B$28), if(C24="Curandeiro 2", SUMIF(C24,Habilidades!$A$29,D24) * SUMIF(C24,Habilidades!$A$29,Habilidades!$B$29), if(C24="Curandeiro 3", SUMIF(C24,Habilidades!$A$30,D24) * SUMIF(C24,Habilidades!$A$30,Habilidades!$B$30), if(C24="Sortudo 1", SUMIF(C24,Habilidades!$A$31,D24) * SUMIF(C24,Habilidades!$A$31,Habilidades!$B$31), if(C24="Sortudo 2", SUMIF(C24,Habilidades!$A$32,D24) * SUMIF(C24,Habilidades!$A$32,Habilidades!$B$32), if(C24="Sortudo 3", SUMIF(C24,Habilidades!$A$33,D24) * SUMIF(C24,Habilidades!$A$33,Habilidades!$B$33), if(C24="Protetor 1", SUMIF(C24,Habilidades!$A$34,D24) * SUMIF(C24,Habilidades!$A$34,Habilidades!$B$34), if(C24="Protetor 2", SUMIF(C24,Habilidades!$A$35,D24) * SUMIF(C24,Habilidades!$A$35,Habilidades!$B$35), if(C24="Protetor 3", SUMIF(C24,Habilidades!$A$36,D24) * SUMIF(C24,Habilidades!$A$36,Habilidades!$B$36), if(C24="Engenhoso 1", SUMIF(C24,Habilidades!$A$40,D24) * SUMIF(C24,Habilidades!$A$40,Habilidades!$B$40), if(C24="Engenhoso 2", SUMIF(C24,Habilidades!$A$41,D24) * SUMIF(C24,Habilidades!$A$41,Habilidades!$B$41), if(C24="Engenhoso 3", SUMIF(C24,Habilidades!$A$42,D24) * SUMIF(C24,Habilidades!$A$42,Habilidades!$B$42), if(C24="Reviver 1", SUMIF(C24,Habilidades!$A$43,D24) * SUMIF(C24,Habilidades!$A$43,Habilidades!$B$43), if(C24="Reviver 2", SUMIF(C24,Habilidades!$A$44,D24) * SUMIF(C24,Habilidades!$A$44,Habilidades!$B$44), if(C24="Reviver 3", SUMIF(C24,Habilidades!$A$45,D24) * SUMIF(C24,Habilidades!$A$45,Habilidades!$B$45), if(C24="Catador 1", SUMIF(C24,Habilidades!$A$46,D24) * SUMIF(C24,Habilidades!$A$46,Habilidades!$B$46), if(C24="Catador 2", SUMIF(C24,Habilidades!$A$47,D24) * SUMIF(C24,Habilidades!$A$47,Habilidades!$B$47), if(C24="Catador 3", SUMIF(C24,Habilidades!$A$48,D24) * SUMIF(C24,Habilidades!$A$48,Habilidades!$B$48), if(C24="Fornecedor 1", SUMIF(C24,Habilidades!$A$49,D24) * SUMIF(C24,Habilidades!$A$49,Habilidades!$B$49), if(C24="Fornecedor 2", SUMIF(C24,Habilidades!$A$50,D24) * SUMIF(C24,Habilidades!$A$50,Habilidades!$B$50), if(C24="Fornecedor 3", SUMIF(C24,Habilidades!$A$51,D24) * SUMIF(C24,Habilidades!$A$51,Habilidades!$B$51), if(C24="Suporte 1", SUMIF(C24,Habilidades!$A$52,D24) * SUMIF(C24,Habilidades!$A$52,Habilidades!$B$52), if(C24="Suporte 2", SUMIF(C24,Habilidades!$A$53,D24) * SUMIF(C24,Habilidades!$A$53,Habilidades!$B$53), if(C24="Suporte 3", SUMIF(C24,Habilidades!$A$54,D24) * SUMIF(C24,Habilidades!$A$54,Habilidades!$B$54), if(C24="Caça-tesouros 1", SUMIF(C24,Habilidades!$A$55,D24) * SUMIF(C24,Habilidades!$A$55,Habilidades!$B$55), if(C24="Caça-tesouros 2", SUMIF(C24,Habilidades!$A$56,D24) * SUMIF(C24,Habilidades!$A$56,Habilidades!$B$56), if(C24="Caça-tesouros 3", SUMIF(C24,Habilidades!$A$57,D24) * SUMIF(C24,Habilidades!$A$57,Habilidades!$B$57), if(C24="Velocista 1", SUMIF(C24,Habilidades!$A$77,D24) * SUMIF(C24,Habilidades!$A$77,Habilidades!$B$77), if(C24="Velocista 2", SUMIF(C24,Habilidades!$A$78,D24) * SUMIF(C24,Habilidades!$A$78,Habilidades!$B$78), if(C24="Velocista 3", SUMIF(C24,Habilidades!$A$79,D24) * SUMIF(C24,Habilidades!$A$79,Habilidades!$B$79), "-"))))))))))))))))))))))))))))))))))))))</f>
        <v>25</v>
      </c>
      <c r="F24" s="110"/>
      <c r="G24" s="137"/>
      <c r="H24" s="137"/>
      <c r="I24" s="137"/>
      <c r="J24" s="137"/>
      <c r="K24" s="137"/>
      <c r="L24" s="137"/>
      <c r="M24" s="110"/>
      <c r="N24" s="110"/>
    </row>
    <row r="25">
      <c r="C25" s="133" t="str">
        <f>IFERROR(__xludf.DUMMYFUNCTION("""COMPUTED_VALUE"""),"Detectar segredo")</f>
        <v>Detectar segredo</v>
      </c>
      <c r="D25" s="129">
        <f t="shared" si="2"/>
        <v>1</v>
      </c>
      <c r="E25" s="130">
        <f>if(C25="Detectar Segredo", SUMIF(C25,Habilidades!$A$11,D25) * SUMIF(C25,Habilidades!$A$11,Habilidades!$B$11), if(C25="Encontrar mágica", SUMIF(C25,Habilidades!$A$12,D25) * SUMIF(C25,Habilidades!$A$12,Habilidades!$B$12), if(C25="Cuidadoso 1", SUMIF(C25,Habilidades!$A$22,D25) * SUMIF(C25,Habilidades!$A$22,Habilidades!$B$22), if(C25="Cuidadoso 2", SUMIF(C25,Habilidades!$A$23,D39) * SUMIF(C25,Habilidades!$A$23,Habilidades!$B$23), if(C25="Cuidadoso 3", SUMIF(C25,Habilidades!$A$24,D25) * SUMIF(C25,Habilidades!$A$24,Habilidades!$B$24), if(C25="Ganancioso 1", SUMIF(C25,Habilidades!$A$25,D25) * SUMIF(C25,Habilidades!$A$25,Habilidades!$B$25), if(C25="Ganancioso 2", SUMIF(C25,Habilidades!$A$26,D25) * SUMIF(C25,Habilidades!$A$26,Habilidades!$B$26), if(C25="Ganancioso 3", SUMIF(C25,Habilidades!$A$27,D25) * SUMIF(C25,Habilidades!$A$27,Habilidades!$B$27), if(C25="Curandeiro 1", SUMIF(C25,Habilidades!$A$28,D25) * SUMIF(C25,Habilidades!$A$28,Habilidades!$B$28), if(C25="Curandeiro 2", SUMIF(C25,Habilidades!$A$29,D25) * SUMIF(C25,Habilidades!$A$29,Habilidades!$B$29), if(C25="Curandeiro 3", SUMIF(C25,Habilidades!$A$30,D25) * SUMIF(C25,Habilidades!$A$30,Habilidades!$B$30), if(C25="Sortudo 1", SUMIF(C25,Habilidades!$A$31,D25) * SUMIF(C25,Habilidades!$A$31,Habilidades!$B$31), if(C25="Sortudo 2", SUMIF(C25,Habilidades!$A$32,D25) * SUMIF(C25,Habilidades!$A$32,Habilidades!$B$32), if(C25="Sortudo 3", SUMIF(C25,Habilidades!$A$33,D25) * SUMIF(C25,Habilidades!$A$33,Habilidades!$B$33), if(C25="Protetor 1", SUMIF(C25,Habilidades!$A$34,D25) * SUMIF(C25,Habilidades!$A$34,Habilidades!$B$34), if(C25="Protetor 2", SUMIF(C25,Habilidades!$A$35,D25) * SUMIF(C25,Habilidades!$A$35,Habilidades!$B$35), if(C25="Protetor 3", SUMIF(C25,Habilidades!$A$36,D25) * SUMIF(C25,Habilidades!$A$36,Habilidades!$B$36), if(C25="Engenhoso 1", SUMIF(C25,Habilidades!$A$40,D25) * SUMIF(C25,Habilidades!$A$40,Habilidades!$B$40), if(C25="Engenhoso 2", SUMIF(C25,Habilidades!$A$41,D25) * SUMIF(C25,Habilidades!$A$41,Habilidades!$B$41), if(C25="Engenhoso 3", SUMIF(C25,Habilidades!$A$42,D25) * SUMIF(C25,Habilidades!$A$42,Habilidades!$B$42), if(C25="Reviver 1", SUMIF(C25,Habilidades!$A$43,D25) * SUMIF(C25,Habilidades!$A$43,Habilidades!$B$43), if(C25="Reviver 2", SUMIF(C25,Habilidades!$A$44,D25) * SUMIF(C25,Habilidades!$A$44,Habilidades!$B$44), if(C25="Reviver 3", SUMIF(C25,Habilidades!$A$45,D25) * SUMIF(C25,Habilidades!$A$45,Habilidades!$B$45), if(C25="Catador 1", SUMIF(C25,Habilidades!$A$46,D25) * SUMIF(C25,Habilidades!$A$46,Habilidades!$B$46), if(C25="Catador 2", SUMIF(C25,Habilidades!$A$47,D25) * SUMIF(C25,Habilidades!$A$47,Habilidades!$B$47), if(C25="Catador 3", SUMIF(C25,Habilidades!$A$48,D25) * SUMIF(C25,Habilidades!$A$48,Habilidades!$B$48), if(C25="Fornecedor 1", SUMIF(C25,Habilidades!$A$49,D25) * SUMIF(C25,Habilidades!$A$49,Habilidades!$B$49), if(C25="Fornecedor 2", SUMIF(C25,Habilidades!$A$50,D25) * SUMIF(C25,Habilidades!$A$50,Habilidades!$B$50), if(C25="Fornecedor 3", SUMIF(C25,Habilidades!$A$51,D25) * SUMIF(C25,Habilidades!$A$51,Habilidades!$B$51), if(C25="Suporte 1", SUMIF(C25,Habilidades!$A$52,D25) * SUMIF(C25,Habilidades!$A$52,Habilidades!$B$52), if(C25="Suporte 2", SUMIF(C25,Habilidades!$A$53,D25) * SUMIF(C25,Habilidades!$A$53,Habilidades!$B$53), if(C25="Suporte 3", SUMIF(C25,Habilidades!$A$54,D25) * SUMIF(C25,Habilidades!$A$54,Habilidades!$B$54), if(C25="Caça-tesouros 1", SUMIF(C25,Habilidades!$A$55,D25) * SUMIF(C25,Habilidades!$A$55,Habilidades!$B$55), if(C25="Caça-tesouros 2", SUMIF(C25,Habilidades!$A$56,D25) * SUMIF(C25,Habilidades!$A$56,Habilidades!$B$56), if(C25="Caça-tesouros 3", SUMIF(C25,Habilidades!$A$57,D25) * SUMIF(C25,Habilidades!$A$57,Habilidades!$B$57), if(C25="Velocista 1", SUMIF(C25,Habilidades!$A$77,D25) * SUMIF(C25,Habilidades!$A$77,Habilidades!$B$77), if(C25="Velocista 2", SUMIF(C25,Habilidades!$A$78,D25) * SUMIF(C25,Habilidades!$A$78,Habilidades!$B$78), if(C25="Velocista 3", SUMIF(C25,Habilidades!$A$79,D25) * SUMIF(C25,Habilidades!$A$79,Habilidades!$B$79), "-"))))))))))))))))))))))))))))))))))))))</f>
        <v>6</v>
      </c>
      <c r="F25" s="110"/>
      <c r="G25" s="137"/>
      <c r="H25" s="137"/>
      <c r="I25" s="137"/>
      <c r="J25" s="137"/>
      <c r="K25" s="137"/>
      <c r="L25" s="137"/>
      <c r="M25" s="110"/>
      <c r="N25" s="110"/>
    </row>
    <row r="26">
      <c r="C26" s="133" t="str">
        <f>IFERROR(__xludf.DUMMYFUNCTION("""COMPUTED_VALUE"""),"Encontrar mágica")</f>
        <v>Encontrar mágica</v>
      </c>
      <c r="D26" s="129">
        <f t="shared" si="2"/>
        <v>20</v>
      </c>
      <c r="E26" s="130">
        <f>if(C26="Detectar Segredo", SUMIF(C26,Habilidades!$A$11,D26) * SUMIF(C26,Habilidades!$A$11,Habilidades!$B$11), if(C26="Encontrar mágica", SUMIF(C26,Habilidades!$A$12,D26) * SUMIF(C26,Habilidades!$A$12,Habilidades!$B$12), if(C26="Cuidadoso 1", SUMIF(C26,Habilidades!$A$22,D26) * SUMIF(C26,Habilidades!$A$22,Habilidades!$B$22), if(C26="Cuidadoso 2", SUMIF(C26,Habilidades!$A$23,D40) * SUMIF(C26,Habilidades!$A$23,Habilidades!$B$23), if(C26="Cuidadoso 3", SUMIF(C26,Habilidades!$A$24,D26) * SUMIF(C26,Habilidades!$A$24,Habilidades!$B$24), if(C26="Ganancioso 1", SUMIF(C26,Habilidades!$A$25,D26) * SUMIF(C26,Habilidades!$A$25,Habilidades!$B$25), if(C26="Ganancioso 2", SUMIF(C26,Habilidades!$A$26,D26) * SUMIF(C26,Habilidades!$A$26,Habilidades!$B$26), if(C26="Ganancioso 3", SUMIF(C26,Habilidades!$A$27,D26) * SUMIF(C26,Habilidades!$A$27,Habilidades!$B$27), if(C26="Curandeiro 1", SUMIF(C26,Habilidades!$A$28,D26) * SUMIF(C26,Habilidades!$A$28,Habilidades!$B$28), if(C26="Curandeiro 2", SUMIF(C26,Habilidades!$A$29,D26) * SUMIF(C26,Habilidades!$A$29,Habilidades!$B$29), if(C26="Curandeiro 3", SUMIF(C26,Habilidades!$A$30,D26) * SUMIF(C26,Habilidades!$A$30,Habilidades!$B$30), if(C26="Sortudo 1", SUMIF(C26,Habilidades!$A$31,D26) * SUMIF(C26,Habilidades!$A$31,Habilidades!$B$31), if(C26="Sortudo 2", SUMIF(C26,Habilidades!$A$32,D26) * SUMIF(C26,Habilidades!$A$32,Habilidades!$B$32), if(C26="Sortudo 3", SUMIF(C26,Habilidades!$A$33,D26) * SUMIF(C26,Habilidades!$A$33,Habilidades!$B$33), if(C26="Protetor 1", SUMIF(C26,Habilidades!$A$34,D26) * SUMIF(C26,Habilidades!$A$34,Habilidades!$B$34), if(C26="Protetor 2", SUMIF(C26,Habilidades!$A$35,D26) * SUMIF(C26,Habilidades!$A$35,Habilidades!$B$35), if(C26="Protetor 3", SUMIF(C26,Habilidades!$A$36,D26) * SUMIF(C26,Habilidades!$A$36,Habilidades!$B$36), if(C26="Engenhoso 1", SUMIF(C26,Habilidades!$A$40,D26) * SUMIF(C26,Habilidades!$A$40,Habilidades!$B$40), if(C26="Engenhoso 2", SUMIF(C26,Habilidades!$A$41,D26) * SUMIF(C26,Habilidades!$A$41,Habilidades!$B$41), if(C26="Engenhoso 3", SUMIF(C26,Habilidades!$A$42,D26) * SUMIF(C26,Habilidades!$A$42,Habilidades!$B$42), if(C26="Reviver 1", SUMIF(C26,Habilidades!$A$43,D26) * SUMIF(C26,Habilidades!$A$43,Habilidades!$B$43), if(C26="Reviver 2", SUMIF(C26,Habilidades!$A$44,D26) * SUMIF(C26,Habilidades!$A$44,Habilidades!$B$44), if(C26="Reviver 3", SUMIF(C26,Habilidades!$A$45,D26) * SUMIF(C26,Habilidades!$A$45,Habilidades!$B$45), if(C26="Catador 1", SUMIF(C26,Habilidades!$A$46,D26) * SUMIF(C26,Habilidades!$A$46,Habilidades!$B$46), if(C26="Catador 2", SUMIF(C26,Habilidades!$A$47,D26) * SUMIF(C26,Habilidades!$A$47,Habilidades!$B$47), if(C26="Catador 3", SUMIF(C26,Habilidades!$A$48,D26) * SUMIF(C26,Habilidades!$A$48,Habilidades!$B$48), if(C26="Fornecedor 1", SUMIF(C26,Habilidades!$A$49,D26) * SUMIF(C26,Habilidades!$A$49,Habilidades!$B$49), if(C26="Fornecedor 2", SUMIF(C26,Habilidades!$A$50,D26) * SUMIF(C26,Habilidades!$A$50,Habilidades!$B$50), if(C26="Fornecedor 3", SUMIF(C26,Habilidades!$A$51,D26) * SUMIF(C26,Habilidades!$A$51,Habilidades!$B$51), if(C26="Suporte 1", SUMIF(C26,Habilidades!$A$52,D26) * SUMIF(C26,Habilidades!$A$52,Habilidades!$B$52), if(C26="Suporte 2", SUMIF(C26,Habilidades!$A$53,D26) * SUMIF(C26,Habilidades!$A$53,Habilidades!$B$53), if(C26="Suporte 3", SUMIF(C26,Habilidades!$A$54,D26) * SUMIF(C26,Habilidades!$A$54,Habilidades!$B$54), if(C26="Caça-tesouros 1", SUMIF(C26,Habilidades!$A$55,D26) * SUMIF(C26,Habilidades!$A$55,Habilidades!$B$55), if(C26="Caça-tesouros 2", SUMIF(C26,Habilidades!$A$56,D26) * SUMIF(C26,Habilidades!$A$56,Habilidades!$B$56), if(C26="Caça-tesouros 3", SUMIF(C26,Habilidades!$A$57,D26) * SUMIF(C26,Habilidades!$A$57,Habilidades!$B$57), if(C26="Velocista 1", SUMIF(C26,Habilidades!$A$77,D26) * SUMIF(C26,Habilidades!$A$77,Habilidades!$B$77), if(C26="Velocista 2", SUMIF(C26,Habilidades!$A$78,D26) * SUMIF(C26,Habilidades!$A$78,Habilidades!$B$78), if(C26="Velocista 3", SUMIF(C26,Habilidades!$A$79,D26) * SUMIF(C26,Habilidades!$A$79,Habilidades!$B$79), "-"))))))))))))))))))))))))))))))))))))))</f>
        <v>240</v>
      </c>
      <c r="F26" s="110"/>
      <c r="G26" s="137"/>
      <c r="H26" s="137"/>
      <c r="I26" s="137"/>
      <c r="J26" s="137"/>
      <c r="K26" s="137"/>
      <c r="L26" s="137"/>
      <c r="M26" s="110"/>
      <c r="N26" s="110"/>
    </row>
    <row r="27">
      <c r="C27" s="133" t="str">
        <f>IFERROR(__xludf.DUMMYFUNCTION("""COMPUTED_VALUE"""),"Energético 3")</f>
        <v>Energético 3</v>
      </c>
      <c r="D27" s="129">
        <f t="shared" si="2"/>
        <v>5</v>
      </c>
      <c r="E27" s="130" t="str">
        <f>if(C27="Detectar Segredo", SUMIF(C27,Habilidades!$A$11,D27) * SUMIF(C27,Habilidades!$A$11,Habilidades!$B$11), if(C27="Encontrar mágica", SUMIF(C27,Habilidades!$A$12,D27) * SUMIF(C27,Habilidades!$A$12,Habilidades!$B$12), if(C27="Cuidadoso 1", SUMIF(C27,Habilidades!$A$22,D27) * SUMIF(C27,Habilidades!$A$22,Habilidades!$B$22), if(C27="Cuidadoso 2", SUMIF(C27,Habilidades!$A$23,D41) * SUMIF(C27,Habilidades!$A$23,Habilidades!$B$23), if(C27="Cuidadoso 3", SUMIF(C27,Habilidades!$A$24,D27) * SUMIF(C27,Habilidades!$A$24,Habilidades!$B$24), if(C27="Ganancioso 1", SUMIF(C27,Habilidades!$A$25,D27) * SUMIF(C27,Habilidades!$A$25,Habilidades!$B$25), if(C27="Ganancioso 2", SUMIF(C27,Habilidades!$A$26,D27) * SUMIF(C27,Habilidades!$A$26,Habilidades!$B$26), if(C27="Ganancioso 3", SUMIF(C27,Habilidades!$A$27,D27) * SUMIF(C27,Habilidades!$A$27,Habilidades!$B$27), if(C27="Curandeiro 1", SUMIF(C27,Habilidades!$A$28,D27) * SUMIF(C27,Habilidades!$A$28,Habilidades!$B$28), if(C27="Curandeiro 2", SUMIF(C27,Habilidades!$A$29,D27) * SUMIF(C27,Habilidades!$A$29,Habilidades!$B$29), if(C27="Curandeiro 3", SUMIF(C27,Habilidades!$A$30,D27) * SUMIF(C27,Habilidades!$A$30,Habilidades!$B$30), if(C27="Sortudo 1", SUMIF(C27,Habilidades!$A$31,D27) * SUMIF(C27,Habilidades!$A$31,Habilidades!$B$31), if(C27="Sortudo 2", SUMIF(C27,Habilidades!$A$32,D27) * SUMIF(C27,Habilidades!$A$32,Habilidades!$B$32), if(C27="Sortudo 3", SUMIF(C27,Habilidades!$A$33,D27) * SUMIF(C27,Habilidades!$A$33,Habilidades!$B$33), if(C27="Protetor 1", SUMIF(C27,Habilidades!$A$34,D27) * SUMIF(C27,Habilidades!$A$34,Habilidades!$B$34), if(C27="Protetor 2", SUMIF(C27,Habilidades!$A$35,D27) * SUMIF(C27,Habilidades!$A$35,Habilidades!$B$35), if(C27="Protetor 3", SUMIF(C27,Habilidades!$A$36,D27) * SUMIF(C27,Habilidades!$A$36,Habilidades!$B$36), if(C27="Engenhoso 1", SUMIF(C27,Habilidades!$A$40,D27) * SUMIF(C27,Habilidades!$A$40,Habilidades!$B$40), if(C27="Engenhoso 2", SUMIF(C27,Habilidades!$A$41,D27) * SUMIF(C27,Habilidades!$A$41,Habilidades!$B$41), if(C27="Engenhoso 3", SUMIF(C27,Habilidades!$A$42,D27) * SUMIF(C27,Habilidades!$A$42,Habilidades!$B$42), if(C27="Reviver 1", SUMIF(C27,Habilidades!$A$43,D27) * SUMIF(C27,Habilidades!$A$43,Habilidades!$B$43), if(C27="Reviver 2", SUMIF(C27,Habilidades!$A$44,D27) * SUMIF(C27,Habilidades!$A$44,Habilidades!$B$44), if(C27="Reviver 3", SUMIF(C27,Habilidades!$A$45,D27) * SUMIF(C27,Habilidades!$A$45,Habilidades!$B$45), if(C27="Catador 1", SUMIF(C27,Habilidades!$A$46,D27) * SUMIF(C27,Habilidades!$A$46,Habilidades!$B$46), if(C27="Catador 2", SUMIF(C27,Habilidades!$A$47,D27) * SUMIF(C27,Habilidades!$A$47,Habilidades!$B$47), if(C27="Catador 3", SUMIF(C27,Habilidades!$A$48,D27) * SUMIF(C27,Habilidades!$A$48,Habilidades!$B$48), if(C27="Fornecedor 1", SUMIF(C27,Habilidades!$A$49,D27) * SUMIF(C27,Habilidades!$A$49,Habilidades!$B$49), if(C27="Fornecedor 2", SUMIF(C27,Habilidades!$A$50,D27) * SUMIF(C27,Habilidades!$A$50,Habilidades!$B$50), if(C27="Fornecedor 3", SUMIF(C27,Habilidades!$A$51,D27) * SUMIF(C27,Habilidades!$A$51,Habilidades!$B$51), if(C27="Suporte 1", SUMIF(C27,Habilidades!$A$52,D27) * SUMIF(C27,Habilidades!$A$52,Habilidades!$B$52), if(C27="Suporte 2", SUMIF(C27,Habilidades!$A$53,D27) * SUMIF(C27,Habilidades!$A$53,Habilidades!$B$53), if(C27="Suporte 3", SUMIF(C27,Habilidades!$A$54,D27) * SUMIF(C27,Habilidades!$A$54,Habilidades!$B$54), if(C27="Caça-tesouros 1", SUMIF(C27,Habilidades!$A$55,D27) * SUMIF(C27,Habilidades!$A$55,Habilidades!$B$55), if(C27="Caça-tesouros 2", SUMIF(C27,Habilidades!$A$56,D27) * SUMIF(C27,Habilidades!$A$56,Habilidades!$B$56), if(C27="Caça-tesouros 3", SUMIF(C27,Habilidades!$A$57,D27) * SUMIF(C27,Habilidades!$A$57,Habilidades!$B$57), if(C27="Velocista 1", SUMIF(C27,Habilidades!$A$77,D27) * SUMIF(C27,Habilidades!$A$77,Habilidades!$B$77), if(C27="Velocista 2", SUMIF(C27,Habilidades!$A$78,D27) * SUMIF(C27,Habilidades!$A$78,Habilidades!$B$78), if(C27="Velocista 3", SUMIF(C27,Habilidades!$A$79,D27) * SUMIF(C27,Habilidades!$A$79,Habilidades!$B$79), "-"))))))))))))))))))))))))))))))))))))))</f>
        <v>-</v>
      </c>
      <c r="F27" s="110"/>
      <c r="G27" s="137"/>
      <c r="H27" s="137"/>
      <c r="I27" s="137"/>
      <c r="J27" s="137"/>
      <c r="K27" s="137"/>
      <c r="L27" s="137"/>
      <c r="M27" s="110"/>
      <c r="N27" s="110"/>
    </row>
    <row r="28">
      <c r="C28" s="133" t="str">
        <f>IFERROR(__xludf.DUMMYFUNCTION("""COMPUTED_VALUE"""),"Fornecedor 3")</f>
        <v>Fornecedor 3</v>
      </c>
      <c r="D28" s="129">
        <f t="shared" si="2"/>
        <v>1</v>
      </c>
      <c r="E28" s="130">
        <f>if(C28="Detectar Segredo", SUMIF(C28,Habilidades!$A$11,D28) * SUMIF(C28,Habilidades!$A$11,Habilidades!$B$11), if(C28="Encontrar mágica", SUMIF(C28,Habilidades!$A$12,D28) * SUMIF(C28,Habilidades!$A$12,Habilidades!$B$12), if(C28="Cuidadoso 1", SUMIF(C28,Habilidades!$A$22,D28) * SUMIF(C28,Habilidades!$A$22,Habilidades!$B$22), if(C28="Cuidadoso 2", SUMIF(C28,Habilidades!$A$23,D42) * SUMIF(C28,Habilidades!$A$23,Habilidades!$B$23), if(C28="Cuidadoso 3", SUMIF(C28,Habilidades!$A$24,D28) * SUMIF(C28,Habilidades!$A$24,Habilidades!$B$24), if(C28="Ganancioso 1", SUMIF(C28,Habilidades!$A$25,D28) * SUMIF(C28,Habilidades!$A$25,Habilidades!$B$25), if(C28="Ganancioso 2", SUMIF(C28,Habilidades!$A$26,D28) * SUMIF(C28,Habilidades!$A$26,Habilidades!$B$26), if(C28="Ganancioso 3", SUMIF(C28,Habilidades!$A$27,D28) * SUMIF(C28,Habilidades!$A$27,Habilidades!$B$27), if(C28="Curandeiro 1", SUMIF(C28,Habilidades!$A$28,D28) * SUMIF(C28,Habilidades!$A$28,Habilidades!$B$28), if(C28="Curandeiro 2", SUMIF(C28,Habilidades!$A$29,D28) * SUMIF(C28,Habilidades!$A$29,Habilidades!$B$29), if(C28="Curandeiro 3", SUMIF(C28,Habilidades!$A$30,D28) * SUMIF(C28,Habilidades!$A$30,Habilidades!$B$30), if(C28="Sortudo 1", SUMIF(C28,Habilidades!$A$31,D28) * SUMIF(C28,Habilidades!$A$31,Habilidades!$B$31), if(C28="Sortudo 2", SUMIF(C28,Habilidades!$A$32,D28) * SUMIF(C28,Habilidades!$A$32,Habilidades!$B$32), if(C28="Sortudo 3", SUMIF(C28,Habilidades!$A$33,D28) * SUMIF(C28,Habilidades!$A$33,Habilidades!$B$33), if(C28="Protetor 1", SUMIF(C28,Habilidades!$A$34,D28) * SUMIF(C28,Habilidades!$A$34,Habilidades!$B$34), if(C28="Protetor 2", SUMIF(C28,Habilidades!$A$35,D28) * SUMIF(C28,Habilidades!$A$35,Habilidades!$B$35), if(C28="Protetor 3", SUMIF(C28,Habilidades!$A$36,D28) * SUMIF(C28,Habilidades!$A$36,Habilidades!$B$36), if(C28="Engenhoso 1", SUMIF(C28,Habilidades!$A$40,D28) * SUMIF(C28,Habilidades!$A$40,Habilidades!$B$40), if(C28="Engenhoso 2", SUMIF(C28,Habilidades!$A$41,D28) * SUMIF(C28,Habilidades!$A$41,Habilidades!$B$41), if(C28="Engenhoso 3", SUMIF(C28,Habilidades!$A$42,D28) * SUMIF(C28,Habilidades!$A$42,Habilidades!$B$42), if(C28="Reviver 1", SUMIF(C28,Habilidades!$A$43,D28) * SUMIF(C28,Habilidades!$A$43,Habilidades!$B$43), if(C28="Reviver 2", SUMIF(C28,Habilidades!$A$44,D28) * SUMIF(C28,Habilidades!$A$44,Habilidades!$B$44), if(C28="Reviver 3", SUMIF(C28,Habilidades!$A$45,D28) * SUMIF(C28,Habilidades!$A$45,Habilidades!$B$45), if(C28="Catador 1", SUMIF(C28,Habilidades!$A$46,D28) * SUMIF(C28,Habilidades!$A$46,Habilidades!$B$46), if(C28="Catador 2", SUMIF(C28,Habilidades!$A$47,D28) * SUMIF(C28,Habilidades!$A$47,Habilidades!$B$47), if(C28="Catador 3", SUMIF(C28,Habilidades!$A$48,D28) * SUMIF(C28,Habilidades!$A$48,Habilidades!$B$48), if(C28="Fornecedor 1", SUMIF(C28,Habilidades!$A$49,D28) * SUMIF(C28,Habilidades!$A$49,Habilidades!$B$49), if(C28="Fornecedor 2", SUMIF(C28,Habilidades!$A$50,D28) * SUMIF(C28,Habilidades!$A$50,Habilidades!$B$50), if(C28="Fornecedor 3", SUMIF(C28,Habilidades!$A$51,D28) * SUMIF(C28,Habilidades!$A$51,Habilidades!$B$51), if(C28="Suporte 1", SUMIF(C28,Habilidades!$A$52,D28) * SUMIF(C28,Habilidades!$A$52,Habilidades!$B$52), if(C28="Suporte 2", SUMIF(C28,Habilidades!$A$53,D28) * SUMIF(C28,Habilidades!$A$53,Habilidades!$B$53), if(C28="Suporte 3", SUMIF(C28,Habilidades!$A$54,D28) * SUMIF(C28,Habilidades!$A$54,Habilidades!$B$54), if(C28="Caça-tesouros 1", SUMIF(C28,Habilidades!$A$55,D28) * SUMIF(C28,Habilidades!$A$55,Habilidades!$B$55), if(C28="Caça-tesouros 2", SUMIF(C28,Habilidades!$A$56,D28) * SUMIF(C28,Habilidades!$A$56,Habilidades!$B$56), if(C28="Caça-tesouros 3", SUMIF(C28,Habilidades!$A$57,D28) * SUMIF(C28,Habilidades!$A$57,Habilidades!$B$57), if(C28="Velocista 1", SUMIF(C28,Habilidades!$A$77,D28) * SUMIF(C28,Habilidades!$A$77,Habilidades!$B$77), if(C28="Velocista 2", SUMIF(C28,Habilidades!$A$78,D28) * SUMIF(C28,Habilidades!$A$78,Habilidades!$B$78), if(C28="Velocista 3", SUMIF(C28,Habilidades!$A$79,D28) * SUMIF(C28,Habilidades!$A$79,Habilidades!$B$79), "-"))))))))))))))))))))))))))))))))))))))</f>
        <v>15</v>
      </c>
      <c r="F28" s="110"/>
      <c r="G28" s="137"/>
      <c r="H28" s="137"/>
      <c r="I28" s="137"/>
      <c r="J28" s="137"/>
      <c r="K28" s="137"/>
      <c r="L28" s="137"/>
      <c r="M28" s="110"/>
      <c r="N28" s="110"/>
    </row>
    <row r="29">
      <c r="C29" s="133" t="str">
        <f>IFERROR(__xludf.DUMMYFUNCTION("""COMPUTED_VALUE"""),"Ganancioso 2")</f>
        <v>Ganancioso 2</v>
      </c>
      <c r="D29" s="129">
        <f t="shared" si="2"/>
        <v>1</v>
      </c>
      <c r="E29" s="130">
        <f>if(C29="Detectar Segredo", SUMIF(C29,Habilidades!$A$11,D29) * SUMIF(C29,Habilidades!$A$11,Habilidades!$B$11), if(C29="Encontrar mágica", SUMIF(C29,Habilidades!$A$12,D29) * SUMIF(C29,Habilidades!$A$12,Habilidades!$B$12), if(C29="Cuidadoso 1", SUMIF(C29,Habilidades!$A$22,D29) * SUMIF(C29,Habilidades!$A$22,Habilidades!$B$22), if(C29="Cuidadoso 2", SUMIF(C29,Habilidades!$A$23,D43) * SUMIF(C29,Habilidades!$A$23,Habilidades!$B$23), if(C29="Cuidadoso 3", SUMIF(C29,Habilidades!$A$24,D29) * SUMIF(C29,Habilidades!$A$24,Habilidades!$B$24), if(C29="Ganancioso 1", SUMIF(C29,Habilidades!$A$25,D29) * SUMIF(C29,Habilidades!$A$25,Habilidades!$B$25), if(C29="Ganancioso 2", SUMIF(C29,Habilidades!$A$26,D29) * SUMIF(C29,Habilidades!$A$26,Habilidades!$B$26), if(C29="Ganancioso 3", SUMIF(C29,Habilidades!$A$27,D29) * SUMIF(C29,Habilidades!$A$27,Habilidades!$B$27), if(C29="Curandeiro 1", SUMIF(C29,Habilidades!$A$28,D29) * SUMIF(C29,Habilidades!$A$28,Habilidades!$B$28), if(C29="Curandeiro 2", SUMIF(C29,Habilidades!$A$29,D29) * SUMIF(C29,Habilidades!$A$29,Habilidades!$B$29), if(C29="Curandeiro 3", SUMIF(C29,Habilidades!$A$30,D29) * SUMIF(C29,Habilidades!$A$30,Habilidades!$B$30), if(C29="Sortudo 1", SUMIF(C29,Habilidades!$A$31,D29) * SUMIF(C29,Habilidades!$A$31,Habilidades!$B$31), if(C29="Sortudo 2", SUMIF(C29,Habilidades!$A$32,D29) * SUMIF(C29,Habilidades!$A$32,Habilidades!$B$32), if(C29="Sortudo 3", SUMIF(C29,Habilidades!$A$33,D29) * SUMIF(C29,Habilidades!$A$33,Habilidades!$B$33), if(C29="Protetor 1", SUMIF(C29,Habilidades!$A$34,D29) * SUMIF(C29,Habilidades!$A$34,Habilidades!$B$34), if(C29="Protetor 2", SUMIF(C29,Habilidades!$A$35,D29) * SUMIF(C29,Habilidades!$A$35,Habilidades!$B$35), if(C29="Protetor 3", SUMIF(C29,Habilidades!$A$36,D29) * SUMIF(C29,Habilidades!$A$36,Habilidades!$B$36), if(C29="Engenhoso 1", SUMIF(C29,Habilidades!$A$40,D29) * SUMIF(C29,Habilidades!$A$40,Habilidades!$B$40), if(C29="Engenhoso 2", SUMIF(C29,Habilidades!$A$41,D29) * SUMIF(C29,Habilidades!$A$41,Habilidades!$B$41), if(C29="Engenhoso 3", SUMIF(C29,Habilidades!$A$42,D29) * SUMIF(C29,Habilidades!$A$42,Habilidades!$B$42), if(C29="Reviver 1", SUMIF(C29,Habilidades!$A$43,D29) * SUMIF(C29,Habilidades!$A$43,Habilidades!$B$43), if(C29="Reviver 2", SUMIF(C29,Habilidades!$A$44,D29) * SUMIF(C29,Habilidades!$A$44,Habilidades!$B$44), if(C29="Reviver 3", SUMIF(C29,Habilidades!$A$45,D29) * SUMIF(C29,Habilidades!$A$45,Habilidades!$B$45), if(C29="Catador 1", SUMIF(C29,Habilidades!$A$46,D29) * SUMIF(C29,Habilidades!$A$46,Habilidades!$B$46), if(C29="Catador 2", SUMIF(C29,Habilidades!$A$47,D29) * SUMIF(C29,Habilidades!$A$47,Habilidades!$B$47), if(C29="Catador 3", SUMIF(C29,Habilidades!$A$48,D29) * SUMIF(C29,Habilidades!$A$48,Habilidades!$B$48), if(C29="Fornecedor 1", SUMIF(C29,Habilidades!$A$49,D29) * SUMIF(C29,Habilidades!$A$49,Habilidades!$B$49), if(C29="Fornecedor 2", SUMIF(C29,Habilidades!$A$50,D29) * SUMIF(C29,Habilidades!$A$50,Habilidades!$B$50), if(C29="Fornecedor 3", SUMIF(C29,Habilidades!$A$51,D29) * SUMIF(C29,Habilidades!$A$51,Habilidades!$B$51), if(C29="Suporte 1", SUMIF(C29,Habilidades!$A$52,D29) * SUMIF(C29,Habilidades!$A$52,Habilidades!$B$52), if(C29="Suporte 2", SUMIF(C29,Habilidades!$A$53,D29) * SUMIF(C29,Habilidades!$A$53,Habilidades!$B$53), if(C29="Suporte 3", SUMIF(C29,Habilidades!$A$54,D29) * SUMIF(C29,Habilidades!$A$54,Habilidades!$B$54), if(C29="Caça-tesouros 1", SUMIF(C29,Habilidades!$A$55,D29) * SUMIF(C29,Habilidades!$A$55,Habilidades!$B$55), if(C29="Caça-tesouros 2", SUMIF(C29,Habilidades!$A$56,D29) * SUMIF(C29,Habilidades!$A$56,Habilidades!$B$56), if(C29="Caça-tesouros 3", SUMIF(C29,Habilidades!$A$57,D29) * SUMIF(C29,Habilidades!$A$57,Habilidades!$B$57), if(C29="Velocista 1", SUMIF(C29,Habilidades!$A$77,D29) * SUMIF(C29,Habilidades!$A$77,Habilidades!$B$77), if(C29="Velocista 2", SUMIF(C29,Habilidades!$A$78,D29) * SUMIF(C29,Habilidades!$A$78,Habilidades!$B$78), if(C29="Velocista 3", SUMIF(C29,Habilidades!$A$79,D29) * SUMIF(C29,Habilidades!$A$79,Habilidades!$B$79), "-"))))))))))))))))))))))))))))))))))))))</f>
        <v>100</v>
      </c>
      <c r="F29" s="110"/>
      <c r="G29" s="141"/>
      <c r="H29" s="141"/>
      <c r="I29" s="141"/>
      <c r="J29" s="141"/>
      <c r="K29" s="139"/>
      <c r="L29" s="139"/>
      <c r="M29" s="47"/>
      <c r="N29" s="47"/>
    </row>
    <row r="30">
      <c r="C30" s="133" t="str">
        <f>IFERROR(__xludf.DUMMYFUNCTION("""COMPUTED_VALUE"""),"Ganancioso 3")</f>
        <v>Ganancioso 3</v>
      </c>
      <c r="D30" s="129">
        <f t="shared" si="2"/>
        <v>1</v>
      </c>
      <c r="E30" s="130">
        <f>if(C30="Detectar Segredo", SUMIF(C30,Habilidades!$A$11,D30) * SUMIF(C30,Habilidades!$A$11,Habilidades!$B$11), if(C30="Encontrar mágica", SUMIF(C30,Habilidades!$A$12,D30) * SUMIF(C30,Habilidades!$A$12,Habilidades!$B$12), if(C30="Cuidadoso 1", SUMIF(C30,Habilidades!$A$22,D30) * SUMIF(C30,Habilidades!$A$22,Habilidades!$B$22), if(C30="Cuidadoso 2", SUMIF(C30,Habilidades!$A$23,D44) * SUMIF(C30,Habilidades!$A$23,Habilidades!$B$23), if(C30="Cuidadoso 3", SUMIF(C30,Habilidades!$A$24,D30) * SUMIF(C30,Habilidades!$A$24,Habilidades!$B$24), if(C30="Ganancioso 1", SUMIF(C30,Habilidades!$A$25,D30) * SUMIF(C30,Habilidades!$A$25,Habilidades!$B$25), if(C30="Ganancioso 2", SUMIF(C30,Habilidades!$A$26,D30) * SUMIF(C30,Habilidades!$A$26,Habilidades!$B$26), if(C30="Ganancioso 3", SUMIF(C30,Habilidades!$A$27,D30) * SUMIF(C30,Habilidades!$A$27,Habilidades!$B$27), if(C30="Curandeiro 1", SUMIF(C30,Habilidades!$A$28,D30) * SUMIF(C30,Habilidades!$A$28,Habilidades!$B$28), if(C30="Curandeiro 2", SUMIF(C30,Habilidades!$A$29,D30) * SUMIF(C30,Habilidades!$A$29,Habilidades!$B$29), if(C30="Curandeiro 3", SUMIF(C30,Habilidades!$A$30,D30) * SUMIF(C30,Habilidades!$A$30,Habilidades!$B$30), if(C30="Sortudo 1", SUMIF(C30,Habilidades!$A$31,D30) * SUMIF(C30,Habilidades!$A$31,Habilidades!$B$31), if(C30="Sortudo 2", SUMIF(C30,Habilidades!$A$32,D30) * SUMIF(C30,Habilidades!$A$32,Habilidades!$B$32), if(C30="Sortudo 3", SUMIF(C30,Habilidades!$A$33,D30) * SUMIF(C30,Habilidades!$A$33,Habilidades!$B$33), if(C30="Protetor 1", SUMIF(C30,Habilidades!$A$34,D30) * SUMIF(C30,Habilidades!$A$34,Habilidades!$B$34), if(C30="Protetor 2", SUMIF(C30,Habilidades!$A$35,D30) * SUMIF(C30,Habilidades!$A$35,Habilidades!$B$35), if(C30="Protetor 3", SUMIF(C30,Habilidades!$A$36,D30) * SUMIF(C30,Habilidades!$A$36,Habilidades!$B$36), if(C30="Engenhoso 1", SUMIF(C30,Habilidades!$A$40,D30) * SUMIF(C30,Habilidades!$A$40,Habilidades!$B$40), if(C30="Engenhoso 2", SUMIF(C30,Habilidades!$A$41,D30) * SUMIF(C30,Habilidades!$A$41,Habilidades!$B$41), if(C30="Engenhoso 3", SUMIF(C30,Habilidades!$A$42,D30) * SUMIF(C30,Habilidades!$A$42,Habilidades!$B$42), if(C30="Reviver 1", SUMIF(C30,Habilidades!$A$43,D30) * SUMIF(C30,Habilidades!$A$43,Habilidades!$B$43), if(C30="Reviver 2", SUMIF(C30,Habilidades!$A$44,D30) * SUMIF(C30,Habilidades!$A$44,Habilidades!$B$44), if(C30="Reviver 3", SUMIF(C30,Habilidades!$A$45,D30) * SUMIF(C30,Habilidades!$A$45,Habilidades!$B$45), if(C30="Catador 1", SUMIF(C30,Habilidades!$A$46,D30) * SUMIF(C30,Habilidades!$A$46,Habilidades!$B$46), if(C30="Catador 2", SUMIF(C30,Habilidades!$A$47,D30) * SUMIF(C30,Habilidades!$A$47,Habilidades!$B$47), if(C30="Catador 3", SUMIF(C30,Habilidades!$A$48,D30) * SUMIF(C30,Habilidades!$A$48,Habilidades!$B$48), if(C30="Fornecedor 1", SUMIF(C30,Habilidades!$A$49,D30) * SUMIF(C30,Habilidades!$A$49,Habilidades!$B$49), if(C30="Fornecedor 2", SUMIF(C30,Habilidades!$A$50,D30) * SUMIF(C30,Habilidades!$A$50,Habilidades!$B$50), if(C30="Fornecedor 3", SUMIF(C30,Habilidades!$A$51,D30) * SUMIF(C30,Habilidades!$A$51,Habilidades!$B$51), if(C30="Suporte 1", SUMIF(C30,Habilidades!$A$52,D30) * SUMIF(C30,Habilidades!$A$52,Habilidades!$B$52), if(C30="Suporte 2", SUMIF(C30,Habilidades!$A$53,D30) * SUMIF(C30,Habilidades!$A$53,Habilidades!$B$53), if(C30="Suporte 3", SUMIF(C30,Habilidades!$A$54,D30) * SUMIF(C30,Habilidades!$A$54,Habilidades!$B$54), if(C30="Caça-tesouros 1", SUMIF(C30,Habilidades!$A$55,D30) * SUMIF(C30,Habilidades!$A$55,Habilidades!$B$55), if(C30="Caça-tesouros 2", SUMIF(C30,Habilidades!$A$56,D30) * SUMIF(C30,Habilidades!$A$56,Habilidades!$B$56), if(C30="Caça-tesouros 3", SUMIF(C30,Habilidades!$A$57,D30) * SUMIF(C30,Habilidades!$A$57,Habilidades!$B$57), if(C30="Velocista 1", SUMIF(C30,Habilidades!$A$77,D30) * SUMIF(C30,Habilidades!$A$77,Habilidades!$B$77), if(C30="Velocista 2", SUMIF(C30,Habilidades!$A$78,D30) * SUMIF(C30,Habilidades!$A$78,Habilidades!$B$78), if(C30="Velocista 3", SUMIF(C30,Habilidades!$A$79,D30) * SUMIF(C30,Habilidades!$A$79,Habilidades!$B$79), "-"))))))))))))))))))))))))))))))))))))))</f>
        <v>200</v>
      </c>
      <c r="F30" s="110"/>
      <c r="G30" s="137"/>
      <c r="H30" s="137"/>
      <c r="I30" s="137"/>
      <c r="J30" s="137"/>
      <c r="K30" s="139"/>
      <c r="L30" s="139"/>
      <c r="M30" s="47"/>
      <c r="N30" s="47"/>
    </row>
    <row r="31">
      <c r="C31" s="133" t="str">
        <f>IFERROR(__xludf.DUMMYFUNCTION("""COMPUTED_VALUE"""),"Resistente 1")</f>
        <v>Resistente 1</v>
      </c>
      <c r="D31" s="129">
        <f t="shared" si="2"/>
        <v>1</v>
      </c>
      <c r="E31" s="130" t="str">
        <f>if(C31="Detectar Segredo", SUMIF(C31,Habilidades!$A$11,D31) * SUMIF(C31,Habilidades!$A$11,Habilidades!$B$11), if(C31="Encontrar mágica", SUMIF(C31,Habilidades!$A$12,D31) * SUMIF(C31,Habilidades!$A$12,Habilidades!$B$12), if(C31="Cuidadoso 1", SUMIF(C31,Habilidades!$A$22,D31) * SUMIF(C31,Habilidades!$A$22,Habilidades!$B$22), if(C31="Cuidadoso 2", SUMIF(C31,Habilidades!$A$23,D45) * SUMIF(C31,Habilidades!$A$23,Habilidades!$B$23), if(C31="Cuidadoso 3", SUMIF(C31,Habilidades!$A$24,D31) * SUMIF(C31,Habilidades!$A$24,Habilidades!$B$24), if(C31="Ganancioso 1", SUMIF(C31,Habilidades!$A$25,D31) * SUMIF(C31,Habilidades!$A$25,Habilidades!$B$25), if(C31="Ganancioso 2", SUMIF(C31,Habilidades!$A$26,D31) * SUMIF(C31,Habilidades!$A$26,Habilidades!$B$26), if(C31="Ganancioso 3", SUMIF(C31,Habilidades!$A$27,D31) * SUMIF(C31,Habilidades!$A$27,Habilidades!$B$27), if(C31="Curandeiro 1", SUMIF(C31,Habilidades!$A$28,D31) * SUMIF(C31,Habilidades!$A$28,Habilidades!$B$28), if(C31="Curandeiro 2", SUMIF(C31,Habilidades!$A$29,D31) * SUMIF(C31,Habilidades!$A$29,Habilidades!$B$29), if(C31="Curandeiro 3", SUMIF(C31,Habilidades!$A$30,D31) * SUMIF(C31,Habilidades!$A$30,Habilidades!$B$30), if(C31="Sortudo 1", SUMIF(C31,Habilidades!$A$31,D31) * SUMIF(C31,Habilidades!$A$31,Habilidades!$B$31), if(C31="Sortudo 2", SUMIF(C31,Habilidades!$A$32,D31) * SUMIF(C31,Habilidades!$A$32,Habilidades!$B$32), if(C31="Sortudo 3", SUMIF(C31,Habilidades!$A$33,D31) * SUMIF(C31,Habilidades!$A$33,Habilidades!$B$33), if(C31="Protetor 1", SUMIF(C31,Habilidades!$A$34,D31) * SUMIF(C31,Habilidades!$A$34,Habilidades!$B$34), if(C31="Protetor 2", SUMIF(C31,Habilidades!$A$35,D31) * SUMIF(C31,Habilidades!$A$35,Habilidades!$B$35), if(C31="Protetor 3", SUMIF(C31,Habilidades!$A$36,D31) * SUMIF(C31,Habilidades!$A$36,Habilidades!$B$36), if(C31="Engenhoso 1", SUMIF(C31,Habilidades!$A$40,D31) * SUMIF(C31,Habilidades!$A$40,Habilidades!$B$40), if(C31="Engenhoso 2", SUMIF(C31,Habilidades!$A$41,D31) * SUMIF(C31,Habilidades!$A$41,Habilidades!$B$41), if(C31="Engenhoso 3", SUMIF(C31,Habilidades!$A$42,D31) * SUMIF(C31,Habilidades!$A$42,Habilidades!$B$42), if(C31="Reviver 1", SUMIF(C31,Habilidades!$A$43,D31) * SUMIF(C31,Habilidades!$A$43,Habilidades!$B$43), if(C31="Reviver 2", SUMIF(C31,Habilidades!$A$44,D31) * SUMIF(C31,Habilidades!$A$44,Habilidades!$B$44), if(C31="Reviver 3", SUMIF(C31,Habilidades!$A$45,D31) * SUMIF(C31,Habilidades!$A$45,Habilidades!$B$45), if(C31="Catador 1", SUMIF(C31,Habilidades!$A$46,D31) * SUMIF(C31,Habilidades!$A$46,Habilidades!$B$46), if(C31="Catador 2", SUMIF(C31,Habilidades!$A$47,D31) * SUMIF(C31,Habilidades!$A$47,Habilidades!$B$47), if(C31="Catador 3", SUMIF(C31,Habilidades!$A$48,D31) * SUMIF(C31,Habilidades!$A$48,Habilidades!$B$48), if(C31="Fornecedor 1", SUMIF(C31,Habilidades!$A$49,D31) * SUMIF(C31,Habilidades!$A$49,Habilidades!$B$49), if(C31="Fornecedor 2", SUMIF(C31,Habilidades!$A$50,D31) * SUMIF(C31,Habilidades!$A$50,Habilidades!$B$50), if(C31="Fornecedor 3", SUMIF(C31,Habilidades!$A$51,D31) * SUMIF(C31,Habilidades!$A$51,Habilidades!$B$51), if(C31="Suporte 1", SUMIF(C31,Habilidades!$A$52,D31) * SUMIF(C31,Habilidades!$A$52,Habilidades!$B$52), if(C31="Suporte 2", SUMIF(C31,Habilidades!$A$53,D31) * SUMIF(C31,Habilidades!$A$53,Habilidades!$B$53), if(C31="Suporte 3", SUMIF(C31,Habilidades!$A$54,D31) * SUMIF(C31,Habilidades!$A$54,Habilidades!$B$54), if(C31="Caça-tesouros 1", SUMIF(C31,Habilidades!$A$55,D31) * SUMIF(C31,Habilidades!$A$55,Habilidades!$B$55), if(C31="Caça-tesouros 2", SUMIF(C31,Habilidades!$A$56,D31) * SUMIF(C31,Habilidades!$A$56,Habilidades!$B$56), if(C31="Caça-tesouros 3", SUMIF(C31,Habilidades!$A$57,D31) * SUMIF(C31,Habilidades!$A$57,Habilidades!$B$57), if(C31="Velocista 1", SUMIF(C31,Habilidades!$A$77,D31) * SUMIF(C31,Habilidades!$A$77,Habilidades!$B$77), if(C31="Velocista 2", SUMIF(C31,Habilidades!$A$78,D31) * SUMIF(C31,Habilidades!$A$78,Habilidades!$B$78), if(C31="Velocista 3", SUMIF(C31,Habilidades!$A$79,D31) * SUMIF(C31,Habilidades!$A$79,Habilidades!$B$79), "-"))))))))))))))))))))))))))))))))))))))</f>
        <v>-</v>
      </c>
      <c r="F31" s="110"/>
      <c r="G31" s="137"/>
      <c r="H31" s="137"/>
      <c r="I31" s="137"/>
      <c r="J31" s="137"/>
      <c r="K31" s="139"/>
      <c r="L31" s="139"/>
      <c r="M31" s="47"/>
      <c r="N31" s="47"/>
    </row>
    <row r="32">
      <c r="C32" s="133" t="str">
        <f>IFERROR(__xludf.DUMMYFUNCTION("""COMPUTED_VALUE"""),"Reviver 2")</f>
        <v>Reviver 2</v>
      </c>
      <c r="D32" s="129">
        <f t="shared" si="2"/>
        <v>7</v>
      </c>
      <c r="E32" s="130">
        <f>if(C32="Detectar Segredo", SUMIF(C32,Habilidades!$A$11,D32) * SUMIF(C32,Habilidades!$A$11,Habilidades!$B$11), if(C32="Encontrar mágica", SUMIF(C32,Habilidades!$A$12,D32) * SUMIF(C32,Habilidades!$A$12,Habilidades!$B$12), if(C32="Cuidadoso 1", SUMIF(C32,Habilidades!$A$22,D32) * SUMIF(C32,Habilidades!$A$22,Habilidades!$B$22), if(C32="Cuidadoso 2", SUMIF(C32,Habilidades!$A$23,D46) * SUMIF(C32,Habilidades!$A$23,Habilidades!$B$23), if(C32="Cuidadoso 3", SUMIF(C32,Habilidades!$A$24,D32) * SUMIF(C32,Habilidades!$A$24,Habilidades!$B$24), if(C32="Ganancioso 1", SUMIF(C32,Habilidades!$A$25,D32) * SUMIF(C32,Habilidades!$A$25,Habilidades!$B$25), if(C32="Ganancioso 2", SUMIF(C32,Habilidades!$A$26,D32) * SUMIF(C32,Habilidades!$A$26,Habilidades!$B$26), if(C32="Ganancioso 3", SUMIF(C32,Habilidades!$A$27,D32) * SUMIF(C32,Habilidades!$A$27,Habilidades!$B$27), if(C32="Curandeiro 1", SUMIF(C32,Habilidades!$A$28,D32) * SUMIF(C32,Habilidades!$A$28,Habilidades!$B$28), if(C32="Curandeiro 2", SUMIF(C32,Habilidades!$A$29,D32) * SUMIF(C32,Habilidades!$A$29,Habilidades!$B$29), if(C32="Curandeiro 3", SUMIF(C32,Habilidades!$A$30,D32) * SUMIF(C32,Habilidades!$A$30,Habilidades!$B$30), if(C32="Sortudo 1", SUMIF(C32,Habilidades!$A$31,D32) * SUMIF(C32,Habilidades!$A$31,Habilidades!$B$31), if(C32="Sortudo 2", SUMIF(C32,Habilidades!$A$32,D32) * SUMIF(C32,Habilidades!$A$32,Habilidades!$B$32), if(C32="Sortudo 3", SUMIF(C32,Habilidades!$A$33,D32) * SUMIF(C32,Habilidades!$A$33,Habilidades!$B$33), if(C32="Protetor 1", SUMIF(C32,Habilidades!$A$34,D32) * SUMIF(C32,Habilidades!$A$34,Habilidades!$B$34), if(C32="Protetor 2", SUMIF(C32,Habilidades!$A$35,D32) * SUMIF(C32,Habilidades!$A$35,Habilidades!$B$35), if(C32="Protetor 3", SUMIF(C32,Habilidades!$A$36,D32) * SUMIF(C32,Habilidades!$A$36,Habilidades!$B$36), if(C32="Engenhoso 1", SUMIF(C32,Habilidades!$A$40,D32) * SUMIF(C32,Habilidades!$A$40,Habilidades!$B$40), if(C32="Engenhoso 2", SUMIF(C32,Habilidades!$A$41,D32) * SUMIF(C32,Habilidades!$A$41,Habilidades!$B$41), if(C32="Engenhoso 3", SUMIF(C32,Habilidades!$A$42,D32) * SUMIF(C32,Habilidades!$A$42,Habilidades!$B$42), if(C32="Reviver 1", SUMIF(C32,Habilidades!$A$43,D32) * SUMIF(C32,Habilidades!$A$43,Habilidades!$B$43), if(C32="Reviver 2", SUMIF(C32,Habilidades!$A$44,D32) * SUMIF(C32,Habilidades!$A$44,Habilidades!$B$44), if(C32="Reviver 3", SUMIF(C32,Habilidades!$A$45,D32) * SUMIF(C32,Habilidades!$A$45,Habilidades!$B$45), if(C32="Catador 1", SUMIF(C32,Habilidades!$A$46,D32) * SUMIF(C32,Habilidades!$A$46,Habilidades!$B$46), if(C32="Catador 2", SUMIF(C32,Habilidades!$A$47,D32) * SUMIF(C32,Habilidades!$A$47,Habilidades!$B$47), if(C32="Catador 3", SUMIF(C32,Habilidades!$A$48,D32) * SUMIF(C32,Habilidades!$A$48,Habilidades!$B$48), if(C32="Fornecedor 1", SUMIF(C32,Habilidades!$A$49,D32) * SUMIF(C32,Habilidades!$A$49,Habilidades!$B$49), if(C32="Fornecedor 2", SUMIF(C32,Habilidades!$A$50,D32) * SUMIF(C32,Habilidades!$A$50,Habilidades!$B$50), if(C32="Fornecedor 3", SUMIF(C32,Habilidades!$A$51,D32) * SUMIF(C32,Habilidades!$A$51,Habilidades!$B$51), if(C32="Suporte 1", SUMIF(C32,Habilidades!$A$52,D32) * SUMIF(C32,Habilidades!$A$52,Habilidades!$B$52), if(C32="Suporte 2", SUMIF(C32,Habilidades!$A$53,D32) * SUMIF(C32,Habilidades!$A$53,Habilidades!$B$53), if(C32="Suporte 3", SUMIF(C32,Habilidades!$A$54,D32) * SUMIF(C32,Habilidades!$A$54,Habilidades!$B$54), if(C32="Caça-tesouros 1", SUMIF(C32,Habilidades!$A$55,D32) * SUMIF(C32,Habilidades!$A$55,Habilidades!$B$55), if(C32="Caça-tesouros 2", SUMIF(C32,Habilidades!$A$56,D32) * SUMIF(C32,Habilidades!$A$56,Habilidades!$B$56), if(C32="Caça-tesouros 3", SUMIF(C32,Habilidades!$A$57,D32) * SUMIF(C32,Habilidades!$A$57,Habilidades!$B$57), if(C32="Velocista 1", SUMIF(C32,Habilidades!$A$77,D32) * SUMIF(C32,Habilidades!$A$77,Habilidades!$B$77), if(C32="Velocista 2", SUMIF(C32,Habilidades!$A$78,D32) * SUMIF(C32,Habilidades!$A$78,Habilidades!$B$78), if(C32="Velocista 3", SUMIF(C32,Habilidades!$A$79,D32) * SUMIF(C32,Habilidades!$A$79,Habilidades!$B$79), "-"))))))))))))))))))))))))))))))))))))))</f>
        <v>70</v>
      </c>
      <c r="F32" s="110"/>
      <c r="G32" s="137"/>
      <c r="H32" s="137"/>
      <c r="I32" s="137"/>
      <c r="J32" s="137"/>
      <c r="K32" s="139"/>
      <c r="L32" s="139"/>
      <c r="M32" s="47"/>
      <c r="N32" s="47"/>
    </row>
    <row r="33">
      <c r="C33" s="142" t="str">
        <f>IFERROR(__xludf.DUMMYFUNCTION("""COMPUTED_VALUE"""),"Reviver 3")</f>
        <v>Reviver 3</v>
      </c>
      <c r="D33" s="129">
        <f t="shared" si="2"/>
        <v>2</v>
      </c>
      <c r="E33" s="130">
        <f>if(C33="Detectar Segredo", SUMIF(C33,Habilidades!$A$11,D33) * SUMIF(C33,Habilidades!$A$11,Habilidades!$B$11), if(C33="Encontrar mágica", SUMIF(C33,Habilidades!$A$12,D33) * SUMIF(C33,Habilidades!$A$12,Habilidades!$B$12), if(C33="Cuidadoso 1", SUMIF(C33,Habilidades!$A$22,D33) * SUMIF(C33,Habilidades!$A$22,Habilidades!$B$22), if(C33="Cuidadoso 2", SUMIF(C33,Habilidades!$A$23,D47) * SUMIF(C33,Habilidades!$A$23,Habilidades!$B$23), if(C33="Cuidadoso 3", SUMIF(C33,Habilidades!$A$24,D33) * SUMIF(C33,Habilidades!$A$24,Habilidades!$B$24), if(C33="Ganancioso 1", SUMIF(C33,Habilidades!$A$25,D33) * SUMIF(C33,Habilidades!$A$25,Habilidades!$B$25), if(C33="Ganancioso 2", SUMIF(C33,Habilidades!$A$26,D33) * SUMIF(C33,Habilidades!$A$26,Habilidades!$B$26), if(C33="Ganancioso 3", SUMIF(C33,Habilidades!$A$27,D33) * SUMIF(C33,Habilidades!$A$27,Habilidades!$B$27), if(C33="Curandeiro 1", SUMIF(C33,Habilidades!$A$28,D33) * SUMIF(C33,Habilidades!$A$28,Habilidades!$B$28), if(C33="Curandeiro 2", SUMIF(C33,Habilidades!$A$29,D33) * SUMIF(C33,Habilidades!$A$29,Habilidades!$B$29), if(C33="Curandeiro 3", SUMIF(C33,Habilidades!$A$30,D33) * SUMIF(C33,Habilidades!$A$30,Habilidades!$B$30), if(C33="Sortudo 1", SUMIF(C33,Habilidades!$A$31,D33) * SUMIF(C33,Habilidades!$A$31,Habilidades!$B$31), if(C33="Sortudo 2", SUMIF(C33,Habilidades!$A$32,D33) * SUMIF(C33,Habilidades!$A$32,Habilidades!$B$32), if(C33="Sortudo 3", SUMIF(C33,Habilidades!$A$33,D33) * SUMIF(C33,Habilidades!$A$33,Habilidades!$B$33), if(C33="Protetor 1", SUMIF(C33,Habilidades!$A$34,D33) * SUMIF(C33,Habilidades!$A$34,Habilidades!$B$34), if(C33="Protetor 2", SUMIF(C33,Habilidades!$A$35,D33) * SUMIF(C33,Habilidades!$A$35,Habilidades!$B$35), if(C33="Protetor 3", SUMIF(C33,Habilidades!$A$36,D33) * SUMIF(C33,Habilidades!$A$36,Habilidades!$B$36), if(C33="Engenhoso 1", SUMIF(C33,Habilidades!$A$40,D33) * SUMIF(C33,Habilidades!$A$40,Habilidades!$B$40), if(C33="Engenhoso 2", SUMIF(C33,Habilidades!$A$41,D33) * SUMIF(C33,Habilidades!$A$41,Habilidades!$B$41), if(C33="Engenhoso 3", SUMIF(C33,Habilidades!$A$42,D33) * SUMIF(C33,Habilidades!$A$42,Habilidades!$B$42), if(C33="Reviver 1", SUMIF(C33,Habilidades!$A$43,D33) * SUMIF(C33,Habilidades!$A$43,Habilidades!$B$43), if(C33="Reviver 2", SUMIF(C33,Habilidades!$A$44,D33) * SUMIF(C33,Habilidades!$A$44,Habilidades!$B$44), if(C33="Reviver 3", SUMIF(C33,Habilidades!$A$45,D33) * SUMIF(C33,Habilidades!$A$45,Habilidades!$B$45), if(C33="Catador 1", SUMIF(C33,Habilidades!$A$46,D33) * SUMIF(C33,Habilidades!$A$46,Habilidades!$B$46), if(C33="Catador 2", SUMIF(C33,Habilidades!$A$47,D33) * SUMIF(C33,Habilidades!$A$47,Habilidades!$B$47), if(C33="Catador 3", SUMIF(C33,Habilidades!$A$48,D33) * SUMIF(C33,Habilidades!$A$48,Habilidades!$B$48), if(C33="Fornecedor 1", SUMIF(C33,Habilidades!$A$49,D33) * SUMIF(C33,Habilidades!$A$49,Habilidades!$B$49), if(C33="Fornecedor 2", SUMIF(C33,Habilidades!$A$50,D33) * SUMIF(C33,Habilidades!$A$50,Habilidades!$B$50), if(C33="Fornecedor 3", SUMIF(C33,Habilidades!$A$51,D33) * SUMIF(C33,Habilidades!$A$51,Habilidades!$B$51), if(C33="Suporte 1", SUMIF(C33,Habilidades!$A$52,D33) * SUMIF(C33,Habilidades!$A$52,Habilidades!$B$52), if(C33="Suporte 2", SUMIF(C33,Habilidades!$A$53,D33) * SUMIF(C33,Habilidades!$A$53,Habilidades!$B$53), if(C33="Suporte 3", SUMIF(C33,Habilidades!$A$54,D33) * SUMIF(C33,Habilidades!$A$54,Habilidades!$B$54), if(C33="Caça-tesouros 1", SUMIF(C33,Habilidades!$A$55,D33) * SUMIF(C33,Habilidades!$A$55,Habilidades!$B$55), if(C33="Caça-tesouros 2", SUMIF(C33,Habilidades!$A$56,D33) * SUMIF(C33,Habilidades!$A$56,Habilidades!$B$56), if(C33="Caça-tesouros 3", SUMIF(C33,Habilidades!$A$57,D33) * SUMIF(C33,Habilidades!$A$57,Habilidades!$B$57), if(C33="Velocista 1", SUMIF(C33,Habilidades!$A$77,D33) * SUMIF(C33,Habilidades!$A$77,Habilidades!$B$77), if(C33="Velocista 2", SUMIF(C33,Habilidades!$A$78,D33) * SUMIF(C33,Habilidades!$A$78,Habilidades!$B$78), if(C33="Velocista 3", SUMIF(C33,Habilidades!$A$79,D33) * SUMIF(C33,Habilidades!$A$79,Habilidades!$B$79), "-"))))))))))))))))))))))))))))))))))))))</f>
        <v>30</v>
      </c>
      <c r="F33" s="110"/>
      <c r="G33" s="137"/>
      <c r="H33" s="137"/>
      <c r="I33" s="137"/>
      <c r="J33" s="137"/>
      <c r="K33" s="139"/>
      <c r="L33" s="139"/>
      <c r="M33" s="47"/>
      <c r="N33" s="47"/>
    </row>
    <row r="34">
      <c r="C34" s="142" t="str">
        <f>IFERROR(__xludf.DUMMYFUNCTION("""COMPUTED_VALUE"""),"Sortudo 3")</f>
        <v>Sortudo 3</v>
      </c>
      <c r="D34" s="129">
        <f t="shared" si="2"/>
        <v>1</v>
      </c>
      <c r="E34" s="130">
        <f>if(C34="Detectar Segredo", SUMIF(C34,Habilidades!$A$11,D34) * SUMIF(C34,Habilidades!$A$11,Habilidades!$B$11), if(C34="Encontrar mágica", SUMIF(C34,Habilidades!$A$12,D34) * SUMIF(C34,Habilidades!$A$12,Habilidades!$B$12), if(C34="Cuidadoso 1", SUMIF(C34,Habilidades!$A$22,D34) * SUMIF(C34,Habilidades!$A$22,Habilidades!$B$22), if(C34="Cuidadoso 2", SUMIF(C34,Habilidades!$A$23,D48) * SUMIF(C34,Habilidades!$A$23,Habilidades!$B$23), if(C34="Cuidadoso 3", SUMIF(C34,Habilidades!$A$24,D34) * SUMIF(C34,Habilidades!$A$24,Habilidades!$B$24), if(C34="Ganancioso 1", SUMIF(C34,Habilidades!$A$25,D34) * SUMIF(C34,Habilidades!$A$25,Habilidades!$B$25), if(C34="Ganancioso 2", SUMIF(C34,Habilidades!$A$26,D34) * SUMIF(C34,Habilidades!$A$26,Habilidades!$B$26), if(C34="Ganancioso 3", SUMIF(C34,Habilidades!$A$27,D34) * SUMIF(C34,Habilidades!$A$27,Habilidades!$B$27), if(C34="Curandeiro 1", SUMIF(C34,Habilidades!$A$28,D34) * SUMIF(C34,Habilidades!$A$28,Habilidades!$B$28), if(C34="Curandeiro 2", SUMIF(C34,Habilidades!$A$29,D34) * SUMIF(C34,Habilidades!$A$29,Habilidades!$B$29), if(C34="Curandeiro 3", SUMIF(C34,Habilidades!$A$30,D34) * SUMIF(C34,Habilidades!$A$30,Habilidades!$B$30), if(C34="Sortudo 1", SUMIF(C34,Habilidades!$A$31,D34) * SUMIF(C34,Habilidades!$A$31,Habilidades!$B$31), if(C34="Sortudo 2", SUMIF(C34,Habilidades!$A$32,D34) * SUMIF(C34,Habilidades!$A$32,Habilidades!$B$32), if(C34="Sortudo 3", SUMIF(C34,Habilidades!$A$33,D34) * SUMIF(C34,Habilidades!$A$33,Habilidades!$B$33), if(C34="Protetor 1", SUMIF(C34,Habilidades!$A$34,D34) * SUMIF(C34,Habilidades!$A$34,Habilidades!$B$34), if(C34="Protetor 2", SUMIF(C34,Habilidades!$A$35,D34) * SUMIF(C34,Habilidades!$A$35,Habilidades!$B$35), if(C34="Protetor 3", SUMIF(C34,Habilidades!$A$36,D34) * SUMIF(C34,Habilidades!$A$36,Habilidades!$B$36), if(C34="Engenhoso 1", SUMIF(C34,Habilidades!$A$40,D34) * SUMIF(C34,Habilidades!$A$40,Habilidades!$B$40), if(C34="Engenhoso 2", SUMIF(C34,Habilidades!$A$41,D34) * SUMIF(C34,Habilidades!$A$41,Habilidades!$B$41), if(C34="Engenhoso 3", SUMIF(C34,Habilidades!$A$42,D34) * SUMIF(C34,Habilidades!$A$42,Habilidades!$B$42), if(C34="Reviver 1", SUMIF(C34,Habilidades!$A$43,D34) * SUMIF(C34,Habilidades!$A$43,Habilidades!$B$43), if(C34="Reviver 2", SUMIF(C34,Habilidades!$A$44,D34) * SUMIF(C34,Habilidades!$A$44,Habilidades!$B$44), if(C34="Reviver 3", SUMIF(C34,Habilidades!$A$45,D34) * SUMIF(C34,Habilidades!$A$45,Habilidades!$B$45), if(C34="Catador 1", SUMIF(C34,Habilidades!$A$46,D34) * SUMIF(C34,Habilidades!$A$46,Habilidades!$B$46), if(C34="Catador 2", SUMIF(C34,Habilidades!$A$47,D34) * SUMIF(C34,Habilidades!$A$47,Habilidades!$B$47), if(C34="Catador 3", SUMIF(C34,Habilidades!$A$48,D34) * SUMIF(C34,Habilidades!$A$48,Habilidades!$B$48), if(C34="Fornecedor 1", SUMIF(C34,Habilidades!$A$49,D34) * SUMIF(C34,Habilidades!$A$49,Habilidades!$B$49), if(C34="Fornecedor 2", SUMIF(C34,Habilidades!$A$50,D34) * SUMIF(C34,Habilidades!$A$50,Habilidades!$B$50), if(C34="Fornecedor 3", SUMIF(C34,Habilidades!$A$51,D34) * SUMIF(C34,Habilidades!$A$51,Habilidades!$B$51), if(C34="Suporte 1", SUMIF(C34,Habilidades!$A$52,D34) * SUMIF(C34,Habilidades!$A$52,Habilidades!$B$52), if(C34="Suporte 2", SUMIF(C34,Habilidades!$A$53,D34) * SUMIF(C34,Habilidades!$A$53,Habilidades!$B$53), if(C34="Suporte 3", SUMIF(C34,Habilidades!$A$54,D34) * SUMIF(C34,Habilidades!$A$54,Habilidades!$B$54), if(C34="Caça-tesouros 1", SUMIF(C34,Habilidades!$A$55,D34) * SUMIF(C34,Habilidades!$A$55,Habilidades!$B$55), if(C34="Caça-tesouros 2", SUMIF(C34,Habilidades!$A$56,D34) * SUMIF(C34,Habilidades!$A$56,Habilidades!$B$56), if(C34="Caça-tesouros 3", SUMIF(C34,Habilidades!$A$57,D34) * SUMIF(C34,Habilidades!$A$57,Habilidades!$B$57), if(C34="Velocista 1", SUMIF(C34,Habilidades!$A$77,D34) * SUMIF(C34,Habilidades!$A$77,Habilidades!$B$77), if(C34="Velocista 2", SUMIF(C34,Habilidades!$A$78,D34) * SUMIF(C34,Habilidades!$A$78,Habilidades!$B$78), if(C34="Velocista 3", SUMIF(C34,Habilidades!$A$79,D34) * SUMIF(C34,Habilidades!$A$79,Habilidades!$B$79), "-"))))))))))))))))))))))))))))))))))))))</f>
        <v>30</v>
      </c>
      <c r="F34" s="110"/>
      <c r="G34" s="137"/>
      <c r="H34" s="137"/>
      <c r="I34" s="137"/>
      <c r="J34" s="137"/>
      <c r="K34" s="137"/>
      <c r="L34" s="137"/>
      <c r="M34" s="110"/>
      <c r="N34" s="110"/>
    </row>
    <row r="35">
      <c r="C35" s="142" t="str">
        <f>IFERROR(__xludf.DUMMYFUNCTION("""COMPUTED_VALUE"""),"Suporte 2")</f>
        <v>Suporte 2</v>
      </c>
      <c r="D35" s="129">
        <f t="shared" si="2"/>
        <v>2</v>
      </c>
      <c r="E35" s="130">
        <f>if(C35="Detectar Segredo", SUMIF(C35,Habilidades!$A$11,D35) * SUMIF(C35,Habilidades!$A$11,Habilidades!$B$11), if(C35="Encontrar mágica", SUMIF(C35,Habilidades!$A$12,D35) * SUMIF(C35,Habilidades!$A$12,Habilidades!$B$12), if(C35="Cuidadoso 1", SUMIF(C35,Habilidades!$A$22,D35) * SUMIF(C35,Habilidades!$A$22,Habilidades!$B$22), if(C35="Cuidadoso 2", SUMIF(C35,Habilidades!$A$23,D49) * SUMIF(C35,Habilidades!$A$23,Habilidades!$B$23), if(C35="Cuidadoso 3", SUMIF(C35,Habilidades!$A$24,D35) * SUMIF(C35,Habilidades!$A$24,Habilidades!$B$24), if(C35="Ganancioso 1", SUMIF(C35,Habilidades!$A$25,D35) * SUMIF(C35,Habilidades!$A$25,Habilidades!$B$25), if(C35="Ganancioso 2", SUMIF(C35,Habilidades!$A$26,D35) * SUMIF(C35,Habilidades!$A$26,Habilidades!$B$26), if(C35="Ganancioso 3", SUMIF(C35,Habilidades!$A$27,D35) * SUMIF(C35,Habilidades!$A$27,Habilidades!$B$27), if(C35="Curandeiro 1", SUMIF(C35,Habilidades!$A$28,D35) * SUMIF(C35,Habilidades!$A$28,Habilidades!$B$28), if(C35="Curandeiro 2", SUMIF(C35,Habilidades!$A$29,D35) * SUMIF(C35,Habilidades!$A$29,Habilidades!$B$29), if(C35="Curandeiro 3", SUMIF(C35,Habilidades!$A$30,D35) * SUMIF(C35,Habilidades!$A$30,Habilidades!$B$30), if(C35="Sortudo 1", SUMIF(C35,Habilidades!$A$31,D35) * SUMIF(C35,Habilidades!$A$31,Habilidades!$B$31), if(C35="Sortudo 2", SUMIF(C35,Habilidades!$A$32,D35) * SUMIF(C35,Habilidades!$A$32,Habilidades!$B$32), if(C35="Sortudo 3", SUMIF(C35,Habilidades!$A$33,D35) * SUMIF(C35,Habilidades!$A$33,Habilidades!$B$33), if(C35="Protetor 1", SUMIF(C35,Habilidades!$A$34,D35) * SUMIF(C35,Habilidades!$A$34,Habilidades!$B$34), if(C35="Protetor 2", SUMIF(C35,Habilidades!$A$35,D35) * SUMIF(C35,Habilidades!$A$35,Habilidades!$B$35), if(C35="Protetor 3", SUMIF(C35,Habilidades!$A$36,D35) * SUMIF(C35,Habilidades!$A$36,Habilidades!$B$36), if(C35="Engenhoso 1", SUMIF(C35,Habilidades!$A$40,D35) * SUMIF(C35,Habilidades!$A$40,Habilidades!$B$40), if(C35="Engenhoso 2", SUMIF(C35,Habilidades!$A$41,D35) * SUMIF(C35,Habilidades!$A$41,Habilidades!$B$41), if(C35="Engenhoso 3", SUMIF(C35,Habilidades!$A$42,D35) * SUMIF(C35,Habilidades!$A$42,Habilidades!$B$42), if(C35="Reviver 1", SUMIF(C35,Habilidades!$A$43,D35) * SUMIF(C35,Habilidades!$A$43,Habilidades!$B$43), if(C35="Reviver 2", SUMIF(C35,Habilidades!$A$44,D35) * SUMIF(C35,Habilidades!$A$44,Habilidades!$B$44), if(C35="Reviver 3", SUMIF(C35,Habilidades!$A$45,D35) * SUMIF(C35,Habilidades!$A$45,Habilidades!$B$45), if(C35="Catador 1", SUMIF(C35,Habilidades!$A$46,D35) * SUMIF(C35,Habilidades!$A$46,Habilidades!$B$46), if(C35="Catador 2", SUMIF(C35,Habilidades!$A$47,D35) * SUMIF(C35,Habilidades!$A$47,Habilidades!$B$47), if(C35="Catador 3", SUMIF(C35,Habilidades!$A$48,D35) * SUMIF(C35,Habilidades!$A$48,Habilidades!$B$48), if(C35="Fornecedor 1", SUMIF(C35,Habilidades!$A$49,D35) * SUMIF(C35,Habilidades!$A$49,Habilidades!$B$49), if(C35="Fornecedor 2", SUMIF(C35,Habilidades!$A$50,D35) * SUMIF(C35,Habilidades!$A$50,Habilidades!$B$50), if(C35="Fornecedor 3", SUMIF(C35,Habilidades!$A$51,D35) * SUMIF(C35,Habilidades!$A$51,Habilidades!$B$51), if(C35="Suporte 1", SUMIF(C35,Habilidades!$A$52,D35) * SUMIF(C35,Habilidades!$A$52,Habilidades!$B$52), if(C35="Suporte 2", SUMIF(C35,Habilidades!$A$53,D35) * SUMIF(C35,Habilidades!$A$53,Habilidades!$B$53), if(C35="Suporte 3", SUMIF(C35,Habilidades!$A$54,D35) * SUMIF(C35,Habilidades!$A$54,Habilidades!$B$54), if(C35="Caça-tesouros 1", SUMIF(C35,Habilidades!$A$55,D35) * SUMIF(C35,Habilidades!$A$55,Habilidades!$B$55), if(C35="Caça-tesouros 2", SUMIF(C35,Habilidades!$A$56,D35) * SUMIF(C35,Habilidades!$A$56,Habilidades!$B$56), if(C35="Caça-tesouros 3", SUMIF(C35,Habilidades!$A$57,D35) * SUMIF(C35,Habilidades!$A$57,Habilidades!$B$57), if(C35="Velocista 1", SUMIF(C35,Habilidades!$A$77,D35) * SUMIF(C35,Habilidades!$A$77,Habilidades!$B$77), if(C35="Velocista 2", SUMIF(C35,Habilidades!$A$78,D35) * SUMIF(C35,Habilidades!$A$78,Habilidades!$B$78), if(C35="Velocista 3", SUMIF(C35,Habilidades!$A$79,D35) * SUMIF(C35,Habilidades!$A$79,Habilidades!$B$79), "-"))))))))))))))))))))))))))))))))))))))</f>
        <v>4</v>
      </c>
      <c r="F35" s="110"/>
      <c r="G35" s="137"/>
      <c r="H35" s="137"/>
      <c r="I35" s="137"/>
      <c r="J35" s="137"/>
      <c r="K35" s="137"/>
      <c r="L35" s="137"/>
      <c r="M35" s="110"/>
      <c r="N35" s="110"/>
    </row>
    <row r="36">
      <c r="C36" s="142" t="str">
        <f>IFERROR(__xludf.DUMMYFUNCTION("""COMPUTED_VALUE"""),"Velocista 3")</f>
        <v>Velocista 3</v>
      </c>
      <c r="D36" s="129">
        <f t="shared" si="2"/>
        <v>2</v>
      </c>
      <c r="E36" s="130">
        <f>if(C36="Detectar Segredo", SUMIF(C36,Habilidades!$A$11,D36) * SUMIF(C36,Habilidades!$A$11,Habilidades!$B$11), if(C36="Encontrar mágica", SUMIF(C36,Habilidades!$A$12,D36) * SUMIF(C36,Habilidades!$A$12,Habilidades!$B$12), if(C36="Cuidadoso 1", SUMIF(C36,Habilidades!$A$22,D36) * SUMIF(C36,Habilidades!$A$22,Habilidades!$B$22), if(C36="Cuidadoso 2", SUMIF(C36,Habilidades!$A$23,D50) * SUMIF(C36,Habilidades!$A$23,Habilidades!$B$23), if(C36="Cuidadoso 3", SUMIF(C36,Habilidades!$A$24,D36) * SUMIF(C36,Habilidades!$A$24,Habilidades!$B$24), if(C36="Ganancioso 1", SUMIF(C36,Habilidades!$A$25,D36) * SUMIF(C36,Habilidades!$A$25,Habilidades!$B$25), if(C36="Ganancioso 2", SUMIF(C36,Habilidades!$A$26,D36) * SUMIF(C36,Habilidades!$A$26,Habilidades!$B$26), if(C36="Ganancioso 3", SUMIF(C36,Habilidades!$A$27,D36) * SUMIF(C36,Habilidades!$A$27,Habilidades!$B$27), if(C36="Curandeiro 1", SUMIF(C36,Habilidades!$A$28,D36) * SUMIF(C36,Habilidades!$A$28,Habilidades!$B$28), if(C36="Curandeiro 2", SUMIF(C36,Habilidades!$A$29,D36) * SUMIF(C36,Habilidades!$A$29,Habilidades!$B$29), if(C36="Curandeiro 3", SUMIF(C36,Habilidades!$A$30,D36) * SUMIF(C36,Habilidades!$A$30,Habilidades!$B$30), if(C36="Sortudo 1", SUMIF(C36,Habilidades!$A$31,D36) * SUMIF(C36,Habilidades!$A$31,Habilidades!$B$31), if(C36="Sortudo 2", SUMIF(C36,Habilidades!$A$32,D36) * SUMIF(C36,Habilidades!$A$32,Habilidades!$B$32), if(C36="Sortudo 3", SUMIF(C36,Habilidades!$A$33,D36) * SUMIF(C36,Habilidades!$A$33,Habilidades!$B$33), if(C36="Protetor 1", SUMIF(C36,Habilidades!$A$34,D36) * SUMIF(C36,Habilidades!$A$34,Habilidades!$B$34), if(C36="Protetor 2", SUMIF(C36,Habilidades!$A$35,D36) * SUMIF(C36,Habilidades!$A$35,Habilidades!$B$35), if(C36="Protetor 3", SUMIF(C36,Habilidades!$A$36,D36) * SUMIF(C36,Habilidades!$A$36,Habilidades!$B$36), if(C36="Engenhoso 1", SUMIF(C36,Habilidades!$A$40,D36) * SUMIF(C36,Habilidades!$A$40,Habilidades!$B$40), if(C36="Engenhoso 2", SUMIF(C36,Habilidades!$A$41,D36) * SUMIF(C36,Habilidades!$A$41,Habilidades!$B$41), if(C36="Engenhoso 3", SUMIF(C36,Habilidades!$A$42,D36) * SUMIF(C36,Habilidades!$A$42,Habilidades!$B$42), if(C36="Reviver 1", SUMIF(C36,Habilidades!$A$43,D36) * SUMIF(C36,Habilidades!$A$43,Habilidades!$B$43), if(C36="Reviver 2", SUMIF(C36,Habilidades!$A$44,D36) * SUMIF(C36,Habilidades!$A$44,Habilidades!$B$44), if(C36="Reviver 3", SUMIF(C36,Habilidades!$A$45,D36) * SUMIF(C36,Habilidades!$A$45,Habilidades!$B$45), if(C36="Catador 1", SUMIF(C36,Habilidades!$A$46,D36) * SUMIF(C36,Habilidades!$A$46,Habilidades!$B$46), if(C36="Catador 2", SUMIF(C36,Habilidades!$A$47,D36) * SUMIF(C36,Habilidades!$A$47,Habilidades!$B$47), if(C36="Catador 3", SUMIF(C36,Habilidades!$A$48,D36) * SUMIF(C36,Habilidades!$A$48,Habilidades!$B$48), if(C36="Fornecedor 1", SUMIF(C36,Habilidades!$A$49,D36) * SUMIF(C36,Habilidades!$A$49,Habilidades!$B$49), if(C36="Fornecedor 2", SUMIF(C36,Habilidades!$A$50,D36) * SUMIF(C36,Habilidades!$A$50,Habilidades!$B$50), if(C36="Fornecedor 3", SUMIF(C36,Habilidades!$A$51,D36) * SUMIF(C36,Habilidades!$A$51,Habilidades!$B$51), if(C36="Suporte 1", SUMIF(C36,Habilidades!$A$52,D36) * SUMIF(C36,Habilidades!$A$52,Habilidades!$B$52), if(C36="Suporte 2", SUMIF(C36,Habilidades!$A$53,D36) * SUMIF(C36,Habilidades!$A$53,Habilidades!$B$53), if(C36="Suporte 3", SUMIF(C36,Habilidades!$A$54,D36) * SUMIF(C36,Habilidades!$A$54,Habilidades!$B$54), if(C36="Caça-tesouros 1", SUMIF(C36,Habilidades!$A$55,D36) * SUMIF(C36,Habilidades!$A$55,Habilidades!$B$55), if(C36="Caça-tesouros 2", SUMIF(C36,Habilidades!$A$56,D36) * SUMIF(C36,Habilidades!$A$56,Habilidades!$B$56), if(C36="Caça-tesouros 3", SUMIF(C36,Habilidades!$A$57,D36) * SUMIF(C36,Habilidades!$A$57,Habilidades!$B$57), if(C36="Velocista 1", SUMIF(C36,Habilidades!$A$77,D36) * SUMIF(C36,Habilidades!$A$77,Habilidades!$B$77), if(C36="Velocista 2", SUMIF(C36,Habilidades!$A$78,D36) * SUMIF(C36,Habilidades!$A$78,Habilidades!$B$78), if(C36="Velocista 3", SUMIF(C36,Habilidades!$A$79,D36) * SUMIF(C36,Habilidades!$A$79,Habilidades!$B$79), "-"))))))))))))))))))))))))))))))))))))))</f>
        <v>100</v>
      </c>
      <c r="F36" s="110"/>
      <c r="G36" s="137"/>
      <c r="H36" s="137"/>
      <c r="I36" s="137"/>
      <c r="J36" s="137"/>
      <c r="K36" s="137"/>
      <c r="L36" s="137"/>
      <c r="M36" s="110"/>
      <c r="N36" s="110"/>
    </row>
    <row r="37">
      <c r="C37" s="142" t="b">
        <f>IFERROR(__xludf.DUMMYFUNCTION("""COMPUTED_VALUE"""),FALSE)</f>
        <v>0</v>
      </c>
      <c r="D37" s="129">
        <f t="shared" si="2"/>
        <v>1</v>
      </c>
      <c r="E37" s="130" t="str">
        <f>if(C37="Detectar Segredo", SUMIF(C37,Habilidades!$A$11,D37) * SUMIF(C37,Habilidades!$A$11,Habilidades!$B$11), if(C37="Encontrar mágica", SUMIF(C37,Habilidades!$A$12,D37) * SUMIF(C37,Habilidades!$A$12,Habilidades!$B$12), if(C37="Cuidadoso 1", SUMIF(C37,Habilidades!$A$22,D37) * SUMIF(C37,Habilidades!$A$22,Habilidades!$B$22), if(C37="Cuidadoso 2", SUMIF(C37,Habilidades!$A$23,D51) * SUMIF(C37,Habilidades!$A$23,Habilidades!$B$23), if(C37="Cuidadoso 3", SUMIF(C37,Habilidades!$A$24,D37) * SUMIF(C37,Habilidades!$A$24,Habilidades!$B$24), if(C37="Ganancioso 1", SUMIF(C37,Habilidades!$A$25,D37) * SUMIF(C37,Habilidades!$A$25,Habilidades!$B$25), if(C37="Ganancioso 2", SUMIF(C37,Habilidades!$A$26,D37) * SUMIF(C37,Habilidades!$A$26,Habilidades!$B$26), if(C37="Ganancioso 3", SUMIF(C37,Habilidades!$A$27,D37) * SUMIF(C37,Habilidades!$A$27,Habilidades!$B$27), if(C37="Curandeiro 1", SUMIF(C37,Habilidades!$A$28,D37) * SUMIF(C37,Habilidades!$A$28,Habilidades!$B$28), if(C37="Curandeiro 2", SUMIF(C37,Habilidades!$A$29,D37) * SUMIF(C37,Habilidades!$A$29,Habilidades!$B$29), if(C37="Curandeiro 3", SUMIF(C37,Habilidades!$A$30,D37) * SUMIF(C37,Habilidades!$A$30,Habilidades!$B$30), if(C37="Sortudo 1", SUMIF(C37,Habilidades!$A$31,D37) * SUMIF(C37,Habilidades!$A$31,Habilidades!$B$31), if(C37="Sortudo 2", SUMIF(C37,Habilidades!$A$32,D37) * SUMIF(C37,Habilidades!$A$32,Habilidades!$B$32), if(C37="Sortudo 3", SUMIF(C37,Habilidades!$A$33,D37) * SUMIF(C37,Habilidades!$A$33,Habilidades!$B$33), if(C37="Protetor 1", SUMIF(C37,Habilidades!$A$34,D37) * SUMIF(C37,Habilidades!$A$34,Habilidades!$B$34), if(C37="Protetor 2", SUMIF(C37,Habilidades!$A$35,D37) * SUMIF(C37,Habilidades!$A$35,Habilidades!$B$35), if(C37="Protetor 3", SUMIF(C37,Habilidades!$A$36,D37) * SUMIF(C37,Habilidades!$A$36,Habilidades!$B$36), if(C37="Engenhoso 1", SUMIF(C37,Habilidades!$A$40,D37) * SUMIF(C37,Habilidades!$A$40,Habilidades!$B$40), if(C37="Engenhoso 2", SUMIF(C37,Habilidades!$A$41,D37) * SUMIF(C37,Habilidades!$A$41,Habilidades!$B$41), if(C37="Engenhoso 3", SUMIF(C37,Habilidades!$A$42,D37) * SUMIF(C37,Habilidades!$A$42,Habilidades!$B$42), if(C37="Reviver 1", SUMIF(C37,Habilidades!$A$43,D37) * SUMIF(C37,Habilidades!$A$43,Habilidades!$B$43), if(C37="Reviver 2", SUMIF(C37,Habilidades!$A$44,D37) * SUMIF(C37,Habilidades!$A$44,Habilidades!$B$44), if(C37="Reviver 3", SUMIF(C37,Habilidades!$A$45,D37) * SUMIF(C37,Habilidades!$A$45,Habilidades!$B$45), if(C37="Catador 1", SUMIF(C37,Habilidades!$A$46,D37) * SUMIF(C37,Habilidades!$A$46,Habilidades!$B$46), if(C37="Catador 2", SUMIF(C37,Habilidades!$A$47,D37) * SUMIF(C37,Habilidades!$A$47,Habilidades!$B$47), if(C37="Catador 3", SUMIF(C37,Habilidades!$A$48,D37) * SUMIF(C37,Habilidades!$A$48,Habilidades!$B$48), if(C37="Fornecedor 1", SUMIF(C37,Habilidades!$A$49,D37) * SUMIF(C37,Habilidades!$A$49,Habilidades!$B$49), if(C37="Fornecedor 2", SUMIF(C37,Habilidades!$A$50,D37) * SUMIF(C37,Habilidades!$A$50,Habilidades!$B$50), if(C37="Fornecedor 3", SUMIF(C37,Habilidades!$A$51,D37) * SUMIF(C37,Habilidades!$A$51,Habilidades!$B$51), if(C37="Suporte 1", SUMIF(C37,Habilidades!$A$52,D37) * SUMIF(C37,Habilidades!$A$52,Habilidades!$B$52), if(C37="Suporte 2", SUMIF(C37,Habilidades!$A$53,D37) * SUMIF(C37,Habilidades!$A$53,Habilidades!$B$53), if(C37="Suporte 3", SUMIF(C37,Habilidades!$A$54,D37) * SUMIF(C37,Habilidades!$A$54,Habilidades!$B$54), if(C37="Caça-tesouros 1", SUMIF(C37,Habilidades!$A$55,D37) * SUMIF(C37,Habilidades!$A$55,Habilidades!$B$55), if(C37="Caça-tesouros 2", SUMIF(C37,Habilidades!$A$56,D37) * SUMIF(C37,Habilidades!$A$56,Habilidades!$B$56), if(C37="Caça-tesouros 3", SUMIF(C37,Habilidades!$A$57,D37) * SUMIF(C37,Habilidades!$A$57,Habilidades!$B$57), if(C37="Velocista 1", SUMIF(C37,Habilidades!$A$77,D37) * SUMIF(C37,Habilidades!$A$77,Habilidades!$B$77), if(C37="Velocista 2", SUMIF(C37,Habilidades!$A$78,D37) * SUMIF(C37,Habilidades!$A$78,Habilidades!$B$78), if(C37="Velocista 3", SUMIF(C37,Habilidades!$A$79,D37) * SUMIF(C37,Habilidades!$A$79,Habilidades!$B$79), "-"))))))))))))))))))))))))))))))))))))))</f>
        <v>-</v>
      </c>
      <c r="F37" s="110"/>
      <c r="G37" s="137"/>
      <c r="H37" s="137"/>
      <c r="I37" s="137"/>
      <c r="J37" s="137"/>
      <c r="K37" s="137"/>
      <c r="L37" s="137"/>
      <c r="M37" s="110"/>
      <c r="N37" s="110"/>
    </row>
    <row r="38">
      <c r="C38" s="142"/>
      <c r="D38" s="129">
        <f t="shared" si="2"/>
        <v>0</v>
      </c>
      <c r="E38" s="130" t="str">
        <f>if(C38="Detectar Segredo", SUMIF(C38,Habilidades!$A$11,D38) * SUMIF(C38,Habilidades!$A$11,Habilidades!$B$11), if(C38="Encontrar mágica", SUMIF(C38,Habilidades!$A$12,D38) * SUMIF(C38,Habilidades!$A$12,Habilidades!$B$12), if(C38="Cuidadoso 1", SUMIF(C38,Habilidades!$A$22,D38) * SUMIF(C38,Habilidades!$A$22,Habilidades!$B$22), if(C38="Cuidadoso 2", SUMIF(C38,Habilidades!$A$23,D52) * SUMIF(C38,Habilidades!$A$23,Habilidades!$B$23), if(C38="Cuidadoso 3", SUMIF(C38,Habilidades!$A$24,D38) * SUMIF(C38,Habilidades!$A$24,Habilidades!$B$24), if(C38="Ganancioso 1", SUMIF(C38,Habilidades!$A$25,D38) * SUMIF(C38,Habilidades!$A$25,Habilidades!$B$25), if(C38="Ganancioso 2", SUMIF(C38,Habilidades!$A$26,D38) * SUMIF(C38,Habilidades!$A$26,Habilidades!$B$26), if(C38="Ganancioso 3", SUMIF(C38,Habilidades!$A$27,D38) * SUMIF(C38,Habilidades!$A$27,Habilidades!$B$27), if(C38="Curandeiro 1", SUMIF(C38,Habilidades!$A$28,D38) * SUMIF(C38,Habilidades!$A$28,Habilidades!$B$28), if(C38="Curandeiro 2", SUMIF(C38,Habilidades!$A$29,D38) * SUMIF(C38,Habilidades!$A$29,Habilidades!$B$29), if(C38="Curandeiro 3", SUMIF(C38,Habilidades!$A$30,D38) * SUMIF(C38,Habilidades!$A$30,Habilidades!$B$30), if(C38="Sortudo 1", SUMIF(C38,Habilidades!$A$31,D38) * SUMIF(C38,Habilidades!$A$31,Habilidades!$B$31), if(C38="Sortudo 2", SUMIF(C38,Habilidades!$A$32,D38) * SUMIF(C38,Habilidades!$A$32,Habilidades!$B$32), if(C38="Sortudo 3", SUMIF(C38,Habilidades!$A$33,D38) * SUMIF(C38,Habilidades!$A$33,Habilidades!$B$33), if(C38="Protetor 1", SUMIF(C38,Habilidades!$A$34,D38) * SUMIF(C38,Habilidades!$A$34,Habilidades!$B$34), if(C38="Protetor 2", SUMIF(C38,Habilidades!$A$35,D38) * SUMIF(C38,Habilidades!$A$35,Habilidades!$B$35), if(C38="Protetor 3", SUMIF(C38,Habilidades!$A$36,D38) * SUMIF(C38,Habilidades!$A$36,Habilidades!$B$36), if(C38="Engenhoso 1", SUMIF(C38,Habilidades!$A$40,D38) * SUMIF(C38,Habilidades!$A$40,Habilidades!$B$40), if(C38="Engenhoso 2", SUMIF(C38,Habilidades!$A$41,D38) * SUMIF(C38,Habilidades!$A$41,Habilidades!$B$41), if(C38="Engenhoso 3", SUMIF(C38,Habilidades!$A$42,D38) * SUMIF(C38,Habilidades!$A$42,Habilidades!$B$42), if(C38="Reviver 1", SUMIF(C38,Habilidades!$A$43,D38) * SUMIF(C38,Habilidades!$A$43,Habilidades!$B$43), if(C38="Reviver 2", SUMIF(C38,Habilidades!$A$44,D38) * SUMIF(C38,Habilidades!$A$44,Habilidades!$B$44), if(C38="Reviver 3", SUMIF(C38,Habilidades!$A$45,D38) * SUMIF(C38,Habilidades!$A$45,Habilidades!$B$45), if(C38="Catador 1", SUMIF(C38,Habilidades!$A$46,D38) * SUMIF(C38,Habilidades!$A$46,Habilidades!$B$46), if(C38="Catador 2", SUMIF(C38,Habilidades!$A$47,D38) * SUMIF(C38,Habilidades!$A$47,Habilidades!$B$47), if(C38="Catador 3", SUMIF(C38,Habilidades!$A$48,D38) * SUMIF(C38,Habilidades!$A$48,Habilidades!$B$48), if(C38="Fornecedor 1", SUMIF(C38,Habilidades!$A$49,D38) * SUMIF(C38,Habilidades!$A$49,Habilidades!$B$49), if(C38="Fornecedor 2", SUMIF(C38,Habilidades!$A$50,D38) * SUMIF(C38,Habilidades!$A$50,Habilidades!$B$50), if(C38="Fornecedor 3", SUMIF(C38,Habilidades!$A$51,D38) * SUMIF(C38,Habilidades!$A$51,Habilidades!$B$51), if(C38="Suporte 1", SUMIF(C38,Habilidades!$A$52,D38) * SUMIF(C38,Habilidades!$A$52,Habilidades!$B$52), if(C38="Suporte 2", SUMIF(C38,Habilidades!$A$53,D38) * SUMIF(C38,Habilidades!$A$53,Habilidades!$B$53), if(C38="Suporte 3", SUMIF(C38,Habilidades!$A$54,D38) * SUMIF(C38,Habilidades!$A$54,Habilidades!$B$54), if(C38="Caça-tesouros 1", SUMIF(C38,Habilidades!$A$55,D38) * SUMIF(C38,Habilidades!$A$55,Habilidades!$B$55), if(C38="Caça-tesouros 2", SUMIF(C38,Habilidades!$A$56,D38) * SUMIF(C38,Habilidades!$A$56,Habilidades!$B$56), if(C38="Caça-tesouros 3", SUMIF(C38,Habilidades!$A$57,D38) * SUMIF(C38,Habilidades!$A$57,Habilidades!$B$57), if(C38="Velocista 1", SUMIF(C38,Habilidades!$A$77,D38) * SUMIF(C38,Habilidades!$A$77,Habilidades!$B$77), if(C38="Velocista 2", SUMIF(C38,Habilidades!$A$78,D38) * SUMIF(C38,Habilidades!$A$78,Habilidades!$B$78), if(C38="Velocista 3", SUMIF(C38,Habilidades!$A$79,D38) * SUMIF(C38,Habilidades!$A$79,Habilidades!$B$79), "-"))))))))))))))))))))))))))))))))))))))</f>
        <v>-</v>
      </c>
      <c r="F38" s="110"/>
      <c r="G38" s="137"/>
      <c r="H38" s="137"/>
      <c r="I38" s="137"/>
      <c r="J38" s="137"/>
      <c r="K38" s="137"/>
      <c r="L38" s="137"/>
      <c r="M38" s="110"/>
      <c r="N38" s="110"/>
    </row>
    <row r="39">
      <c r="C39" s="142"/>
      <c r="D39" s="129">
        <f t="shared" si="2"/>
        <v>0</v>
      </c>
      <c r="E39" s="130" t="str">
        <f>if(C39="Detectar Segredo", SUMIF(C39,Habilidades!$A$11,D39) * SUMIF(C39,Habilidades!$A$11,Habilidades!$B$11), if(C39="Encontrar mágica", SUMIF(C39,Habilidades!$A$12,D39) * SUMIF(C39,Habilidades!$A$12,Habilidades!$B$12), if(C39="Cuidadoso 1", SUMIF(C39,Habilidades!$A$22,D39) * SUMIF(C39,Habilidades!$A$22,Habilidades!$B$22), if(C39="Cuidadoso 2", SUMIF(C39,Habilidades!$A$23,D53) * SUMIF(C39,Habilidades!$A$23,Habilidades!$B$23), if(C39="Cuidadoso 3", SUMIF(C39,Habilidades!$A$24,D39) * SUMIF(C39,Habilidades!$A$24,Habilidades!$B$24), if(C39="Ganancioso 1", SUMIF(C39,Habilidades!$A$25,D39) * SUMIF(C39,Habilidades!$A$25,Habilidades!$B$25), if(C39="Ganancioso 2", SUMIF(C39,Habilidades!$A$26,D39) * SUMIF(C39,Habilidades!$A$26,Habilidades!$B$26), if(C39="Ganancioso 3", SUMIF(C39,Habilidades!$A$27,D39) * SUMIF(C39,Habilidades!$A$27,Habilidades!$B$27), if(C39="Curandeiro 1", SUMIF(C39,Habilidades!$A$28,D39) * SUMIF(C39,Habilidades!$A$28,Habilidades!$B$28), if(C39="Curandeiro 2", SUMIF(C39,Habilidades!$A$29,D39) * SUMIF(C39,Habilidades!$A$29,Habilidades!$B$29), if(C39="Curandeiro 3", SUMIF(C39,Habilidades!$A$30,D39) * SUMIF(C39,Habilidades!$A$30,Habilidades!$B$30), if(C39="Sortudo 1", SUMIF(C39,Habilidades!$A$31,D39) * SUMIF(C39,Habilidades!$A$31,Habilidades!$B$31), if(C39="Sortudo 2", SUMIF(C39,Habilidades!$A$32,D39) * SUMIF(C39,Habilidades!$A$32,Habilidades!$B$32), if(C39="Sortudo 3", SUMIF(C39,Habilidades!$A$33,D39) * SUMIF(C39,Habilidades!$A$33,Habilidades!$B$33), if(C39="Protetor 1", SUMIF(C39,Habilidades!$A$34,D39) * SUMIF(C39,Habilidades!$A$34,Habilidades!$B$34), if(C39="Protetor 2", SUMIF(C39,Habilidades!$A$35,D39) * SUMIF(C39,Habilidades!$A$35,Habilidades!$B$35), if(C39="Protetor 3", SUMIF(C39,Habilidades!$A$36,D39) * SUMIF(C39,Habilidades!$A$36,Habilidades!$B$36), if(C39="Engenhoso 1", SUMIF(C39,Habilidades!$A$40,D39) * SUMIF(C39,Habilidades!$A$40,Habilidades!$B$40), if(C39="Engenhoso 2", SUMIF(C39,Habilidades!$A$41,D39) * SUMIF(C39,Habilidades!$A$41,Habilidades!$B$41), if(C39="Engenhoso 3", SUMIF(C39,Habilidades!$A$42,D39) * SUMIF(C39,Habilidades!$A$42,Habilidades!$B$42), if(C39="Reviver 1", SUMIF(C39,Habilidades!$A$43,D39) * SUMIF(C39,Habilidades!$A$43,Habilidades!$B$43), if(C39="Reviver 2", SUMIF(C39,Habilidades!$A$44,D39) * SUMIF(C39,Habilidades!$A$44,Habilidades!$B$44), if(C39="Reviver 3", SUMIF(C39,Habilidades!$A$45,D39) * SUMIF(C39,Habilidades!$A$45,Habilidades!$B$45), if(C39="Catador 1", SUMIF(C39,Habilidades!$A$46,D39) * SUMIF(C39,Habilidades!$A$46,Habilidades!$B$46), if(C39="Catador 2", SUMIF(C39,Habilidades!$A$47,D39) * SUMIF(C39,Habilidades!$A$47,Habilidades!$B$47), if(C39="Catador 3", SUMIF(C39,Habilidades!$A$48,D39) * SUMIF(C39,Habilidades!$A$48,Habilidades!$B$48), if(C39="Fornecedor 1", SUMIF(C39,Habilidades!$A$49,D39) * SUMIF(C39,Habilidades!$A$49,Habilidades!$B$49), if(C39="Fornecedor 2", SUMIF(C39,Habilidades!$A$50,D39) * SUMIF(C39,Habilidades!$A$50,Habilidades!$B$50), if(C39="Fornecedor 3", SUMIF(C39,Habilidades!$A$51,D39) * SUMIF(C39,Habilidades!$A$51,Habilidades!$B$51), if(C39="Suporte 1", SUMIF(C39,Habilidades!$A$52,D39) * SUMIF(C39,Habilidades!$A$52,Habilidades!$B$52), if(C39="Suporte 2", SUMIF(C39,Habilidades!$A$53,D39) * SUMIF(C39,Habilidades!$A$53,Habilidades!$B$53), if(C39="Suporte 3", SUMIF(C39,Habilidades!$A$54,D39) * SUMIF(C39,Habilidades!$A$54,Habilidades!$B$54), if(C39="Caça-tesouros 1", SUMIF(C39,Habilidades!$A$55,D39) * SUMIF(C39,Habilidades!$A$55,Habilidades!$B$55), if(C39="Caça-tesouros 2", SUMIF(C39,Habilidades!$A$56,D39) * SUMIF(C39,Habilidades!$A$56,Habilidades!$B$56), if(C39="Caça-tesouros 3", SUMIF(C39,Habilidades!$A$57,D39) * SUMIF(C39,Habilidades!$A$57,Habilidades!$B$57), if(C39="Velocista 1", SUMIF(C39,Habilidades!$A$77,D39) * SUMIF(C39,Habilidades!$A$77,Habilidades!$B$77), if(C39="Velocista 2", SUMIF(C39,Habilidades!$A$78,D39) * SUMIF(C39,Habilidades!$A$78,Habilidades!$B$78), if(C39="Velocista 3", SUMIF(C39,Habilidades!$A$79,D39) * SUMIF(C39,Habilidades!$A$79,Habilidades!$B$79), "-"))))))))))))))))))))))))))))))))))))))</f>
        <v>-</v>
      </c>
      <c r="F39" s="110"/>
      <c r="G39" s="137"/>
      <c r="H39" s="137"/>
      <c r="I39" s="137"/>
      <c r="J39" s="137"/>
      <c r="K39" s="137"/>
      <c r="L39" s="137"/>
      <c r="M39" s="110"/>
      <c r="N39" s="110"/>
    </row>
    <row r="40">
      <c r="C40" s="142"/>
      <c r="D40" s="129">
        <f t="shared" si="2"/>
        <v>0</v>
      </c>
      <c r="E40" s="130" t="str">
        <f>if(C40="Detectar Segredo", SUMIF(C40,Habilidades!$A$11,D40) * SUMIF(C40,Habilidades!$A$11,Habilidades!$B$11), if(C40="Encontrar mágica", SUMIF(C40,Habilidades!$A$12,D40) * SUMIF(C40,Habilidades!$A$12,Habilidades!$B$12), if(C40="Cuidadoso 1", SUMIF(C40,Habilidades!$A$22,D40) * SUMIF(C40,Habilidades!$A$22,Habilidades!$B$22), if(C40="Cuidadoso 2", SUMIF(C40,Habilidades!$A$23,D54) * SUMIF(C40,Habilidades!$A$23,Habilidades!$B$23), if(C40="Cuidadoso 3", SUMIF(C40,Habilidades!$A$24,D40) * SUMIF(C40,Habilidades!$A$24,Habilidades!$B$24), if(C40="Ganancioso 1", SUMIF(C40,Habilidades!$A$25,D40) * SUMIF(C40,Habilidades!$A$25,Habilidades!$B$25), if(C40="Ganancioso 2", SUMIF(C40,Habilidades!$A$26,D40) * SUMIF(C40,Habilidades!$A$26,Habilidades!$B$26), if(C40="Ganancioso 3", SUMIF(C40,Habilidades!$A$27,D40) * SUMIF(C40,Habilidades!$A$27,Habilidades!$B$27), if(C40="Curandeiro 1", SUMIF(C40,Habilidades!$A$28,D40) * SUMIF(C40,Habilidades!$A$28,Habilidades!$B$28), if(C40="Curandeiro 2", SUMIF(C40,Habilidades!$A$29,D40) * SUMIF(C40,Habilidades!$A$29,Habilidades!$B$29), if(C40="Curandeiro 3", SUMIF(C40,Habilidades!$A$30,D40) * SUMIF(C40,Habilidades!$A$30,Habilidades!$B$30), if(C40="Sortudo 1", SUMIF(C40,Habilidades!$A$31,D40) * SUMIF(C40,Habilidades!$A$31,Habilidades!$B$31), if(C40="Sortudo 2", SUMIF(C40,Habilidades!$A$32,D40) * SUMIF(C40,Habilidades!$A$32,Habilidades!$B$32), if(C40="Sortudo 3", SUMIF(C40,Habilidades!$A$33,D40) * SUMIF(C40,Habilidades!$A$33,Habilidades!$B$33), if(C40="Protetor 1", SUMIF(C40,Habilidades!$A$34,D40) * SUMIF(C40,Habilidades!$A$34,Habilidades!$B$34), if(C40="Protetor 2", SUMIF(C40,Habilidades!$A$35,D40) * SUMIF(C40,Habilidades!$A$35,Habilidades!$B$35), if(C40="Protetor 3", SUMIF(C40,Habilidades!$A$36,D40) * SUMIF(C40,Habilidades!$A$36,Habilidades!$B$36), if(C40="Engenhoso 1", SUMIF(C40,Habilidades!$A$40,D40) * SUMIF(C40,Habilidades!$A$40,Habilidades!$B$40), if(C40="Engenhoso 2", SUMIF(C40,Habilidades!$A$41,D40) * SUMIF(C40,Habilidades!$A$41,Habilidades!$B$41), if(C40="Engenhoso 3", SUMIF(C40,Habilidades!$A$42,D40) * SUMIF(C40,Habilidades!$A$42,Habilidades!$B$42), if(C40="Reviver 1", SUMIF(C40,Habilidades!$A$43,D40) * SUMIF(C40,Habilidades!$A$43,Habilidades!$B$43), if(C40="Reviver 2", SUMIF(C40,Habilidades!$A$44,D40) * SUMIF(C40,Habilidades!$A$44,Habilidades!$B$44), if(C40="Reviver 3", SUMIF(C40,Habilidades!$A$45,D40) * SUMIF(C40,Habilidades!$A$45,Habilidades!$B$45), if(C40="Catador 1", SUMIF(C40,Habilidades!$A$46,D40) * SUMIF(C40,Habilidades!$A$46,Habilidades!$B$46), if(C40="Catador 2", SUMIF(C40,Habilidades!$A$47,D40) * SUMIF(C40,Habilidades!$A$47,Habilidades!$B$47), if(C40="Catador 3", SUMIF(C40,Habilidades!$A$48,D40) * SUMIF(C40,Habilidades!$A$48,Habilidades!$B$48), if(C40="Fornecedor 1", SUMIF(C40,Habilidades!$A$49,D40) * SUMIF(C40,Habilidades!$A$49,Habilidades!$B$49), if(C40="Fornecedor 2", SUMIF(C40,Habilidades!$A$50,D40) * SUMIF(C40,Habilidades!$A$50,Habilidades!$B$50), if(C40="Fornecedor 3", SUMIF(C40,Habilidades!$A$51,D40) * SUMIF(C40,Habilidades!$A$51,Habilidades!$B$51), if(C40="Suporte 1", SUMIF(C40,Habilidades!$A$52,D40) * SUMIF(C40,Habilidades!$A$52,Habilidades!$B$52), if(C40="Suporte 2", SUMIF(C40,Habilidades!$A$53,D40) * SUMIF(C40,Habilidades!$A$53,Habilidades!$B$53), if(C40="Suporte 3", SUMIF(C40,Habilidades!$A$54,D40) * SUMIF(C40,Habilidades!$A$54,Habilidades!$B$54), if(C40="Caça-tesouros 1", SUMIF(C40,Habilidades!$A$55,D40) * SUMIF(C40,Habilidades!$A$55,Habilidades!$B$55), if(C40="Caça-tesouros 2", SUMIF(C40,Habilidades!$A$56,D40) * SUMIF(C40,Habilidades!$A$56,Habilidades!$B$56), if(C40="Caça-tesouros 3", SUMIF(C40,Habilidades!$A$57,D40) * SUMIF(C40,Habilidades!$A$57,Habilidades!$B$57), if(C40="Velocista 1", SUMIF(C40,Habilidades!$A$77,D40) * SUMIF(C40,Habilidades!$A$77,Habilidades!$B$77), if(C40="Velocista 2", SUMIF(C40,Habilidades!$A$78,D40) * SUMIF(C40,Habilidades!$A$78,Habilidades!$B$78), if(C40="Velocista 3", SUMIF(C40,Habilidades!$A$79,D40) * SUMIF(C40,Habilidades!$A$79,Habilidades!$B$79), "-"))))))))))))))))))))))))))))))))))))))</f>
        <v>-</v>
      </c>
      <c r="F40" s="110"/>
      <c r="G40" s="137"/>
      <c r="H40" s="137"/>
      <c r="I40" s="137"/>
      <c r="J40" s="137"/>
      <c r="K40" s="137"/>
      <c r="L40" s="137"/>
      <c r="M40" s="110"/>
      <c r="N40" s="110"/>
    </row>
    <row r="41">
      <c r="C41" s="142"/>
      <c r="D41" s="129">
        <f t="shared" si="2"/>
        <v>0</v>
      </c>
      <c r="E41" s="130" t="str">
        <f>if(C41="Detectar Segredo", SUMIF(C41,Habilidades!$A$11,D41) * SUMIF(C41,Habilidades!$A$11,Habilidades!$B$11), if(C41="Encontrar mágica", SUMIF(C41,Habilidades!$A$12,D41) * SUMIF(C41,Habilidades!$A$12,Habilidades!$B$12), if(C41="Cuidadoso 1", SUMIF(C41,Habilidades!$A$22,D41) * SUMIF(C41,Habilidades!$A$22,Habilidades!$B$22), if(C41="Cuidadoso 2", SUMIF(C41,Habilidades!$A$23,D55) * SUMIF(C41,Habilidades!$A$23,Habilidades!$B$23), if(C41="Cuidadoso 3", SUMIF(C41,Habilidades!$A$24,D41) * SUMIF(C41,Habilidades!$A$24,Habilidades!$B$24), if(C41="Ganancioso 1", SUMIF(C41,Habilidades!$A$25,D41) * SUMIF(C41,Habilidades!$A$25,Habilidades!$B$25), if(C41="Ganancioso 2", SUMIF(C41,Habilidades!$A$26,D41) * SUMIF(C41,Habilidades!$A$26,Habilidades!$B$26), if(C41="Ganancioso 3", SUMIF(C41,Habilidades!$A$27,D41) * SUMIF(C41,Habilidades!$A$27,Habilidades!$B$27), if(C41="Curandeiro 1", SUMIF(C41,Habilidades!$A$28,D41) * SUMIF(C41,Habilidades!$A$28,Habilidades!$B$28), if(C41="Curandeiro 2", SUMIF(C41,Habilidades!$A$29,D41) * SUMIF(C41,Habilidades!$A$29,Habilidades!$B$29), if(C41="Curandeiro 3", SUMIF(C41,Habilidades!$A$30,D41) * SUMIF(C41,Habilidades!$A$30,Habilidades!$B$30), if(C41="Sortudo 1", SUMIF(C41,Habilidades!$A$31,D41) * SUMIF(C41,Habilidades!$A$31,Habilidades!$B$31), if(C41="Sortudo 2", SUMIF(C41,Habilidades!$A$32,D41) * SUMIF(C41,Habilidades!$A$32,Habilidades!$B$32), if(C41="Sortudo 3", SUMIF(C41,Habilidades!$A$33,D41) * SUMIF(C41,Habilidades!$A$33,Habilidades!$B$33), if(C41="Protetor 1", SUMIF(C41,Habilidades!$A$34,D41) * SUMIF(C41,Habilidades!$A$34,Habilidades!$B$34), if(C41="Protetor 2", SUMIF(C41,Habilidades!$A$35,D41) * SUMIF(C41,Habilidades!$A$35,Habilidades!$B$35), if(C41="Protetor 3", SUMIF(C41,Habilidades!$A$36,D41) * SUMIF(C41,Habilidades!$A$36,Habilidades!$B$36), if(C41="Engenhoso 1", SUMIF(C41,Habilidades!$A$40,D41) * SUMIF(C41,Habilidades!$A$40,Habilidades!$B$40), if(C41="Engenhoso 2", SUMIF(C41,Habilidades!$A$41,D41) * SUMIF(C41,Habilidades!$A$41,Habilidades!$B$41), if(C41="Engenhoso 3", SUMIF(C41,Habilidades!$A$42,D41) * SUMIF(C41,Habilidades!$A$42,Habilidades!$B$42), if(C41="Reviver 1", SUMIF(C41,Habilidades!$A$43,D41) * SUMIF(C41,Habilidades!$A$43,Habilidades!$B$43), if(C41="Reviver 2", SUMIF(C41,Habilidades!$A$44,D41) * SUMIF(C41,Habilidades!$A$44,Habilidades!$B$44), if(C41="Reviver 3", SUMIF(C41,Habilidades!$A$45,D41) * SUMIF(C41,Habilidades!$A$45,Habilidades!$B$45), if(C41="Catador 1", SUMIF(C41,Habilidades!$A$46,D41) * SUMIF(C41,Habilidades!$A$46,Habilidades!$B$46), if(C41="Catador 2", SUMIF(C41,Habilidades!$A$47,D41) * SUMIF(C41,Habilidades!$A$47,Habilidades!$B$47), if(C41="Catador 3", SUMIF(C41,Habilidades!$A$48,D41) * SUMIF(C41,Habilidades!$A$48,Habilidades!$B$48), if(C41="Fornecedor 1", SUMIF(C41,Habilidades!$A$49,D41) * SUMIF(C41,Habilidades!$A$49,Habilidades!$B$49), if(C41="Fornecedor 2", SUMIF(C41,Habilidades!$A$50,D41) * SUMIF(C41,Habilidades!$A$50,Habilidades!$B$50), if(C41="Fornecedor 3", SUMIF(C41,Habilidades!$A$51,D41) * SUMIF(C41,Habilidades!$A$51,Habilidades!$B$51), if(C41="Suporte 1", SUMIF(C41,Habilidades!$A$52,D41) * SUMIF(C41,Habilidades!$A$52,Habilidades!$B$52), if(C41="Suporte 2", SUMIF(C41,Habilidades!$A$53,D41) * SUMIF(C41,Habilidades!$A$53,Habilidades!$B$53), if(C41="Suporte 3", SUMIF(C41,Habilidades!$A$54,D41) * SUMIF(C41,Habilidades!$A$54,Habilidades!$B$54), if(C41="Caça-tesouros 1", SUMIF(C41,Habilidades!$A$55,D41) * SUMIF(C41,Habilidades!$A$55,Habilidades!$B$55), if(C41="Caça-tesouros 2", SUMIF(C41,Habilidades!$A$56,D41) * SUMIF(C41,Habilidades!$A$56,Habilidades!$B$56), if(C41="Caça-tesouros 3", SUMIF(C41,Habilidades!$A$57,D41) * SUMIF(C41,Habilidades!$A$57,Habilidades!$B$57), if(C41="Velocista 1", SUMIF(C41,Habilidades!$A$77,D41) * SUMIF(C41,Habilidades!$A$77,Habilidades!$B$77), if(C41="Velocista 2", SUMIF(C41,Habilidades!$A$78,D41) * SUMIF(C41,Habilidades!$A$78,Habilidades!$B$78), if(C41="Velocista 3", SUMIF(C41,Habilidades!$A$79,D41) * SUMIF(C41,Habilidades!$A$79,Habilidades!$B$79), "-"))))))))))))))))))))))))))))))))))))))</f>
        <v>-</v>
      </c>
      <c r="F41" s="110"/>
      <c r="G41" s="137"/>
      <c r="H41" s="137"/>
      <c r="I41" s="137"/>
      <c r="J41" s="137"/>
      <c r="K41" s="137"/>
      <c r="L41" s="137"/>
      <c r="M41" s="110"/>
      <c r="N41" s="110"/>
    </row>
    <row r="42">
      <c r="C42" s="142"/>
      <c r="D42" s="129">
        <f t="shared" si="2"/>
        <v>0</v>
      </c>
      <c r="E42" s="130" t="str">
        <f>if(C42="Detectar Segredo", SUMIF(C42,Habilidades!$A$11,D42) * SUMIF(C42,Habilidades!$A$11,Habilidades!$B$11), if(C42="Encontrar mágica", SUMIF(C42,Habilidades!$A$12,D42) * SUMIF(C42,Habilidades!$A$12,Habilidades!$B$12), if(C42="Cuidadoso 1", SUMIF(C42,Habilidades!$A$22,D42) * SUMIF(C42,Habilidades!$A$22,Habilidades!$B$22), if(C42="Cuidadoso 2", SUMIF(C42,Habilidades!$A$23,D56) * SUMIF(C42,Habilidades!$A$23,Habilidades!$B$23), if(C42="Cuidadoso 3", SUMIF(C42,Habilidades!$A$24,D42) * SUMIF(C42,Habilidades!$A$24,Habilidades!$B$24), if(C42="Ganancioso 1", SUMIF(C42,Habilidades!$A$25,D42) * SUMIF(C42,Habilidades!$A$25,Habilidades!$B$25), if(C42="Ganancioso 2", SUMIF(C42,Habilidades!$A$26,D42) * SUMIF(C42,Habilidades!$A$26,Habilidades!$B$26), if(C42="Ganancioso 3", SUMIF(C42,Habilidades!$A$27,D42) * SUMIF(C42,Habilidades!$A$27,Habilidades!$B$27), if(C42="Curandeiro 1", SUMIF(C42,Habilidades!$A$28,D42) * SUMIF(C42,Habilidades!$A$28,Habilidades!$B$28), if(C42="Curandeiro 2", SUMIF(C42,Habilidades!$A$29,D42) * SUMIF(C42,Habilidades!$A$29,Habilidades!$B$29), if(C42="Curandeiro 3", SUMIF(C42,Habilidades!$A$30,D42) * SUMIF(C42,Habilidades!$A$30,Habilidades!$B$30), if(C42="Sortudo 1", SUMIF(C42,Habilidades!$A$31,D42) * SUMIF(C42,Habilidades!$A$31,Habilidades!$B$31), if(C42="Sortudo 2", SUMIF(C42,Habilidades!$A$32,D42) * SUMIF(C42,Habilidades!$A$32,Habilidades!$B$32), if(C42="Sortudo 3", SUMIF(C42,Habilidades!$A$33,D42) * SUMIF(C42,Habilidades!$A$33,Habilidades!$B$33), if(C42="Protetor 1", SUMIF(C42,Habilidades!$A$34,D42) * SUMIF(C42,Habilidades!$A$34,Habilidades!$B$34), if(C42="Protetor 2", SUMIF(C42,Habilidades!$A$35,D42) * SUMIF(C42,Habilidades!$A$35,Habilidades!$B$35), if(C42="Protetor 3", SUMIF(C42,Habilidades!$A$36,D42) * SUMIF(C42,Habilidades!$A$36,Habilidades!$B$36), if(C42="Engenhoso 1", SUMIF(C42,Habilidades!$A$40,D42) * SUMIF(C42,Habilidades!$A$40,Habilidades!$B$40), if(C42="Engenhoso 2", SUMIF(C42,Habilidades!$A$41,D42) * SUMIF(C42,Habilidades!$A$41,Habilidades!$B$41), if(C42="Engenhoso 3", SUMIF(C42,Habilidades!$A$42,D42) * SUMIF(C42,Habilidades!$A$42,Habilidades!$B$42), if(C42="Reviver 1", SUMIF(C42,Habilidades!$A$43,D42) * SUMIF(C42,Habilidades!$A$43,Habilidades!$B$43), if(C42="Reviver 2", SUMIF(C42,Habilidades!$A$44,D42) * SUMIF(C42,Habilidades!$A$44,Habilidades!$B$44), if(C42="Reviver 3", SUMIF(C42,Habilidades!$A$45,D42) * SUMIF(C42,Habilidades!$A$45,Habilidades!$B$45), if(C42="Catador 1", SUMIF(C42,Habilidades!$A$46,D42) * SUMIF(C42,Habilidades!$A$46,Habilidades!$B$46), if(C42="Catador 2", SUMIF(C42,Habilidades!$A$47,D42) * SUMIF(C42,Habilidades!$A$47,Habilidades!$B$47), if(C42="Catador 3", SUMIF(C42,Habilidades!$A$48,D42) * SUMIF(C42,Habilidades!$A$48,Habilidades!$B$48), if(C42="Fornecedor 1", SUMIF(C42,Habilidades!$A$49,D42) * SUMIF(C42,Habilidades!$A$49,Habilidades!$B$49), if(C42="Fornecedor 2", SUMIF(C42,Habilidades!$A$50,D42) * SUMIF(C42,Habilidades!$A$50,Habilidades!$B$50), if(C42="Fornecedor 3", SUMIF(C42,Habilidades!$A$51,D42) * SUMIF(C42,Habilidades!$A$51,Habilidades!$B$51), if(C42="Suporte 1", SUMIF(C42,Habilidades!$A$52,D42) * SUMIF(C42,Habilidades!$A$52,Habilidades!$B$52), if(C42="Suporte 2", SUMIF(C42,Habilidades!$A$53,D42) * SUMIF(C42,Habilidades!$A$53,Habilidades!$B$53), if(C42="Suporte 3", SUMIF(C42,Habilidades!$A$54,D42) * SUMIF(C42,Habilidades!$A$54,Habilidades!$B$54), if(C42="Caça-tesouros 1", SUMIF(C42,Habilidades!$A$55,D42) * SUMIF(C42,Habilidades!$A$55,Habilidades!$B$55), if(C42="Caça-tesouros 2", SUMIF(C42,Habilidades!$A$56,D42) * SUMIF(C42,Habilidades!$A$56,Habilidades!$B$56), if(C42="Caça-tesouros 3", SUMIF(C42,Habilidades!$A$57,D42) * SUMIF(C42,Habilidades!$A$57,Habilidades!$B$57), if(C42="Velocista 1", SUMIF(C42,Habilidades!$A$77,D42) * SUMIF(C42,Habilidades!$A$77,Habilidades!$B$77), if(C42="Velocista 2", SUMIF(C42,Habilidades!$A$78,D42) * SUMIF(C42,Habilidades!$A$78,Habilidades!$B$78), if(C42="Velocista 3", SUMIF(C42,Habilidades!$A$79,D42) * SUMIF(C42,Habilidades!$A$79,Habilidades!$B$79), "-"))))))))))))))))))))))))))))))))))))))</f>
        <v>-</v>
      </c>
      <c r="F42" s="110"/>
      <c r="G42" s="137"/>
      <c r="H42" s="137"/>
      <c r="I42" s="137"/>
      <c r="J42" s="137"/>
      <c r="K42" s="137"/>
      <c r="L42" s="137"/>
      <c r="M42" s="110"/>
      <c r="N42" s="110"/>
    </row>
    <row r="43">
      <c r="C43" s="142"/>
      <c r="D43" s="129">
        <f t="shared" si="2"/>
        <v>0</v>
      </c>
      <c r="E43" s="130" t="str">
        <f>if(C43="Detectar Segredo", SUMIF(C43,Habilidades!$A$11,D43) * SUMIF(C43,Habilidades!$A$11,Habilidades!$B$11), if(C43="Encontrar mágica", SUMIF(C43,Habilidades!$A$12,D43) * SUMIF(C43,Habilidades!$A$12,Habilidades!$B$12), if(C43="Cuidadoso 1", SUMIF(C43,Habilidades!$A$22,D43) * SUMIF(C43,Habilidades!$A$22,Habilidades!$B$22), if(C43="Cuidadoso 2", SUMIF(C43,Habilidades!$A$23,D57) * SUMIF(C43,Habilidades!$A$23,Habilidades!$B$23), if(C43="Cuidadoso 3", SUMIF(C43,Habilidades!$A$24,D43) * SUMIF(C43,Habilidades!$A$24,Habilidades!$B$24), if(C43="Ganancioso 1", SUMIF(C43,Habilidades!$A$25,D43) * SUMIF(C43,Habilidades!$A$25,Habilidades!$B$25), if(C43="Ganancioso 2", SUMIF(C43,Habilidades!$A$26,D43) * SUMIF(C43,Habilidades!$A$26,Habilidades!$B$26), if(C43="Ganancioso 3", SUMIF(C43,Habilidades!$A$27,D43) * SUMIF(C43,Habilidades!$A$27,Habilidades!$B$27), if(C43="Curandeiro 1", SUMIF(C43,Habilidades!$A$28,D43) * SUMIF(C43,Habilidades!$A$28,Habilidades!$B$28), if(C43="Curandeiro 2", SUMIF(C43,Habilidades!$A$29,D43) * SUMIF(C43,Habilidades!$A$29,Habilidades!$B$29), if(C43="Curandeiro 3", SUMIF(C43,Habilidades!$A$30,D43) * SUMIF(C43,Habilidades!$A$30,Habilidades!$B$30), if(C43="Sortudo 1", SUMIF(C43,Habilidades!$A$31,D43) * SUMIF(C43,Habilidades!$A$31,Habilidades!$B$31), if(C43="Sortudo 2", SUMIF(C43,Habilidades!$A$32,D43) * SUMIF(C43,Habilidades!$A$32,Habilidades!$B$32), if(C43="Sortudo 3", SUMIF(C43,Habilidades!$A$33,D43) * SUMIF(C43,Habilidades!$A$33,Habilidades!$B$33), if(C43="Protetor 1", SUMIF(C43,Habilidades!$A$34,D43) * SUMIF(C43,Habilidades!$A$34,Habilidades!$B$34), if(C43="Protetor 2", SUMIF(C43,Habilidades!$A$35,D43) * SUMIF(C43,Habilidades!$A$35,Habilidades!$B$35), if(C43="Protetor 3", SUMIF(C43,Habilidades!$A$36,D43) * SUMIF(C43,Habilidades!$A$36,Habilidades!$B$36), if(C43="Engenhoso 1", SUMIF(C43,Habilidades!$A$40,D43) * SUMIF(C43,Habilidades!$A$40,Habilidades!$B$40), if(C43="Engenhoso 2", SUMIF(C43,Habilidades!$A$41,D43) * SUMIF(C43,Habilidades!$A$41,Habilidades!$B$41), if(C43="Engenhoso 3", SUMIF(C43,Habilidades!$A$42,D43) * SUMIF(C43,Habilidades!$A$42,Habilidades!$B$42), if(C43="Reviver 1", SUMIF(C43,Habilidades!$A$43,D43) * SUMIF(C43,Habilidades!$A$43,Habilidades!$B$43), if(C43="Reviver 2", SUMIF(C43,Habilidades!$A$44,D43) * SUMIF(C43,Habilidades!$A$44,Habilidades!$B$44), if(C43="Reviver 3", SUMIF(C43,Habilidades!$A$45,D43) * SUMIF(C43,Habilidades!$A$45,Habilidades!$B$45), if(C43="Catador 1", SUMIF(C43,Habilidades!$A$46,D43) * SUMIF(C43,Habilidades!$A$46,Habilidades!$B$46), if(C43="Catador 2", SUMIF(C43,Habilidades!$A$47,D43) * SUMIF(C43,Habilidades!$A$47,Habilidades!$B$47), if(C43="Catador 3", SUMIF(C43,Habilidades!$A$48,D43) * SUMIF(C43,Habilidades!$A$48,Habilidades!$B$48), if(C43="Fornecedor 1", SUMIF(C43,Habilidades!$A$49,D43) * SUMIF(C43,Habilidades!$A$49,Habilidades!$B$49), if(C43="Fornecedor 2", SUMIF(C43,Habilidades!$A$50,D43) * SUMIF(C43,Habilidades!$A$50,Habilidades!$B$50), if(C43="Fornecedor 3", SUMIF(C43,Habilidades!$A$51,D43) * SUMIF(C43,Habilidades!$A$51,Habilidades!$B$51), if(C43="Suporte 1", SUMIF(C43,Habilidades!$A$52,D43) * SUMIF(C43,Habilidades!$A$52,Habilidades!$B$52), if(C43="Suporte 2", SUMIF(C43,Habilidades!$A$53,D43) * SUMIF(C43,Habilidades!$A$53,Habilidades!$B$53), if(C43="Suporte 3", SUMIF(C43,Habilidades!$A$54,D43) * SUMIF(C43,Habilidades!$A$54,Habilidades!$B$54), if(C43="Caça-tesouros 1", SUMIF(C43,Habilidades!$A$55,D43) * SUMIF(C43,Habilidades!$A$55,Habilidades!$B$55), if(C43="Caça-tesouros 2", SUMIF(C43,Habilidades!$A$56,D43) * SUMIF(C43,Habilidades!$A$56,Habilidades!$B$56), if(C43="Caça-tesouros 3", SUMIF(C43,Habilidades!$A$57,D43) * SUMIF(C43,Habilidades!$A$57,Habilidades!$B$57), if(C43="Velocista 1", SUMIF(C43,Habilidades!$A$77,D43) * SUMIF(C43,Habilidades!$A$77,Habilidades!$B$77), if(C43="Velocista 2", SUMIF(C43,Habilidades!$A$78,D43) * SUMIF(C43,Habilidades!$A$78,Habilidades!$B$78), if(C43="Velocista 3", SUMIF(C43,Habilidades!$A$79,D43) * SUMIF(C43,Habilidades!$A$79,Habilidades!$B$79), "-"))))))))))))))))))))))))))))))))))))))</f>
        <v>-</v>
      </c>
      <c r="F43" s="110"/>
      <c r="G43" s="110"/>
      <c r="H43" s="110"/>
      <c r="I43" s="110"/>
      <c r="J43" s="110"/>
      <c r="K43" s="110"/>
      <c r="L43" s="110"/>
      <c r="M43" s="110"/>
      <c r="N43" s="110"/>
    </row>
    <row r="44">
      <c r="C44" s="142"/>
      <c r="D44" s="129">
        <f t="shared" si="2"/>
        <v>0</v>
      </c>
      <c r="E44" s="130" t="str">
        <f>if(C44="Detectar Segredo", SUMIF(C44,Habilidades!$A$11,D44) * SUMIF(C44,Habilidades!$A$11,Habilidades!$B$11), if(C44="Encontrar mágica", SUMIF(C44,Habilidades!$A$12,D44) * SUMIF(C44,Habilidades!$A$12,Habilidades!$B$12), if(C44="Cuidadoso 1", SUMIF(C44,Habilidades!$A$22,D44) * SUMIF(C44,Habilidades!$A$22,Habilidades!$B$22), if(C44="Cuidadoso 2", SUMIF(C44,Habilidades!$A$23,D58) * SUMIF(C44,Habilidades!$A$23,Habilidades!$B$23), if(C44="Cuidadoso 3", SUMIF(C44,Habilidades!$A$24,D44) * SUMIF(C44,Habilidades!$A$24,Habilidades!$B$24), if(C44="Ganancioso 1", SUMIF(C44,Habilidades!$A$25,D44) * SUMIF(C44,Habilidades!$A$25,Habilidades!$B$25), if(C44="Ganancioso 2", SUMIF(C44,Habilidades!$A$26,D44) * SUMIF(C44,Habilidades!$A$26,Habilidades!$B$26), if(C44="Ganancioso 3", SUMIF(C44,Habilidades!$A$27,D44) * SUMIF(C44,Habilidades!$A$27,Habilidades!$B$27), if(C44="Curandeiro 1", SUMIF(C44,Habilidades!$A$28,D44) * SUMIF(C44,Habilidades!$A$28,Habilidades!$B$28), if(C44="Curandeiro 2", SUMIF(C44,Habilidades!$A$29,D44) * SUMIF(C44,Habilidades!$A$29,Habilidades!$B$29), if(C44="Curandeiro 3", SUMIF(C44,Habilidades!$A$30,D44) * SUMIF(C44,Habilidades!$A$30,Habilidades!$B$30), if(C44="Sortudo 1", SUMIF(C44,Habilidades!$A$31,D44) * SUMIF(C44,Habilidades!$A$31,Habilidades!$B$31), if(C44="Sortudo 2", SUMIF(C44,Habilidades!$A$32,D44) * SUMIF(C44,Habilidades!$A$32,Habilidades!$B$32), if(C44="Sortudo 3", SUMIF(C44,Habilidades!$A$33,D44) * SUMIF(C44,Habilidades!$A$33,Habilidades!$B$33), if(C44="Protetor 1", SUMIF(C44,Habilidades!$A$34,D44) * SUMIF(C44,Habilidades!$A$34,Habilidades!$B$34), if(C44="Protetor 2", SUMIF(C44,Habilidades!$A$35,D44) * SUMIF(C44,Habilidades!$A$35,Habilidades!$B$35), if(C44="Protetor 3", SUMIF(C44,Habilidades!$A$36,D44) * SUMIF(C44,Habilidades!$A$36,Habilidades!$B$36), if(C44="Engenhoso 1", SUMIF(C44,Habilidades!$A$40,D44) * SUMIF(C44,Habilidades!$A$40,Habilidades!$B$40), if(C44="Engenhoso 2", SUMIF(C44,Habilidades!$A$41,D44) * SUMIF(C44,Habilidades!$A$41,Habilidades!$B$41), if(C44="Engenhoso 3", SUMIF(C44,Habilidades!$A$42,D44) * SUMIF(C44,Habilidades!$A$42,Habilidades!$B$42), if(C44="Reviver 1", SUMIF(C44,Habilidades!$A$43,D44) * SUMIF(C44,Habilidades!$A$43,Habilidades!$B$43), if(C44="Reviver 2", SUMIF(C44,Habilidades!$A$44,D44) * SUMIF(C44,Habilidades!$A$44,Habilidades!$B$44), if(C44="Reviver 3", SUMIF(C44,Habilidades!$A$45,D44) * SUMIF(C44,Habilidades!$A$45,Habilidades!$B$45), if(C44="Catador 1", SUMIF(C44,Habilidades!$A$46,D44) * SUMIF(C44,Habilidades!$A$46,Habilidades!$B$46), if(C44="Catador 2", SUMIF(C44,Habilidades!$A$47,D44) * SUMIF(C44,Habilidades!$A$47,Habilidades!$B$47), if(C44="Catador 3", SUMIF(C44,Habilidades!$A$48,D44) * SUMIF(C44,Habilidades!$A$48,Habilidades!$B$48), if(C44="Fornecedor 1", SUMIF(C44,Habilidades!$A$49,D44) * SUMIF(C44,Habilidades!$A$49,Habilidades!$B$49), if(C44="Fornecedor 2", SUMIF(C44,Habilidades!$A$50,D44) * SUMIF(C44,Habilidades!$A$50,Habilidades!$B$50), if(C44="Fornecedor 3", SUMIF(C44,Habilidades!$A$51,D44) * SUMIF(C44,Habilidades!$A$51,Habilidades!$B$51), if(C44="Suporte 1", SUMIF(C44,Habilidades!$A$52,D44) * SUMIF(C44,Habilidades!$A$52,Habilidades!$B$52), if(C44="Suporte 2", SUMIF(C44,Habilidades!$A$53,D44) * SUMIF(C44,Habilidades!$A$53,Habilidades!$B$53), if(C44="Suporte 3", SUMIF(C44,Habilidades!$A$54,D44) * SUMIF(C44,Habilidades!$A$54,Habilidades!$B$54), if(C44="Caça-tesouros 1", SUMIF(C44,Habilidades!$A$55,D44) * SUMIF(C44,Habilidades!$A$55,Habilidades!$B$55), if(C44="Caça-tesouros 2", SUMIF(C44,Habilidades!$A$56,D44) * SUMIF(C44,Habilidades!$A$56,Habilidades!$B$56), if(C44="Caça-tesouros 3", SUMIF(C44,Habilidades!$A$57,D44) * SUMIF(C44,Habilidades!$A$57,Habilidades!$B$57), if(C44="Velocista 1", SUMIF(C44,Habilidades!$A$77,D44) * SUMIF(C44,Habilidades!$A$77,Habilidades!$B$77), if(C44="Velocista 2", SUMIF(C44,Habilidades!$A$78,D44) * SUMIF(C44,Habilidades!$A$78,Habilidades!$B$78), if(C44="Velocista 3", SUMIF(C44,Habilidades!$A$79,D44) * SUMIF(C44,Habilidades!$A$79,Habilidades!$B$79), "-"))))))))))))))))))))))))))))))))))))))</f>
        <v>-</v>
      </c>
      <c r="F44" s="110"/>
      <c r="G44" s="110"/>
      <c r="H44" s="110"/>
      <c r="I44" s="110"/>
      <c r="J44" s="110"/>
      <c r="K44" s="110"/>
      <c r="L44" s="110"/>
      <c r="M44" s="110"/>
      <c r="N44" s="110"/>
    </row>
    <row r="45">
      <c r="C45" s="142"/>
      <c r="D45" s="129">
        <f t="shared" si="2"/>
        <v>0</v>
      </c>
      <c r="E45" s="130" t="str">
        <f>if(C45="Detectar Segredo", SUMIF(C45,Habilidades!$A$11,D45) * SUMIF(C45,Habilidades!$A$11,Habilidades!$B$11), if(C45="Encontrar mágica", SUMIF(C45,Habilidades!$A$12,D45) * SUMIF(C45,Habilidades!$A$12,Habilidades!$B$12), if(C45="Cuidadoso 1", SUMIF(C45,Habilidades!$A$22,D45) * SUMIF(C45,Habilidades!$A$22,Habilidades!$B$22), if(C45="Cuidadoso 2", SUMIF(C45,Habilidades!$A$23,D59) * SUMIF(C45,Habilidades!$A$23,Habilidades!$B$23), if(C45="Cuidadoso 3", SUMIF(C45,Habilidades!$A$24,D45) * SUMIF(C45,Habilidades!$A$24,Habilidades!$B$24), if(C45="Ganancioso 1", SUMIF(C45,Habilidades!$A$25,D45) * SUMIF(C45,Habilidades!$A$25,Habilidades!$B$25), if(C45="Ganancioso 2", SUMIF(C45,Habilidades!$A$26,D45) * SUMIF(C45,Habilidades!$A$26,Habilidades!$B$26), if(C45="Ganancioso 3", SUMIF(C45,Habilidades!$A$27,D45) * SUMIF(C45,Habilidades!$A$27,Habilidades!$B$27), if(C45="Curandeiro 1", SUMIF(C45,Habilidades!$A$28,D45) * SUMIF(C45,Habilidades!$A$28,Habilidades!$B$28), if(C45="Curandeiro 2", SUMIF(C45,Habilidades!$A$29,D45) * SUMIF(C45,Habilidades!$A$29,Habilidades!$B$29), if(C45="Curandeiro 3", SUMIF(C45,Habilidades!$A$30,D45) * SUMIF(C45,Habilidades!$A$30,Habilidades!$B$30), if(C45="Sortudo 1", SUMIF(C45,Habilidades!$A$31,D45) * SUMIF(C45,Habilidades!$A$31,Habilidades!$B$31), if(C45="Sortudo 2", SUMIF(C45,Habilidades!$A$32,D45) * SUMIF(C45,Habilidades!$A$32,Habilidades!$B$32), if(C45="Sortudo 3", SUMIF(C45,Habilidades!$A$33,D45) * SUMIF(C45,Habilidades!$A$33,Habilidades!$B$33), if(C45="Protetor 1", SUMIF(C45,Habilidades!$A$34,D45) * SUMIF(C45,Habilidades!$A$34,Habilidades!$B$34), if(C45="Protetor 2", SUMIF(C45,Habilidades!$A$35,D45) * SUMIF(C45,Habilidades!$A$35,Habilidades!$B$35), if(C45="Protetor 3", SUMIF(C45,Habilidades!$A$36,D45) * SUMIF(C45,Habilidades!$A$36,Habilidades!$B$36), if(C45="Engenhoso 1", SUMIF(C45,Habilidades!$A$40,D45) * SUMIF(C45,Habilidades!$A$40,Habilidades!$B$40), if(C45="Engenhoso 2", SUMIF(C45,Habilidades!$A$41,D45) * SUMIF(C45,Habilidades!$A$41,Habilidades!$B$41), if(C45="Engenhoso 3", SUMIF(C45,Habilidades!$A$42,D45) * SUMIF(C45,Habilidades!$A$42,Habilidades!$B$42), if(C45="Reviver 1", SUMIF(C45,Habilidades!$A$43,D45) * SUMIF(C45,Habilidades!$A$43,Habilidades!$B$43), if(C45="Reviver 2", SUMIF(C45,Habilidades!$A$44,D45) * SUMIF(C45,Habilidades!$A$44,Habilidades!$B$44), if(C45="Reviver 3", SUMIF(C45,Habilidades!$A$45,D45) * SUMIF(C45,Habilidades!$A$45,Habilidades!$B$45), if(C45="Catador 1", SUMIF(C45,Habilidades!$A$46,D45) * SUMIF(C45,Habilidades!$A$46,Habilidades!$B$46), if(C45="Catador 2", SUMIF(C45,Habilidades!$A$47,D45) * SUMIF(C45,Habilidades!$A$47,Habilidades!$B$47), if(C45="Catador 3", SUMIF(C45,Habilidades!$A$48,D45) * SUMIF(C45,Habilidades!$A$48,Habilidades!$B$48), if(C45="Fornecedor 1", SUMIF(C45,Habilidades!$A$49,D45) * SUMIF(C45,Habilidades!$A$49,Habilidades!$B$49), if(C45="Fornecedor 2", SUMIF(C45,Habilidades!$A$50,D45) * SUMIF(C45,Habilidades!$A$50,Habilidades!$B$50), if(C45="Fornecedor 3", SUMIF(C45,Habilidades!$A$51,D45) * SUMIF(C45,Habilidades!$A$51,Habilidades!$B$51), if(C45="Suporte 1", SUMIF(C45,Habilidades!$A$52,D45) * SUMIF(C45,Habilidades!$A$52,Habilidades!$B$52), if(C45="Suporte 2", SUMIF(C45,Habilidades!$A$53,D45) * SUMIF(C45,Habilidades!$A$53,Habilidades!$B$53), if(C45="Suporte 3", SUMIF(C45,Habilidades!$A$54,D45) * SUMIF(C45,Habilidades!$A$54,Habilidades!$B$54), if(C45="Caça-tesouros 1", SUMIF(C45,Habilidades!$A$55,D45) * SUMIF(C45,Habilidades!$A$55,Habilidades!$B$55), if(C45="Caça-tesouros 2", SUMIF(C45,Habilidades!$A$56,D45) * SUMIF(C45,Habilidades!$A$56,Habilidades!$B$56), if(C45="Caça-tesouros 3", SUMIF(C45,Habilidades!$A$57,D45) * SUMIF(C45,Habilidades!$A$57,Habilidades!$B$57), if(C45="Velocista 1", SUMIF(C45,Habilidades!$A$77,D45) * SUMIF(C45,Habilidades!$A$77,Habilidades!$B$77), if(C45="Velocista 2", SUMIF(C45,Habilidades!$A$78,D45) * SUMIF(C45,Habilidades!$A$78,Habilidades!$B$78), if(C45="Velocista 3", SUMIF(C45,Habilidades!$A$79,D45) * SUMIF(C45,Habilidades!$A$79,Habilidades!$B$79), "-"))))))))))))))))))))))))))))))))))))))</f>
        <v>-</v>
      </c>
      <c r="F45" s="110"/>
      <c r="G45" s="110"/>
      <c r="H45" s="110"/>
      <c r="I45" s="110"/>
      <c r="J45" s="110"/>
      <c r="K45" s="110"/>
      <c r="L45" s="110"/>
      <c r="M45" s="110"/>
      <c r="N45" s="110"/>
    </row>
    <row r="46">
      <c r="C46" s="142"/>
      <c r="D46" s="129">
        <f t="shared" si="2"/>
        <v>0</v>
      </c>
      <c r="E46" s="130" t="str">
        <f>if(C46="Detectar Segredo", SUMIF(C46,Habilidades!$A$11,D46) * SUMIF(C46,Habilidades!$A$11,Habilidades!$B$11), if(C46="Encontrar mágica", SUMIF(C46,Habilidades!$A$12,D46) * SUMIF(C46,Habilidades!$A$12,Habilidades!$B$12), if(C46="Cuidadoso 1", SUMIF(C46,Habilidades!$A$22,D46) * SUMIF(C46,Habilidades!$A$22,Habilidades!$B$22), if(C46="Cuidadoso 2", SUMIF(C46,Habilidades!$A$23,D60) * SUMIF(C46,Habilidades!$A$23,Habilidades!$B$23), if(C46="Cuidadoso 3", SUMIF(C46,Habilidades!$A$24,D46) * SUMIF(C46,Habilidades!$A$24,Habilidades!$B$24), if(C46="Ganancioso 1", SUMIF(C46,Habilidades!$A$25,D46) * SUMIF(C46,Habilidades!$A$25,Habilidades!$B$25), if(C46="Ganancioso 2", SUMIF(C46,Habilidades!$A$26,D46) * SUMIF(C46,Habilidades!$A$26,Habilidades!$B$26), if(C46="Ganancioso 3", SUMIF(C46,Habilidades!$A$27,D46) * SUMIF(C46,Habilidades!$A$27,Habilidades!$B$27), if(C46="Curandeiro 1", SUMIF(C46,Habilidades!$A$28,D46) * SUMIF(C46,Habilidades!$A$28,Habilidades!$B$28), if(C46="Curandeiro 2", SUMIF(C46,Habilidades!$A$29,D46) * SUMIF(C46,Habilidades!$A$29,Habilidades!$B$29), if(C46="Curandeiro 3", SUMIF(C46,Habilidades!$A$30,D46) * SUMIF(C46,Habilidades!$A$30,Habilidades!$B$30), if(C46="Sortudo 1", SUMIF(C46,Habilidades!$A$31,D46) * SUMIF(C46,Habilidades!$A$31,Habilidades!$B$31), if(C46="Sortudo 2", SUMIF(C46,Habilidades!$A$32,D46) * SUMIF(C46,Habilidades!$A$32,Habilidades!$B$32), if(C46="Sortudo 3", SUMIF(C46,Habilidades!$A$33,D46) * SUMIF(C46,Habilidades!$A$33,Habilidades!$B$33), if(C46="Protetor 1", SUMIF(C46,Habilidades!$A$34,D46) * SUMIF(C46,Habilidades!$A$34,Habilidades!$B$34), if(C46="Protetor 2", SUMIF(C46,Habilidades!$A$35,D46) * SUMIF(C46,Habilidades!$A$35,Habilidades!$B$35), if(C46="Protetor 3", SUMIF(C46,Habilidades!$A$36,D46) * SUMIF(C46,Habilidades!$A$36,Habilidades!$B$36), if(C46="Engenhoso 1", SUMIF(C46,Habilidades!$A$40,D46) * SUMIF(C46,Habilidades!$A$40,Habilidades!$B$40), if(C46="Engenhoso 2", SUMIF(C46,Habilidades!$A$41,D46) * SUMIF(C46,Habilidades!$A$41,Habilidades!$B$41), if(C46="Engenhoso 3", SUMIF(C46,Habilidades!$A$42,D46) * SUMIF(C46,Habilidades!$A$42,Habilidades!$B$42), if(C46="Reviver 1", SUMIF(C46,Habilidades!$A$43,D46) * SUMIF(C46,Habilidades!$A$43,Habilidades!$B$43), if(C46="Reviver 2", SUMIF(C46,Habilidades!$A$44,D46) * SUMIF(C46,Habilidades!$A$44,Habilidades!$B$44), if(C46="Reviver 3", SUMIF(C46,Habilidades!$A$45,D46) * SUMIF(C46,Habilidades!$A$45,Habilidades!$B$45), if(C46="Catador 1", SUMIF(C46,Habilidades!$A$46,D46) * SUMIF(C46,Habilidades!$A$46,Habilidades!$B$46), if(C46="Catador 2", SUMIF(C46,Habilidades!$A$47,D46) * SUMIF(C46,Habilidades!$A$47,Habilidades!$B$47), if(C46="Catador 3", SUMIF(C46,Habilidades!$A$48,D46) * SUMIF(C46,Habilidades!$A$48,Habilidades!$B$48), if(C46="Fornecedor 1", SUMIF(C46,Habilidades!$A$49,D46) * SUMIF(C46,Habilidades!$A$49,Habilidades!$B$49), if(C46="Fornecedor 2", SUMIF(C46,Habilidades!$A$50,D46) * SUMIF(C46,Habilidades!$A$50,Habilidades!$B$50), if(C46="Fornecedor 3", SUMIF(C46,Habilidades!$A$51,D46) * SUMIF(C46,Habilidades!$A$51,Habilidades!$B$51), if(C46="Suporte 1", SUMIF(C46,Habilidades!$A$52,D46) * SUMIF(C46,Habilidades!$A$52,Habilidades!$B$52), if(C46="Suporte 2", SUMIF(C46,Habilidades!$A$53,D46) * SUMIF(C46,Habilidades!$A$53,Habilidades!$B$53), if(C46="Suporte 3", SUMIF(C46,Habilidades!$A$54,D46) * SUMIF(C46,Habilidades!$A$54,Habilidades!$B$54), if(C46="Caça-tesouros 1", SUMIF(C46,Habilidades!$A$55,D46) * SUMIF(C46,Habilidades!$A$55,Habilidades!$B$55), if(C46="Caça-tesouros 2", SUMIF(C46,Habilidades!$A$56,D46) * SUMIF(C46,Habilidades!$A$56,Habilidades!$B$56), if(C46="Caça-tesouros 3", SUMIF(C46,Habilidades!$A$57,D46) * SUMIF(C46,Habilidades!$A$57,Habilidades!$B$57), if(C46="Velocista 1", SUMIF(C46,Habilidades!$A$77,D46) * SUMIF(C46,Habilidades!$A$77,Habilidades!$B$77), if(C46="Velocista 2", SUMIF(C46,Habilidades!$A$78,D46) * SUMIF(C46,Habilidades!$A$78,Habilidades!$B$78), if(C46="Velocista 3", SUMIF(C46,Habilidades!$A$79,D46) * SUMIF(C46,Habilidades!$A$79,Habilidades!$B$79), "-"))))))))))))))))))))))))))))))))))))))</f>
        <v>-</v>
      </c>
      <c r="F46" s="110"/>
      <c r="G46" s="110"/>
      <c r="H46" s="110"/>
      <c r="I46" s="110"/>
      <c r="J46" s="110"/>
      <c r="K46" s="110"/>
      <c r="L46" s="110"/>
      <c r="M46" s="110"/>
      <c r="N46" s="110"/>
    </row>
    <row r="47">
      <c r="C47" s="142"/>
      <c r="D47" s="129">
        <f t="shared" si="2"/>
        <v>0</v>
      </c>
      <c r="E47" s="130" t="str">
        <f>if(C47="Detectar Segredo", SUMIF(C47,Habilidades!$A$11,D47) * SUMIF(C47,Habilidades!$A$11,Habilidades!$B$11), if(C47="Encontrar mágica", SUMIF(C47,Habilidades!$A$12,D47) * SUMIF(C47,Habilidades!$A$12,Habilidades!$B$12), if(C47="Cuidadoso 1", SUMIF(C47,Habilidades!$A$22,D47) * SUMIF(C47,Habilidades!$A$22,Habilidades!$B$22), if(C47="Cuidadoso 2", SUMIF(C47,Habilidades!$A$23,D61) * SUMIF(C47,Habilidades!$A$23,Habilidades!$B$23), if(C47="Cuidadoso 3", SUMIF(C47,Habilidades!$A$24,D47) * SUMIF(C47,Habilidades!$A$24,Habilidades!$B$24), if(C47="Ganancioso 1", SUMIF(C47,Habilidades!$A$25,D47) * SUMIF(C47,Habilidades!$A$25,Habilidades!$B$25), if(C47="Ganancioso 2", SUMIF(C47,Habilidades!$A$26,D47) * SUMIF(C47,Habilidades!$A$26,Habilidades!$B$26), if(C47="Ganancioso 3", SUMIF(C47,Habilidades!$A$27,D47) * SUMIF(C47,Habilidades!$A$27,Habilidades!$B$27), if(C47="Curandeiro 1", SUMIF(C47,Habilidades!$A$28,D47) * SUMIF(C47,Habilidades!$A$28,Habilidades!$B$28), if(C47="Curandeiro 2", SUMIF(C47,Habilidades!$A$29,D47) * SUMIF(C47,Habilidades!$A$29,Habilidades!$B$29), if(C47="Curandeiro 3", SUMIF(C47,Habilidades!$A$30,D47) * SUMIF(C47,Habilidades!$A$30,Habilidades!$B$30), if(C47="Sortudo 1", SUMIF(C47,Habilidades!$A$31,D47) * SUMIF(C47,Habilidades!$A$31,Habilidades!$B$31), if(C47="Sortudo 2", SUMIF(C47,Habilidades!$A$32,D47) * SUMIF(C47,Habilidades!$A$32,Habilidades!$B$32), if(C47="Sortudo 3", SUMIF(C47,Habilidades!$A$33,D47) * SUMIF(C47,Habilidades!$A$33,Habilidades!$B$33), if(C47="Protetor 1", SUMIF(C47,Habilidades!$A$34,D47) * SUMIF(C47,Habilidades!$A$34,Habilidades!$B$34), if(C47="Protetor 2", SUMIF(C47,Habilidades!$A$35,D47) * SUMIF(C47,Habilidades!$A$35,Habilidades!$B$35), if(C47="Protetor 3", SUMIF(C47,Habilidades!$A$36,D47) * SUMIF(C47,Habilidades!$A$36,Habilidades!$B$36), if(C47="Engenhoso 1", SUMIF(C47,Habilidades!$A$40,D47) * SUMIF(C47,Habilidades!$A$40,Habilidades!$B$40), if(C47="Engenhoso 2", SUMIF(C47,Habilidades!$A$41,D47) * SUMIF(C47,Habilidades!$A$41,Habilidades!$B$41), if(C47="Engenhoso 3", SUMIF(C47,Habilidades!$A$42,D47) * SUMIF(C47,Habilidades!$A$42,Habilidades!$B$42), if(C47="Reviver 1", SUMIF(C47,Habilidades!$A$43,D47) * SUMIF(C47,Habilidades!$A$43,Habilidades!$B$43), if(C47="Reviver 2", SUMIF(C47,Habilidades!$A$44,D47) * SUMIF(C47,Habilidades!$A$44,Habilidades!$B$44), if(C47="Reviver 3", SUMIF(C47,Habilidades!$A$45,D47) * SUMIF(C47,Habilidades!$A$45,Habilidades!$B$45), if(C47="Catador 1", SUMIF(C47,Habilidades!$A$46,D47) * SUMIF(C47,Habilidades!$A$46,Habilidades!$B$46), if(C47="Catador 2", SUMIF(C47,Habilidades!$A$47,D47) * SUMIF(C47,Habilidades!$A$47,Habilidades!$B$47), if(C47="Catador 3", SUMIF(C47,Habilidades!$A$48,D47) * SUMIF(C47,Habilidades!$A$48,Habilidades!$B$48), if(C47="Fornecedor 1", SUMIF(C47,Habilidades!$A$49,D47) * SUMIF(C47,Habilidades!$A$49,Habilidades!$B$49), if(C47="Fornecedor 2", SUMIF(C47,Habilidades!$A$50,D47) * SUMIF(C47,Habilidades!$A$50,Habilidades!$B$50), if(C47="Fornecedor 3", SUMIF(C47,Habilidades!$A$51,D47) * SUMIF(C47,Habilidades!$A$51,Habilidades!$B$51), if(C47="Suporte 1", SUMIF(C47,Habilidades!$A$52,D47) * SUMIF(C47,Habilidades!$A$52,Habilidades!$B$52), if(C47="Suporte 2", SUMIF(C47,Habilidades!$A$53,D47) * SUMIF(C47,Habilidades!$A$53,Habilidades!$B$53), if(C47="Suporte 3", SUMIF(C47,Habilidades!$A$54,D47) * SUMIF(C47,Habilidades!$A$54,Habilidades!$B$54), if(C47="Caça-tesouros 1", SUMIF(C47,Habilidades!$A$55,D47) * SUMIF(C47,Habilidades!$A$55,Habilidades!$B$55), if(C47="Caça-tesouros 2", SUMIF(C47,Habilidades!$A$56,D47) * SUMIF(C47,Habilidades!$A$56,Habilidades!$B$56), if(C47="Caça-tesouros 3", SUMIF(C47,Habilidades!$A$57,D47) * SUMIF(C47,Habilidades!$A$57,Habilidades!$B$57), if(C47="Velocista 1", SUMIF(C47,Habilidades!$A$77,D47) * SUMIF(C47,Habilidades!$A$77,Habilidades!$B$77), if(C47="Velocista 2", SUMIF(C47,Habilidades!$A$78,D47) * SUMIF(C47,Habilidades!$A$78,Habilidades!$B$78), if(C47="Velocista 3", SUMIF(C47,Habilidades!$A$79,D47) * SUMIF(C47,Habilidades!$A$79,Habilidades!$B$79), "-"))))))))))))))))))))))))))))))))))))))</f>
        <v>-</v>
      </c>
      <c r="F47" s="110"/>
      <c r="G47" s="110"/>
      <c r="H47" s="110"/>
      <c r="I47" s="110"/>
      <c r="J47" s="110"/>
      <c r="K47" s="110"/>
      <c r="L47" s="110"/>
      <c r="M47" s="110"/>
      <c r="N47" s="110"/>
    </row>
    <row r="48">
      <c r="C48" s="142"/>
      <c r="D48" s="129">
        <f t="shared" si="2"/>
        <v>0</v>
      </c>
      <c r="E48" s="130" t="str">
        <f>if(C48="Detectar Segredo", SUMIF(C48,Habilidades!$A$11,D48) * SUMIF(C48,Habilidades!$A$11,Habilidades!$B$11), if(C48="Encontrar mágica", SUMIF(C48,Habilidades!$A$12,D48) * SUMIF(C48,Habilidades!$A$12,Habilidades!$B$12), if(C48="Cuidadoso 1", SUMIF(C48,Habilidades!$A$22,D48) * SUMIF(C48,Habilidades!$A$22,Habilidades!$B$22), if(C48="Cuidadoso 2", SUMIF(C48,Habilidades!$A$23,D62) * SUMIF(C48,Habilidades!$A$23,Habilidades!$B$23), if(C48="Cuidadoso 3", SUMIF(C48,Habilidades!$A$24,D48) * SUMIF(C48,Habilidades!$A$24,Habilidades!$B$24), if(C48="Ganancioso 1", SUMIF(C48,Habilidades!$A$25,D48) * SUMIF(C48,Habilidades!$A$25,Habilidades!$B$25), if(C48="Ganancioso 2", SUMIF(C48,Habilidades!$A$26,D48) * SUMIF(C48,Habilidades!$A$26,Habilidades!$B$26), if(C48="Ganancioso 3", SUMIF(C48,Habilidades!$A$27,D48) * SUMIF(C48,Habilidades!$A$27,Habilidades!$B$27), if(C48="Curandeiro 1", SUMIF(C48,Habilidades!$A$28,D48) * SUMIF(C48,Habilidades!$A$28,Habilidades!$B$28), if(C48="Curandeiro 2", SUMIF(C48,Habilidades!$A$29,D48) * SUMIF(C48,Habilidades!$A$29,Habilidades!$B$29), if(C48="Curandeiro 3", SUMIF(C48,Habilidades!$A$30,D48) * SUMIF(C48,Habilidades!$A$30,Habilidades!$B$30), if(C48="Sortudo 1", SUMIF(C48,Habilidades!$A$31,D48) * SUMIF(C48,Habilidades!$A$31,Habilidades!$B$31), if(C48="Sortudo 2", SUMIF(C48,Habilidades!$A$32,D48) * SUMIF(C48,Habilidades!$A$32,Habilidades!$B$32), if(C48="Sortudo 3", SUMIF(C48,Habilidades!$A$33,D48) * SUMIF(C48,Habilidades!$A$33,Habilidades!$B$33), if(C48="Protetor 1", SUMIF(C48,Habilidades!$A$34,D48) * SUMIF(C48,Habilidades!$A$34,Habilidades!$B$34), if(C48="Protetor 2", SUMIF(C48,Habilidades!$A$35,D48) * SUMIF(C48,Habilidades!$A$35,Habilidades!$B$35), if(C48="Protetor 3", SUMIF(C48,Habilidades!$A$36,D48) * SUMIF(C48,Habilidades!$A$36,Habilidades!$B$36), if(C48="Engenhoso 1", SUMIF(C48,Habilidades!$A$40,D48) * SUMIF(C48,Habilidades!$A$40,Habilidades!$B$40), if(C48="Engenhoso 2", SUMIF(C48,Habilidades!$A$41,D48) * SUMIF(C48,Habilidades!$A$41,Habilidades!$B$41), if(C48="Engenhoso 3", SUMIF(C48,Habilidades!$A$42,D48) * SUMIF(C48,Habilidades!$A$42,Habilidades!$B$42), if(C48="Reviver 1", SUMIF(C48,Habilidades!$A$43,D48) * SUMIF(C48,Habilidades!$A$43,Habilidades!$B$43), if(C48="Reviver 2", SUMIF(C48,Habilidades!$A$44,D48) * SUMIF(C48,Habilidades!$A$44,Habilidades!$B$44), if(C48="Reviver 3", SUMIF(C48,Habilidades!$A$45,D48) * SUMIF(C48,Habilidades!$A$45,Habilidades!$B$45), if(C48="Catador 1", SUMIF(C48,Habilidades!$A$46,D48) * SUMIF(C48,Habilidades!$A$46,Habilidades!$B$46), if(C48="Catador 2", SUMIF(C48,Habilidades!$A$47,D48) * SUMIF(C48,Habilidades!$A$47,Habilidades!$B$47), if(C48="Catador 3", SUMIF(C48,Habilidades!$A$48,D48) * SUMIF(C48,Habilidades!$A$48,Habilidades!$B$48), if(C48="Fornecedor 1", SUMIF(C48,Habilidades!$A$49,D48) * SUMIF(C48,Habilidades!$A$49,Habilidades!$B$49), if(C48="Fornecedor 2", SUMIF(C48,Habilidades!$A$50,D48) * SUMIF(C48,Habilidades!$A$50,Habilidades!$B$50), if(C48="Fornecedor 3", SUMIF(C48,Habilidades!$A$51,D48) * SUMIF(C48,Habilidades!$A$51,Habilidades!$B$51), if(C48="Suporte 1", SUMIF(C48,Habilidades!$A$52,D48) * SUMIF(C48,Habilidades!$A$52,Habilidades!$B$52), if(C48="Suporte 2", SUMIF(C48,Habilidades!$A$53,D48) * SUMIF(C48,Habilidades!$A$53,Habilidades!$B$53), if(C48="Suporte 3", SUMIF(C48,Habilidades!$A$54,D48) * SUMIF(C48,Habilidades!$A$54,Habilidades!$B$54), if(C48="Caça-tesouros 1", SUMIF(C48,Habilidades!$A$55,D48) * SUMIF(C48,Habilidades!$A$55,Habilidades!$B$55), if(C48="Caça-tesouros 2", SUMIF(C48,Habilidades!$A$56,D48) * SUMIF(C48,Habilidades!$A$56,Habilidades!$B$56), if(C48="Caça-tesouros 3", SUMIF(C48,Habilidades!$A$57,D48) * SUMIF(C48,Habilidades!$A$57,Habilidades!$B$57), if(C48="Velocista 1", SUMIF(C48,Habilidades!$A$77,D48) * SUMIF(C48,Habilidades!$A$77,Habilidades!$B$77), if(C48="Velocista 2", SUMIF(C48,Habilidades!$A$78,D48) * SUMIF(C48,Habilidades!$A$78,Habilidades!$B$78), if(C48="Velocista 3", SUMIF(C48,Habilidades!$A$79,D48) * SUMIF(C48,Habilidades!$A$79,Habilidades!$B$79), "-"))))))))))))))))))))))))))))))))))))))</f>
        <v>-</v>
      </c>
      <c r="F48" s="110"/>
      <c r="G48" s="110"/>
      <c r="H48" s="110"/>
      <c r="I48" s="110"/>
      <c r="J48" s="110"/>
      <c r="K48" s="110"/>
      <c r="L48" s="110"/>
      <c r="M48" s="110"/>
      <c r="N48" s="110"/>
    </row>
    <row r="49">
      <c r="C49" s="142"/>
      <c r="D49" s="129">
        <f t="shared" si="2"/>
        <v>0</v>
      </c>
      <c r="E49" s="130" t="str">
        <f>if(C49="Detectar Segredo", SUMIF(C49,Habilidades!$A$11,D49) * SUMIF(C49,Habilidades!$A$11,Habilidades!$B$11), if(C49="Encontrar mágica", SUMIF(C49,Habilidades!$A$12,D49) * SUMIF(C49,Habilidades!$A$12,Habilidades!$B$12), if(C49="Cuidadoso 1", SUMIF(C49,Habilidades!$A$22,D49) * SUMIF(C49,Habilidades!$A$22,Habilidades!$B$22), if(C49="Cuidadoso 2", SUMIF(C49,Habilidades!$A$23,D63) * SUMIF(C49,Habilidades!$A$23,Habilidades!$B$23), if(C49="Cuidadoso 3", SUMIF(C49,Habilidades!$A$24,D49) * SUMIF(C49,Habilidades!$A$24,Habilidades!$B$24), if(C49="Ganancioso 1", SUMIF(C49,Habilidades!$A$25,D49) * SUMIF(C49,Habilidades!$A$25,Habilidades!$B$25), if(C49="Ganancioso 2", SUMIF(C49,Habilidades!$A$26,D49) * SUMIF(C49,Habilidades!$A$26,Habilidades!$B$26), if(C49="Ganancioso 3", SUMIF(C49,Habilidades!$A$27,D49) * SUMIF(C49,Habilidades!$A$27,Habilidades!$B$27), if(C49="Curandeiro 1", SUMIF(C49,Habilidades!$A$28,D49) * SUMIF(C49,Habilidades!$A$28,Habilidades!$B$28), if(C49="Curandeiro 2", SUMIF(C49,Habilidades!$A$29,D49) * SUMIF(C49,Habilidades!$A$29,Habilidades!$B$29), if(C49="Curandeiro 3", SUMIF(C49,Habilidades!$A$30,D49) * SUMIF(C49,Habilidades!$A$30,Habilidades!$B$30), if(C49="Sortudo 1", SUMIF(C49,Habilidades!$A$31,D49) * SUMIF(C49,Habilidades!$A$31,Habilidades!$B$31), if(C49="Sortudo 2", SUMIF(C49,Habilidades!$A$32,D49) * SUMIF(C49,Habilidades!$A$32,Habilidades!$B$32), if(C49="Sortudo 3", SUMIF(C49,Habilidades!$A$33,D49) * SUMIF(C49,Habilidades!$A$33,Habilidades!$B$33), if(C49="Protetor 1", SUMIF(C49,Habilidades!$A$34,D49) * SUMIF(C49,Habilidades!$A$34,Habilidades!$B$34), if(C49="Protetor 2", SUMIF(C49,Habilidades!$A$35,D49) * SUMIF(C49,Habilidades!$A$35,Habilidades!$B$35), if(C49="Protetor 3", SUMIF(C49,Habilidades!$A$36,D49) * SUMIF(C49,Habilidades!$A$36,Habilidades!$B$36), if(C49="Engenhoso 1", SUMIF(C49,Habilidades!$A$40,D49) * SUMIF(C49,Habilidades!$A$40,Habilidades!$B$40), if(C49="Engenhoso 2", SUMIF(C49,Habilidades!$A$41,D49) * SUMIF(C49,Habilidades!$A$41,Habilidades!$B$41), if(C49="Engenhoso 3", SUMIF(C49,Habilidades!$A$42,D49) * SUMIF(C49,Habilidades!$A$42,Habilidades!$B$42), if(C49="Reviver 1", SUMIF(C49,Habilidades!$A$43,D49) * SUMIF(C49,Habilidades!$A$43,Habilidades!$B$43), if(C49="Reviver 2", SUMIF(C49,Habilidades!$A$44,D49) * SUMIF(C49,Habilidades!$A$44,Habilidades!$B$44), if(C49="Reviver 3", SUMIF(C49,Habilidades!$A$45,D49) * SUMIF(C49,Habilidades!$A$45,Habilidades!$B$45), if(C49="Catador 1", SUMIF(C49,Habilidades!$A$46,D49) * SUMIF(C49,Habilidades!$A$46,Habilidades!$B$46), if(C49="Catador 2", SUMIF(C49,Habilidades!$A$47,D49) * SUMIF(C49,Habilidades!$A$47,Habilidades!$B$47), if(C49="Catador 3", SUMIF(C49,Habilidades!$A$48,D49) * SUMIF(C49,Habilidades!$A$48,Habilidades!$B$48), if(C49="Fornecedor 1", SUMIF(C49,Habilidades!$A$49,D49) * SUMIF(C49,Habilidades!$A$49,Habilidades!$B$49), if(C49="Fornecedor 2", SUMIF(C49,Habilidades!$A$50,D49) * SUMIF(C49,Habilidades!$A$50,Habilidades!$B$50), if(C49="Fornecedor 3", SUMIF(C49,Habilidades!$A$51,D49) * SUMIF(C49,Habilidades!$A$51,Habilidades!$B$51), if(C49="Suporte 1", SUMIF(C49,Habilidades!$A$52,D49) * SUMIF(C49,Habilidades!$A$52,Habilidades!$B$52), if(C49="Suporte 2", SUMIF(C49,Habilidades!$A$53,D49) * SUMIF(C49,Habilidades!$A$53,Habilidades!$B$53), if(C49="Suporte 3", SUMIF(C49,Habilidades!$A$54,D49) * SUMIF(C49,Habilidades!$A$54,Habilidades!$B$54), if(C49="Caça-tesouros 1", SUMIF(C49,Habilidades!$A$55,D49) * SUMIF(C49,Habilidades!$A$55,Habilidades!$B$55), if(C49="Caça-tesouros 2", SUMIF(C49,Habilidades!$A$56,D49) * SUMIF(C49,Habilidades!$A$56,Habilidades!$B$56), if(C49="Caça-tesouros 3", SUMIF(C49,Habilidades!$A$57,D49) * SUMIF(C49,Habilidades!$A$57,Habilidades!$B$57), if(C49="Velocista 1", SUMIF(C49,Habilidades!$A$77,D49) * SUMIF(C49,Habilidades!$A$77,Habilidades!$B$77), if(C49="Velocista 2", SUMIF(C49,Habilidades!$A$78,D49) * SUMIF(C49,Habilidades!$A$78,Habilidades!$B$78), if(C49="Velocista 3", SUMIF(C49,Habilidades!$A$79,D49) * SUMIF(C49,Habilidades!$A$79,Habilidades!$B$79), "-"))))))))))))))))))))))))))))))))))))))</f>
        <v>-</v>
      </c>
      <c r="F49" s="110"/>
      <c r="G49" s="110"/>
      <c r="H49" s="110"/>
      <c r="I49" s="110"/>
      <c r="J49" s="110"/>
      <c r="K49" s="110"/>
      <c r="L49" s="110"/>
      <c r="M49" s="110"/>
      <c r="N49" s="110"/>
    </row>
    <row r="50">
      <c r="C50" s="142"/>
      <c r="D50" s="129">
        <f t="shared" si="2"/>
        <v>0</v>
      </c>
      <c r="E50" s="130" t="str">
        <f>if(C50="Detectar Segredo", SUMIF(C50,Habilidades!$A$11,D50) * SUMIF(C50,Habilidades!$A$11,Habilidades!$B$11), if(C50="Encontrar mágica", SUMIF(C50,Habilidades!$A$12,D50) * SUMIF(C50,Habilidades!$A$12,Habilidades!$B$12), if(C50="Cuidadoso 1", SUMIF(C50,Habilidades!$A$22,D50) * SUMIF(C50,Habilidades!$A$22,Habilidades!$B$22), if(C50="Cuidadoso 2", SUMIF(C50,Habilidades!$A$23,D64) * SUMIF(C50,Habilidades!$A$23,Habilidades!$B$23), if(C50="Cuidadoso 3", SUMIF(C50,Habilidades!$A$24,D50) * SUMIF(C50,Habilidades!$A$24,Habilidades!$B$24), if(C50="Ganancioso 1", SUMIF(C50,Habilidades!$A$25,D50) * SUMIF(C50,Habilidades!$A$25,Habilidades!$B$25), if(C50="Ganancioso 2", SUMIF(C50,Habilidades!$A$26,D50) * SUMIF(C50,Habilidades!$A$26,Habilidades!$B$26), if(C50="Ganancioso 3", SUMIF(C50,Habilidades!$A$27,D50) * SUMIF(C50,Habilidades!$A$27,Habilidades!$B$27), if(C50="Curandeiro 1", SUMIF(C50,Habilidades!$A$28,D50) * SUMIF(C50,Habilidades!$A$28,Habilidades!$B$28), if(C50="Curandeiro 2", SUMIF(C50,Habilidades!$A$29,D50) * SUMIF(C50,Habilidades!$A$29,Habilidades!$B$29), if(C50="Curandeiro 3", SUMIF(C50,Habilidades!$A$30,D50) * SUMIF(C50,Habilidades!$A$30,Habilidades!$B$30), if(C50="Sortudo 1", SUMIF(C50,Habilidades!$A$31,D50) * SUMIF(C50,Habilidades!$A$31,Habilidades!$B$31), if(C50="Sortudo 2", SUMIF(C50,Habilidades!$A$32,D50) * SUMIF(C50,Habilidades!$A$32,Habilidades!$B$32), if(C50="Sortudo 3", SUMIF(C50,Habilidades!$A$33,D50) * SUMIF(C50,Habilidades!$A$33,Habilidades!$B$33), if(C50="Protetor 1", SUMIF(C50,Habilidades!$A$34,D50) * SUMIF(C50,Habilidades!$A$34,Habilidades!$B$34), if(C50="Protetor 2", SUMIF(C50,Habilidades!$A$35,D50) * SUMIF(C50,Habilidades!$A$35,Habilidades!$B$35), if(C50="Protetor 3", SUMIF(C50,Habilidades!$A$36,D50) * SUMIF(C50,Habilidades!$A$36,Habilidades!$B$36), if(C50="Engenhoso 1", SUMIF(C50,Habilidades!$A$40,D50) * SUMIF(C50,Habilidades!$A$40,Habilidades!$B$40), if(C50="Engenhoso 2", SUMIF(C50,Habilidades!$A$41,D50) * SUMIF(C50,Habilidades!$A$41,Habilidades!$B$41), if(C50="Engenhoso 3", SUMIF(C50,Habilidades!$A$42,D50) * SUMIF(C50,Habilidades!$A$42,Habilidades!$B$42), if(C50="Reviver 1", SUMIF(C50,Habilidades!$A$43,D50) * SUMIF(C50,Habilidades!$A$43,Habilidades!$B$43), if(C50="Reviver 2", SUMIF(C50,Habilidades!$A$44,D50) * SUMIF(C50,Habilidades!$A$44,Habilidades!$B$44), if(C50="Reviver 3", SUMIF(C50,Habilidades!$A$45,D50) * SUMIF(C50,Habilidades!$A$45,Habilidades!$B$45), if(C50="Catador 1", SUMIF(C50,Habilidades!$A$46,D50) * SUMIF(C50,Habilidades!$A$46,Habilidades!$B$46), if(C50="Catador 2", SUMIF(C50,Habilidades!$A$47,D50) * SUMIF(C50,Habilidades!$A$47,Habilidades!$B$47), if(C50="Catador 3", SUMIF(C50,Habilidades!$A$48,D50) * SUMIF(C50,Habilidades!$A$48,Habilidades!$B$48), if(C50="Fornecedor 1", SUMIF(C50,Habilidades!$A$49,D50) * SUMIF(C50,Habilidades!$A$49,Habilidades!$B$49), if(C50="Fornecedor 2", SUMIF(C50,Habilidades!$A$50,D50) * SUMIF(C50,Habilidades!$A$50,Habilidades!$B$50), if(C50="Fornecedor 3", SUMIF(C50,Habilidades!$A$51,D50) * SUMIF(C50,Habilidades!$A$51,Habilidades!$B$51), if(C50="Suporte 1", SUMIF(C50,Habilidades!$A$52,D50) * SUMIF(C50,Habilidades!$A$52,Habilidades!$B$52), if(C50="Suporte 2", SUMIF(C50,Habilidades!$A$53,D50) * SUMIF(C50,Habilidades!$A$53,Habilidades!$B$53), if(C50="Suporte 3", SUMIF(C50,Habilidades!$A$54,D50) * SUMIF(C50,Habilidades!$A$54,Habilidades!$B$54), if(C50="Caça-tesouros 1", SUMIF(C50,Habilidades!$A$55,D50) * SUMIF(C50,Habilidades!$A$55,Habilidades!$B$55), if(C50="Caça-tesouros 2", SUMIF(C50,Habilidades!$A$56,D50) * SUMIF(C50,Habilidades!$A$56,Habilidades!$B$56), if(C50="Caça-tesouros 3", SUMIF(C50,Habilidades!$A$57,D50) * SUMIF(C50,Habilidades!$A$57,Habilidades!$B$57), if(C50="Velocista 1", SUMIF(C50,Habilidades!$A$77,D50) * SUMIF(C50,Habilidades!$A$77,Habilidades!$B$77), if(C50="Velocista 2", SUMIF(C50,Habilidades!$A$78,D50) * SUMIF(C50,Habilidades!$A$78,Habilidades!$B$78), if(C50="Velocista 3", SUMIF(C50,Habilidades!$A$79,D50) * SUMIF(C50,Habilidades!$A$79,Habilidades!$B$79), "-"))))))))))))))))))))))))))))))))))))))</f>
        <v>-</v>
      </c>
      <c r="F50" s="110"/>
      <c r="G50" s="110"/>
      <c r="H50" s="110"/>
      <c r="I50" s="110"/>
      <c r="J50" s="110"/>
      <c r="K50" s="110"/>
      <c r="L50" s="110"/>
      <c r="M50" s="110"/>
      <c r="N50" s="110"/>
    </row>
    <row r="51">
      <c r="C51" s="142"/>
      <c r="D51" s="129">
        <f t="shared" si="2"/>
        <v>0</v>
      </c>
      <c r="E51" s="130" t="str">
        <f>if(C51="Detectar Segredo", SUMIF(C51,Habilidades!$A$11,D51) * SUMIF(C51,Habilidades!$A$11,Habilidades!$B$11), if(C51="Encontrar mágica", SUMIF(C51,Habilidades!$A$12,D51) * SUMIF(C51,Habilidades!$A$12,Habilidades!$B$12), if(C51="Cuidadoso 1", SUMIF(C51,Habilidades!$A$22,D51) * SUMIF(C51,Habilidades!$A$22,Habilidades!$B$22), if(C51="Cuidadoso 2", SUMIF(C51,Habilidades!$A$23,D65) * SUMIF(C51,Habilidades!$A$23,Habilidades!$B$23), if(C51="Cuidadoso 3", SUMIF(C51,Habilidades!$A$24,D51) * SUMIF(C51,Habilidades!$A$24,Habilidades!$B$24), if(C51="Ganancioso 1", SUMIF(C51,Habilidades!$A$25,D51) * SUMIF(C51,Habilidades!$A$25,Habilidades!$B$25), if(C51="Ganancioso 2", SUMIF(C51,Habilidades!$A$26,D51) * SUMIF(C51,Habilidades!$A$26,Habilidades!$B$26), if(C51="Ganancioso 3", SUMIF(C51,Habilidades!$A$27,D51) * SUMIF(C51,Habilidades!$A$27,Habilidades!$B$27), if(C51="Curandeiro 1", SUMIF(C51,Habilidades!$A$28,D51) * SUMIF(C51,Habilidades!$A$28,Habilidades!$B$28), if(C51="Curandeiro 2", SUMIF(C51,Habilidades!$A$29,D51) * SUMIF(C51,Habilidades!$A$29,Habilidades!$B$29), if(C51="Curandeiro 3", SUMIF(C51,Habilidades!$A$30,D51) * SUMIF(C51,Habilidades!$A$30,Habilidades!$B$30), if(C51="Sortudo 1", SUMIF(C51,Habilidades!$A$31,D51) * SUMIF(C51,Habilidades!$A$31,Habilidades!$B$31), if(C51="Sortudo 2", SUMIF(C51,Habilidades!$A$32,D51) * SUMIF(C51,Habilidades!$A$32,Habilidades!$B$32), if(C51="Sortudo 3", SUMIF(C51,Habilidades!$A$33,D51) * SUMIF(C51,Habilidades!$A$33,Habilidades!$B$33), if(C51="Protetor 1", SUMIF(C51,Habilidades!$A$34,D51) * SUMIF(C51,Habilidades!$A$34,Habilidades!$B$34), if(C51="Protetor 2", SUMIF(C51,Habilidades!$A$35,D51) * SUMIF(C51,Habilidades!$A$35,Habilidades!$B$35), if(C51="Protetor 3", SUMIF(C51,Habilidades!$A$36,D51) * SUMIF(C51,Habilidades!$A$36,Habilidades!$B$36), if(C51="Engenhoso 1", SUMIF(C51,Habilidades!$A$40,D51) * SUMIF(C51,Habilidades!$A$40,Habilidades!$B$40), if(C51="Engenhoso 2", SUMIF(C51,Habilidades!$A$41,D51) * SUMIF(C51,Habilidades!$A$41,Habilidades!$B$41), if(C51="Engenhoso 3", SUMIF(C51,Habilidades!$A$42,D51) * SUMIF(C51,Habilidades!$A$42,Habilidades!$B$42), if(C51="Reviver 1", SUMIF(C51,Habilidades!$A$43,D51) * SUMIF(C51,Habilidades!$A$43,Habilidades!$B$43), if(C51="Reviver 2", SUMIF(C51,Habilidades!$A$44,D51) * SUMIF(C51,Habilidades!$A$44,Habilidades!$B$44), if(C51="Reviver 3", SUMIF(C51,Habilidades!$A$45,D51) * SUMIF(C51,Habilidades!$A$45,Habilidades!$B$45), if(C51="Catador 1", SUMIF(C51,Habilidades!$A$46,D51) * SUMIF(C51,Habilidades!$A$46,Habilidades!$B$46), if(C51="Catador 2", SUMIF(C51,Habilidades!$A$47,D51) * SUMIF(C51,Habilidades!$A$47,Habilidades!$B$47), if(C51="Catador 3", SUMIF(C51,Habilidades!$A$48,D51) * SUMIF(C51,Habilidades!$A$48,Habilidades!$B$48), if(C51="Fornecedor 1", SUMIF(C51,Habilidades!$A$49,D51) * SUMIF(C51,Habilidades!$A$49,Habilidades!$B$49), if(C51="Fornecedor 2", SUMIF(C51,Habilidades!$A$50,D51) * SUMIF(C51,Habilidades!$A$50,Habilidades!$B$50), if(C51="Fornecedor 3", SUMIF(C51,Habilidades!$A$51,D51) * SUMIF(C51,Habilidades!$A$51,Habilidades!$B$51), if(C51="Suporte 1", SUMIF(C51,Habilidades!$A$52,D51) * SUMIF(C51,Habilidades!$A$52,Habilidades!$B$52), if(C51="Suporte 2", SUMIF(C51,Habilidades!$A$53,D51) * SUMIF(C51,Habilidades!$A$53,Habilidades!$B$53), if(C51="Suporte 3", SUMIF(C51,Habilidades!$A$54,D51) * SUMIF(C51,Habilidades!$A$54,Habilidades!$B$54), if(C51="Caça-tesouros 1", SUMIF(C51,Habilidades!$A$55,D51) * SUMIF(C51,Habilidades!$A$55,Habilidades!$B$55), if(C51="Caça-tesouros 2", SUMIF(C51,Habilidades!$A$56,D51) * SUMIF(C51,Habilidades!$A$56,Habilidades!$B$56), if(C51="Caça-tesouros 3", SUMIF(C51,Habilidades!$A$57,D51) * SUMIF(C51,Habilidades!$A$57,Habilidades!$B$57), if(C51="Velocista 1", SUMIF(C51,Habilidades!$A$77,D51) * SUMIF(C51,Habilidades!$A$77,Habilidades!$B$77), if(C51="Velocista 2", SUMIF(C51,Habilidades!$A$78,D51) * SUMIF(C51,Habilidades!$A$78,Habilidades!$B$78), if(C51="Velocista 3", SUMIF(C51,Habilidades!$A$79,D51) * SUMIF(C51,Habilidades!$A$79,Habilidades!$B$79), "-"))))))))))))))))))))))))))))))))))))))</f>
        <v>-</v>
      </c>
      <c r="F51" s="110"/>
      <c r="G51" s="110"/>
      <c r="H51" s="110"/>
      <c r="I51" s="110"/>
      <c r="J51" s="110"/>
      <c r="K51" s="110"/>
      <c r="L51" s="110"/>
      <c r="M51" s="110"/>
      <c r="N51" s="110"/>
    </row>
    <row r="52">
      <c r="C52" s="142"/>
      <c r="D52" s="129">
        <f t="shared" si="2"/>
        <v>0</v>
      </c>
      <c r="E52" s="130" t="str">
        <f>if(C52="Detectar Segredo", SUMIF(C52,Habilidades!$A$11,D52) * SUMIF(C52,Habilidades!$A$11,Habilidades!$B$11), if(C52="Encontrar mágica", SUMIF(C52,Habilidades!$A$12,D52) * SUMIF(C52,Habilidades!$A$12,Habilidades!$B$12), if(C52="Cuidadoso 1", SUMIF(C52,Habilidades!$A$22,D52) * SUMIF(C52,Habilidades!$A$22,Habilidades!$B$22), if(C52="Cuidadoso 2", SUMIF(C52,Habilidades!$A$23,D66) * SUMIF(C52,Habilidades!$A$23,Habilidades!$B$23), if(C52="Cuidadoso 3", SUMIF(C52,Habilidades!$A$24,D52) * SUMIF(C52,Habilidades!$A$24,Habilidades!$B$24), if(C52="Ganancioso 1", SUMIF(C52,Habilidades!$A$25,D52) * SUMIF(C52,Habilidades!$A$25,Habilidades!$B$25), if(C52="Ganancioso 2", SUMIF(C52,Habilidades!$A$26,D52) * SUMIF(C52,Habilidades!$A$26,Habilidades!$B$26), if(C52="Ganancioso 3", SUMIF(C52,Habilidades!$A$27,D52) * SUMIF(C52,Habilidades!$A$27,Habilidades!$B$27), if(C52="Curandeiro 1", SUMIF(C52,Habilidades!$A$28,D52) * SUMIF(C52,Habilidades!$A$28,Habilidades!$B$28), if(C52="Curandeiro 2", SUMIF(C52,Habilidades!$A$29,D52) * SUMIF(C52,Habilidades!$A$29,Habilidades!$B$29), if(C52="Curandeiro 3", SUMIF(C52,Habilidades!$A$30,D52) * SUMIF(C52,Habilidades!$A$30,Habilidades!$B$30), if(C52="Sortudo 1", SUMIF(C52,Habilidades!$A$31,D52) * SUMIF(C52,Habilidades!$A$31,Habilidades!$B$31), if(C52="Sortudo 2", SUMIF(C52,Habilidades!$A$32,D52) * SUMIF(C52,Habilidades!$A$32,Habilidades!$B$32), if(C52="Sortudo 3", SUMIF(C52,Habilidades!$A$33,D52) * SUMIF(C52,Habilidades!$A$33,Habilidades!$B$33), if(C52="Protetor 1", SUMIF(C52,Habilidades!$A$34,D52) * SUMIF(C52,Habilidades!$A$34,Habilidades!$B$34), if(C52="Protetor 2", SUMIF(C52,Habilidades!$A$35,D52) * SUMIF(C52,Habilidades!$A$35,Habilidades!$B$35), if(C52="Protetor 3", SUMIF(C52,Habilidades!$A$36,D52) * SUMIF(C52,Habilidades!$A$36,Habilidades!$B$36), if(C52="Engenhoso 1", SUMIF(C52,Habilidades!$A$40,D52) * SUMIF(C52,Habilidades!$A$40,Habilidades!$B$40), if(C52="Engenhoso 2", SUMIF(C52,Habilidades!$A$41,D52) * SUMIF(C52,Habilidades!$A$41,Habilidades!$B$41), if(C52="Engenhoso 3", SUMIF(C52,Habilidades!$A$42,D52) * SUMIF(C52,Habilidades!$A$42,Habilidades!$B$42), if(C52="Reviver 1", SUMIF(C52,Habilidades!$A$43,D52) * SUMIF(C52,Habilidades!$A$43,Habilidades!$B$43), if(C52="Reviver 2", SUMIF(C52,Habilidades!$A$44,D52) * SUMIF(C52,Habilidades!$A$44,Habilidades!$B$44), if(C52="Reviver 3", SUMIF(C52,Habilidades!$A$45,D52) * SUMIF(C52,Habilidades!$A$45,Habilidades!$B$45), if(C52="Catador 1", SUMIF(C52,Habilidades!$A$46,D52) * SUMIF(C52,Habilidades!$A$46,Habilidades!$B$46), if(C52="Catador 2", SUMIF(C52,Habilidades!$A$47,D52) * SUMIF(C52,Habilidades!$A$47,Habilidades!$B$47), if(C52="Catador 3", SUMIF(C52,Habilidades!$A$48,D52) * SUMIF(C52,Habilidades!$A$48,Habilidades!$B$48), if(C52="Fornecedor 1", SUMIF(C52,Habilidades!$A$49,D52) * SUMIF(C52,Habilidades!$A$49,Habilidades!$B$49), if(C52="Fornecedor 2", SUMIF(C52,Habilidades!$A$50,D52) * SUMIF(C52,Habilidades!$A$50,Habilidades!$B$50), if(C52="Fornecedor 3", SUMIF(C52,Habilidades!$A$51,D52) * SUMIF(C52,Habilidades!$A$51,Habilidades!$B$51), if(C52="Suporte 1", SUMIF(C52,Habilidades!$A$52,D52) * SUMIF(C52,Habilidades!$A$52,Habilidades!$B$52), if(C52="Suporte 2", SUMIF(C52,Habilidades!$A$53,D52) * SUMIF(C52,Habilidades!$A$53,Habilidades!$B$53), if(C52="Suporte 3", SUMIF(C52,Habilidades!$A$54,D52) * SUMIF(C52,Habilidades!$A$54,Habilidades!$B$54), if(C52="Caça-tesouros 1", SUMIF(C52,Habilidades!$A$55,D52) * SUMIF(C52,Habilidades!$A$55,Habilidades!$B$55), if(C52="Caça-tesouros 2", SUMIF(C52,Habilidades!$A$56,D52) * SUMIF(C52,Habilidades!$A$56,Habilidades!$B$56), if(C52="Caça-tesouros 3", SUMIF(C52,Habilidades!$A$57,D52) * SUMIF(C52,Habilidades!$A$57,Habilidades!$B$57), if(C52="Velocista 1", SUMIF(C52,Habilidades!$A$77,D52) * SUMIF(C52,Habilidades!$A$77,Habilidades!$B$77), if(C52="Velocista 2", SUMIF(C52,Habilidades!$A$78,D52) * SUMIF(C52,Habilidades!$A$78,Habilidades!$B$78), if(C52="Velocista 3", SUMIF(C52,Habilidades!$A$79,D52) * SUMIF(C52,Habilidades!$A$79,Habilidades!$B$79), "-"))))))))))))))))))))))))))))))))))))))</f>
        <v>-</v>
      </c>
      <c r="F52" s="110"/>
      <c r="G52" s="110"/>
      <c r="H52" s="110"/>
      <c r="I52" s="110"/>
      <c r="J52" s="110"/>
      <c r="K52" s="110"/>
      <c r="L52" s="110"/>
      <c r="M52" s="110"/>
      <c r="N52" s="110"/>
    </row>
    <row r="53">
      <c r="C53" s="142"/>
      <c r="D53" s="129">
        <f t="shared" si="2"/>
        <v>0</v>
      </c>
      <c r="E53" s="130" t="str">
        <f>if(C53="Detectar Segredo", SUMIF(C53,Habilidades!$A$11,D53) * SUMIF(C53,Habilidades!$A$11,Habilidades!$B$11), if(C53="Encontrar mágica", SUMIF(C53,Habilidades!$A$12,D53) * SUMIF(C53,Habilidades!$A$12,Habilidades!$B$12), if(C53="Cuidadoso 1", SUMIF(C53,Habilidades!$A$22,D53) * SUMIF(C53,Habilidades!$A$22,Habilidades!$B$22), if(C53="Cuidadoso 2", SUMIF(C53,Habilidades!$A$23,D67) * SUMIF(C53,Habilidades!$A$23,Habilidades!$B$23), if(C53="Cuidadoso 3", SUMIF(C53,Habilidades!$A$24,D53) * SUMIF(C53,Habilidades!$A$24,Habilidades!$B$24), if(C53="Ganancioso 1", SUMIF(C53,Habilidades!$A$25,D53) * SUMIF(C53,Habilidades!$A$25,Habilidades!$B$25), if(C53="Ganancioso 2", SUMIF(C53,Habilidades!$A$26,D53) * SUMIF(C53,Habilidades!$A$26,Habilidades!$B$26), if(C53="Ganancioso 3", SUMIF(C53,Habilidades!$A$27,D53) * SUMIF(C53,Habilidades!$A$27,Habilidades!$B$27), if(C53="Curandeiro 1", SUMIF(C53,Habilidades!$A$28,D53) * SUMIF(C53,Habilidades!$A$28,Habilidades!$B$28), if(C53="Curandeiro 2", SUMIF(C53,Habilidades!$A$29,D53) * SUMIF(C53,Habilidades!$A$29,Habilidades!$B$29), if(C53="Curandeiro 3", SUMIF(C53,Habilidades!$A$30,D53) * SUMIF(C53,Habilidades!$A$30,Habilidades!$B$30), if(C53="Sortudo 1", SUMIF(C53,Habilidades!$A$31,D53) * SUMIF(C53,Habilidades!$A$31,Habilidades!$B$31), if(C53="Sortudo 2", SUMIF(C53,Habilidades!$A$32,D53) * SUMIF(C53,Habilidades!$A$32,Habilidades!$B$32), if(C53="Sortudo 3", SUMIF(C53,Habilidades!$A$33,D53) * SUMIF(C53,Habilidades!$A$33,Habilidades!$B$33), if(C53="Protetor 1", SUMIF(C53,Habilidades!$A$34,D53) * SUMIF(C53,Habilidades!$A$34,Habilidades!$B$34), if(C53="Protetor 2", SUMIF(C53,Habilidades!$A$35,D53) * SUMIF(C53,Habilidades!$A$35,Habilidades!$B$35), if(C53="Protetor 3", SUMIF(C53,Habilidades!$A$36,D53) * SUMIF(C53,Habilidades!$A$36,Habilidades!$B$36), if(C53="Engenhoso 1", SUMIF(C53,Habilidades!$A$40,D53) * SUMIF(C53,Habilidades!$A$40,Habilidades!$B$40), if(C53="Engenhoso 2", SUMIF(C53,Habilidades!$A$41,D53) * SUMIF(C53,Habilidades!$A$41,Habilidades!$B$41), if(C53="Engenhoso 3", SUMIF(C53,Habilidades!$A$42,D53) * SUMIF(C53,Habilidades!$A$42,Habilidades!$B$42), if(C53="Reviver 1", SUMIF(C53,Habilidades!$A$43,D53) * SUMIF(C53,Habilidades!$A$43,Habilidades!$B$43), if(C53="Reviver 2", SUMIF(C53,Habilidades!$A$44,D53) * SUMIF(C53,Habilidades!$A$44,Habilidades!$B$44), if(C53="Reviver 3", SUMIF(C53,Habilidades!$A$45,D53) * SUMIF(C53,Habilidades!$A$45,Habilidades!$B$45), if(C53="Catador 1", SUMIF(C53,Habilidades!$A$46,D53) * SUMIF(C53,Habilidades!$A$46,Habilidades!$B$46), if(C53="Catador 2", SUMIF(C53,Habilidades!$A$47,D53) * SUMIF(C53,Habilidades!$A$47,Habilidades!$B$47), if(C53="Catador 3", SUMIF(C53,Habilidades!$A$48,D53) * SUMIF(C53,Habilidades!$A$48,Habilidades!$B$48), if(C53="Fornecedor 1", SUMIF(C53,Habilidades!$A$49,D53) * SUMIF(C53,Habilidades!$A$49,Habilidades!$B$49), if(C53="Fornecedor 2", SUMIF(C53,Habilidades!$A$50,D53) * SUMIF(C53,Habilidades!$A$50,Habilidades!$B$50), if(C53="Fornecedor 3", SUMIF(C53,Habilidades!$A$51,D53) * SUMIF(C53,Habilidades!$A$51,Habilidades!$B$51), if(C53="Suporte 1", SUMIF(C53,Habilidades!$A$52,D53) * SUMIF(C53,Habilidades!$A$52,Habilidades!$B$52), if(C53="Suporte 2", SUMIF(C53,Habilidades!$A$53,D53) * SUMIF(C53,Habilidades!$A$53,Habilidades!$B$53), if(C53="Suporte 3", SUMIF(C53,Habilidades!$A$54,D53) * SUMIF(C53,Habilidades!$A$54,Habilidades!$B$54), if(C53="Caça-tesouros 1", SUMIF(C53,Habilidades!$A$55,D53) * SUMIF(C53,Habilidades!$A$55,Habilidades!$B$55), if(C53="Caça-tesouros 2", SUMIF(C53,Habilidades!$A$56,D53) * SUMIF(C53,Habilidades!$A$56,Habilidades!$B$56), if(C53="Caça-tesouros 3", SUMIF(C53,Habilidades!$A$57,D53) * SUMIF(C53,Habilidades!$A$57,Habilidades!$B$57), if(C53="Velocista 1", SUMIF(C53,Habilidades!$A$77,D53) * SUMIF(C53,Habilidades!$A$77,Habilidades!$B$77), if(C53="Velocista 2", SUMIF(C53,Habilidades!$A$78,D53) * SUMIF(C53,Habilidades!$A$78,Habilidades!$B$78), if(C53="Velocista 3", SUMIF(C53,Habilidades!$A$79,D53) * SUMIF(C53,Habilidades!$A$79,Habilidades!$B$79), "-"))))))))))))))))))))))))))))))))))))))</f>
        <v>-</v>
      </c>
      <c r="F53" s="110"/>
      <c r="G53" s="110"/>
      <c r="H53" s="110"/>
      <c r="I53" s="110"/>
      <c r="J53" s="110"/>
      <c r="K53" s="110"/>
      <c r="L53" s="110"/>
      <c r="M53" s="110"/>
      <c r="N53" s="110"/>
    </row>
    <row r="54">
      <c r="C54" s="142"/>
      <c r="D54" s="129">
        <f t="shared" si="2"/>
        <v>0</v>
      </c>
      <c r="E54" s="130" t="str">
        <f>if(C54="Detectar Segredo", SUMIF(C54,Habilidades!$A$11,D54) * SUMIF(C54,Habilidades!$A$11,Habilidades!$B$11), if(C54="Encontrar mágica", SUMIF(C54,Habilidades!$A$12,D54) * SUMIF(C54,Habilidades!$A$12,Habilidades!$B$12), if(C54="Cuidadoso 1", SUMIF(C54,Habilidades!$A$22,D54) * SUMIF(C54,Habilidades!$A$22,Habilidades!$B$22), if(C54="Cuidadoso 2", SUMIF(C54,Habilidades!$A$23,D68) * SUMIF(C54,Habilidades!$A$23,Habilidades!$B$23), if(C54="Cuidadoso 3", SUMIF(C54,Habilidades!$A$24,D54) * SUMIF(C54,Habilidades!$A$24,Habilidades!$B$24), if(C54="Ganancioso 1", SUMIF(C54,Habilidades!$A$25,D54) * SUMIF(C54,Habilidades!$A$25,Habilidades!$B$25), if(C54="Ganancioso 2", SUMIF(C54,Habilidades!$A$26,D54) * SUMIF(C54,Habilidades!$A$26,Habilidades!$B$26), if(C54="Ganancioso 3", SUMIF(C54,Habilidades!$A$27,D54) * SUMIF(C54,Habilidades!$A$27,Habilidades!$B$27), if(C54="Curandeiro 1", SUMIF(C54,Habilidades!$A$28,D54) * SUMIF(C54,Habilidades!$A$28,Habilidades!$B$28), if(C54="Curandeiro 2", SUMIF(C54,Habilidades!$A$29,D54) * SUMIF(C54,Habilidades!$A$29,Habilidades!$B$29), if(C54="Curandeiro 3", SUMIF(C54,Habilidades!$A$30,D54) * SUMIF(C54,Habilidades!$A$30,Habilidades!$B$30), if(C54="Sortudo 1", SUMIF(C54,Habilidades!$A$31,D54) * SUMIF(C54,Habilidades!$A$31,Habilidades!$B$31), if(C54="Sortudo 2", SUMIF(C54,Habilidades!$A$32,D54) * SUMIF(C54,Habilidades!$A$32,Habilidades!$B$32), if(C54="Sortudo 3", SUMIF(C54,Habilidades!$A$33,D54) * SUMIF(C54,Habilidades!$A$33,Habilidades!$B$33), if(C54="Protetor 1", SUMIF(C54,Habilidades!$A$34,D54) * SUMIF(C54,Habilidades!$A$34,Habilidades!$B$34), if(C54="Protetor 2", SUMIF(C54,Habilidades!$A$35,D54) * SUMIF(C54,Habilidades!$A$35,Habilidades!$B$35), if(C54="Protetor 3", SUMIF(C54,Habilidades!$A$36,D54) * SUMIF(C54,Habilidades!$A$36,Habilidades!$B$36), if(C54="Engenhoso 1", SUMIF(C54,Habilidades!$A$40,D54) * SUMIF(C54,Habilidades!$A$40,Habilidades!$B$40), if(C54="Engenhoso 2", SUMIF(C54,Habilidades!$A$41,D54) * SUMIF(C54,Habilidades!$A$41,Habilidades!$B$41), if(C54="Engenhoso 3", SUMIF(C54,Habilidades!$A$42,D54) * SUMIF(C54,Habilidades!$A$42,Habilidades!$B$42), if(C54="Reviver 1", SUMIF(C54,Habilidades!$A$43,D54) * SUMIF(C54,Habilidades!$A$43,Habilidades!$B$43), if(C54="Reviver 2", SUMIF(C54,Habilidades!$A$44,D54) * SUMIF(C54,Habilidades!$A$44,Habilidades!$B$44), if(C54="Reviver 3", SUMIF(C54,Habilidades!$A$45,D54) * SUMIF(C54,Habilidades!$A$45,Habilidades!$B$45), if(C54="Catador 1", SUMIF(C54,Habilidades!$A$46,D54) * SUMIF(C54,Habilidades!$A$46,Habilidades!$B$46), if(C54="Catador 2", SUMIF(C54,Habilidades!$A$47,D54) * SUMIF(C54,Habilidades!$A$47,Habilidades!$B$47), if(C54="Catador 3", SUMIF(C54,Habilidades!$A$48,D54) * SUMIF(C54,Habilidades!$A$48,Habilidades!$B$48), if(C54="Fornecedor 1", SUMIF(C54,Habilidades!$A$49,D54) * SUMIF(C54,Habilidades!$A$49,Habilidades!$B$49), if(C54="Fornecedor 2", SUMIF(C54,Habilidades!$A$50,D54) * SUMIF(C54,Habilidades!$A$50,Habilidades!$B$50), if(C54="Fornecedor 3", SUMIF(C54,Habilidades!$A$51,D54) * SUMIF(C54,Habilidades!$A$51,Habilidades!$B$51), if(C54="Suporte 1", SUMIF(C54,Habilidades!$A$52,D54) * SUMIF(C54,Habilidades!$A$52,Habilidades!$B$52), if(C54="Suporte 2", SUMIF(C54,Habilidades!$A$53,D54) * SUMIF(C54,Habilidades!$A$53,Habilidades!$B$53), if(C54="Suporte 3", SUMIF(C54,Habilidades!$A$54,D54) * SUMIF(C54,Habilidades!$A$54,Habilidades!$B$54), if(C54="Caça-tesouros 1", SUMIF(C54,Habilidades!$A$55,D54) * SUMIF(C54,Habilidades!$A$55,Habilidades!$B$55), if(C54="Caça-tesouros 2", SUMIF(C54,Habilidades!$A$56,D54) * SUMIF(C54,Habilidades!$A$56,Habilidades!$B$56), if(C54="Caça-tesouros 3", SUMIF(C54,Habilidades!$A$57,D54) * SUMIF(C54,Habilidades!$A$57,Habilidades!$B$57), if(C54="Velocista 1", SUMIF(C54,Habilidades!$A$77,D54) * SUMIF(C54,Habilidades!$A$77,Habilidades!$B$77), if(C54="Velocista 2", SUMIF(C54,Habilidades!$A$78,D54) * SUMIF(C54,Habilidades!$A$78,Habilidades!$B$78), if(C54="Velocista 3", SUMIF(C54,Habilidades!$A$79,D54) * SUMIF(C54,Habilidades!$A$79,Habilidades!$B$79), "-"))))))))))))))))))))))))))))))))))))))</f>
        <v>-</v>
      </c>
      <c r="F54" s="110"/>
      <c r="G54" s="110"/>
      <c r="H54" s="110"/>
      <c r="I54" s="110"/>
      <c r="J54" s="110"/>
      <c r="K54" s="110"/>
      <c r="L54" s="110"/>
      <c r="M54" s="110"/>
      <c r="N54" s="110"/>
    </row>
    <row r="55">
      <c r="C55" s="142"/>
      <c r="D55" s="129">
        <f t="shared" si="2"/>
        <v>0</v>
      </c>
      <c r="E55" s="130" t="str">
        <f>if(C55="Detectar Segredo", SUMIF(C55,Habilidades!$A$11,D55) * SUMIF(C55,Habilidades!$A$11,Habilidades!$B$11), if(C55="Encontrar mágica", SUMIF(C55,Habilidades!$A$12,D55) * SUMIF(C55,Habilidades!$A$12,Habilidades!$B$12), if(C55="Cuidadoso 1", SUMIF(C55,Habilidades!$A$22,D55) * SUMIF(C55,Habilidades!$A$22,Habilidades!$B$22), if(C55="Cuidadoso 2", SUMIF(C55,Habilidades!$A$23,D69) * SUMIF(C55,Habilidades!$A$23,Habilidades!$B$23), if(C55="Cuidadoso 3", SUMIF(C55,Habilidades!$A$24,D55) * SUMIF(C55,Habilidades!$A$24,Habilidades!$B$24), if(C55="Ganancioso 1", SUMIF(C55,Habilidades!$A$25,D55) * SUMIF(C55,Habilidades!$A$25,Habilidades!$B$25), if(C55="Ganancioso 2", SUMIF(C55,Habilidades!$A$26,D55) * SUMIF(C55,Habilidades!$A$26,Habilidades!$B$26), if(C55="Ganancioso 3", SUMIF(C55,Habilidades!$A$27,D55) * SUMIF(C55,Habilidades!$A$27,Habilidades!$B$27), if(C55="Curandeiro 1", SUMIF(C55,Habilidades!$A$28,D55) * SUMIF(C55,Habilidades!$A$28,Habilidades!$B$28), if(C55="Curandeiro 2", SUMIF(C55,Habilidades!$A$29,D55) * SUMIF(C55,Habilidades!$A$29,Habilidades!$B$29), if(C55="Curandeiro 3", SUMIF(C55,Habilidades!$A$30,D55) * SUMIF(C55,Habilidades!$A$30,Habilidades!$B$30), if(C55="Sortudo 1", SUMIF(C55,Habilidades!$A$31,D55) * SUMIF(C55,Habilidades!$A$31,Habilidades!$B$31), if(C55="Sortudo 2", SUMIF(C55,Habilidades!$A$32,D55) * SUMIF(C55,Habilidades!$A$32,Habilidades!$B$32), if(C55="Sortudo 3", SUMIF(C55,Habilidades!$A$33,D55) * SUMIF(C55,Habilidades!$A$33,Habilidades!$B$33), if(C55="Protetor 1", SUMIF(C55,Habilidades!$A$34,D55) * SUMIF(C55,Habilidades!$A$34,Habilidades!$B$34), if(C55="Protetor 2", SUMIF(C55,Habilidades!$A$35,D55) * SUMIF(C55,Habilidades!$A$35,Habilidades!$B$35), if(C55="Protetor 3", SUMIF(C55,Habilidades!$A$36,D55) * SUMIF(C55,Habilidades!$A$36,Habilidades!$B$36), if(C55="Engenhoso 1", SUMIF(C55,Habilidades!$A$40,D55) * SUMIF(C55,Habilidades!$A$40,Habilidades!$B$40), if(C55="Engenhoso 2", SUMIF(C55,Habilidades!$A$41,D55) * SUMIF(C55,Habilidades!$A$41,Habilidades!$B$41), if(C55="Engenhoso 3", SUMIF(C55,Habilidades!$A$42,D55) * SUMIF(C55,Habilidades!$A$42,Habilidades!$B$42), if(C55="Reviver 1", SUMIF(C55,Habilidades!$A$43,D55) * SUMIF(C55,Habilidades!$A$43,Habilidades!$B$43), if(C55="Reviver 2", SUMIF(C55,Habilidades!$A$44,D55) * SUMIF(C55,Habilidades!$A$44,Habilidades!$B$44), if(C55="Reviver 3", SUMIF(C55,Habilidades!$A$45,D55) * SUMIF(C55,Habilidades!$A$45,Habilidades!$B$45), if(C55="Catador 1", SUMIF(C55,Habilidades!$A$46,D55) * SUMIF(C55,Habilidades!$A$46,Habilidades!$B$46), if(C55="Catador 2", SUMIF(C55,Habilidades!$A$47,D55) * SUMIF(C55,Habilidades!$A$47,Habilidades!$B$47), if(C55="Catador 3", SUMIF(C55,Habilidades!$A$48,D55) * SUMIF(C55,Habilidades!$A$48,Habilidades!$B$48), if(C55="Fornecedor 1", SUMIF(C55,Habilidades!$A$49,D55) * SUMIF(C55,Habilidades!$A$49,Habilidades!$B$49), if(C55="Fornecedor 2", SUMIF(C55,Habilidades!$A$50,D55) * SUMIF(C55,Habilidades!$A$50,Habilidades!$B$50), if(C55="Fornecedor 3", SUMIF(C55,Habilidades!$A$51,D55) * SUMIF(C55,Habilidades!$A$51,Habilidades!$B$51), if(C55="Suporte 1", SUMIF(C55,Habilidades!$A$52,D55) * SUMIF(C55,Habilidades!$A$52,Habilidades!$B$52), if(C55="Suporte 2", SUMIF(C55,Habilidades!$A$53,D55) * SUMIF(C55,Habilidades!$A$53,Habilidades!$B$53), if(C55="Suporte 3", SUMIF(C55,Habilidades!$A$54,D55) * SUMIF(C55,Habilidades!$A$54,Habilidades!$B$54), if(C55="Caça-tesouros 1", SUMIF(C55,Habilidades!$A$55,D55) * SUMIF(C55,Habilidades!$A$55,Habilidades!$B$55), if(C55="Caça-tesouros 2", SUMIF(C55,Habilidades!$A$56,D55) * SUMIF(C55,Habilidades!$A$56,Habilidades!$B$56), if(C55="Caça-tesouros 3", SUMIF(C55,Habilidades!$A$57,D55) * SUMIF(C55,Habilidades!$A$57,Habilidades!$B$57), if(C55="Velocista 1", SUMIF(C55,Habilidades!$A$77,D55) * SUMIF(C55,Habilidades!$A$77,Habilidades!$B$77), if(C55="Velocista 2", SUMIF(C55,Habilidades!$A$78,D55) * SUMIF(C55,Habilidades!$A$78,Habilidades!$B$78), if(C55="Velocista 3", SUMIF(C55,Habilidades!$A$79,D55) * SUMIF(C55,Habilidades!$A$79,Habilidades!$B$79), "-"))))))))))))))))))))))))))))))))))))))</f>
        <v>-</v>
      </c>
      <c r="F55" s="110"/>
      <c r="G55" s="110"/>
      <c r="H55" s="110"/>
      <c r="I55" s="110"/>
      <c r="J55" s="110"/>
      <c r="K55" s="110"/>
      <c r="L55" s="110"/>
      <c r="M55" s="110"/>
      <c r="N55" s="110"/>
    </row>
    <row r="56">
      <c r="C56" s="142"/>
      <c r="D56" s="129">
        <f t="shared" si="2"/>
        <v>0</v>
      </c>
      <c r="E56" s="130" t="str">
        <f>if(C56="Detectar Segredo", SUMIF(C56,Habilidades!$A$11,D56) * SUMIF(C56,Habilidades!$A$11,Habilidades!$B$11), if(C56="Encontrar mágica", SUMIF(C56,Habilidades!$A$12,D56) * SUMIF(C56,Habilidades!$A$12,Habilidades!$B$12), if(C56="Cuidadoso 1", SUMIF(C56,Habilidades!$A$22,D56) * SUMIF(C56,Habilidades!$A$22,Habilidades!$B$22), if(C56="Cuidadoso 2", SUMIF(C56,Habilidades!$A$23,D70) * SUMIF(C56,Habilidades!$A$23,Habilidades!$B$23), if(C56="Cuidadoso 3", SUMIF(C56,Habilidades!$A$24,D56) * SUMIF(C56,Habilidades!$A$24,Habilidades!$B$24), if(C56="Ganancioso 1", SUMIF(C56,Habilidades!$A$25,D56) * SUMIF(C56,Habilidades!$A$25,Habilidades!$B$25), if(C56="Ganancioso 2", SUMIF(C56,Habilidades!$A$26,D56) * SUMIF(C56,Habilidades!$A$26,Habilidades!$B$26), if(C56="Ganancioso 3", SUMIF(C56,Habilidades!$A$27,D56) * SUMIF(C56,Habilidades!$A$27,Habilidades!$B$27), if(C56="Curandeiro 1", SUMIF(C56,Habilidades!$A$28,D56) * SUMIF(C56,Habilidades!$A$28,Habilidades!$B$28), if(C56="Curandeiro 2", SUMIF(C56,Habilidades!$A$29,D56) * SUMIF(C56,Habilidades!$A$29,Habilidades!$B$29), if(C56="Curandeiro 3", SUMIF(C56,Habilidades!$A$30,D56) * SUMIF(C56,Habilidades!$A$30,Habilidades!$B$30), if(C56="Sortudo 1", SUMIF(C56,Habilidades!$A$31,D56) * SUMIF(C56,Habilidades!$A$31,Habilidades!$B$31), if(C56="Sortudo 2", SUMIF(C56,Habilidades!$A$32,D56) * SUMIF(C56,Habilidades!$A$32,Habilidades!$B$32), if(C56="Sortudo 3", SUMIF(C56,Habilidades!$A$33,D56) * SUMIF(C56,Habilidades!$A$33,Habilidades!$B$33), if(C56="Protetor 1", SUMIF(C56,Habilidades!$A$34,D56) * SUMIF(C56,Habilidades!$A$34,Habilidades!$B$34), if(C56="Protetor 2", SUMIF(C56,Habilidades!$A$35,D56) * SUMIF(C56,Habilidades!$A$35,Habilidades!$B$35), if(C56="Protetor 3", SUMIF(C56,Habilidades!$A$36,D56) * SUMIF(C56,Habilidades!$A$36,Habilidades!$B$36), if(C56="Engenhoso 1", SUMIF(C56,Habilidades!$A$40,D56) * SUMIF(C56,Habilidades!$A$40,Habilidades!$B$40), if(C56="Engenhoso 2", SUMIF(C56,Habilidades!$A$41,D56) * SUMIF(C56,Habilidades!$A$41,Habilidades!$B$41), if(C56="Engenhoso 3", SUMIF(C56,Habilidades!$A$42,D56) * SUMIF(C56,Habilidades!$A$42,Habilidades!$B$42), if(C56="Reviver 1", SUMIF(C56,Habilidades!$A$43,D56) * SUMIF(C56,Habilidades!$A$43,Habilidades!$B$43), if(C56="Reviver 2", SUMIF(C56,Habilidades!$A$44,D56) * SUMIF(C56,Habilidades!$A$44,Habilidades!$B$44), if(C56="Reviver 3", SUMIF(C56,Habilidades!$A$45,D56) * SUMIF(C56,Habilidades!$A$45,Habilidades!$B$45), if(C56="Catador 1", SUMIF(C56,Habilidades!$A$46,D56) * SUMIF(C56,Habilidades!$A$46,Habilidades!$B$46), if(C56="Catador 2", SUMIF(C56,Habilidades!$A$47,D56) * SUMIF(C56,Habilidades!$A$47,Habilidades!$B$47), if(C56="Catador 3", SUMIF(C56,Habilidades!$A$48,D56) * SUMIF(C56,Habilidades!$A$48,Habilidades!$B$48), if(C56="Fornecedor 1", SUMIF(C56,Habilidades!$A$49,D56) * SUMIF(C56,Habilidades!$A$49,Habilidades!$B$49), if(C56="Fornecedor 2", SUMIF(C56,Habilidades!$A$50,D56) * SUMIF(C56,Habilidades!$A$50,Habilidades!$B$50), if(C56="Fornecedor 3", SUMIF(C56,Habilidades!$A$51,D56) * SUMIF(C56,Habilidades!$A$51,Habilidades!$B$51), if(C56="Suporte 1", SUMIF(C56,Habilidades!$A$52,D56) * SUMIF(C56,Habilidades!$A$52,Habilidades!$B$52), if(C56="Suporte 2", SUMIF(C56,Habilidades!$A$53,D56) * SUMIF(C56,Habilidades!$A$53,Habilidades!$B$53), if(C56="Suporte 3", SUMIF(C56,Habilidades!$A$54,D56) * SUMIF(C56,Habilidades!$A$54,Habilidades!$B$54), if(C56="Caça-tesouros 1", SUMIF(C56,Habilidades!$A$55,D56) * SUMIF(C56,Habilidades!$A$55,Habilidades!$B$55), if(C56="Caça-tesouros 2", SUMIF(C56,Habilidades!$A$56,D56) * SUMIF(C56,Habilidades!$A$56,Habilidades!$B$56), if(C56="Caça-tesouros 3", SUMIF(C56,Habilidades!$A$57,D56) * SUMIF(C56,Habilidades!$A$57,Habilidades!$B$57), if(C56="Velocista 1", SUMIF(C56,Habilidades!$A$77,D56) * SUMIF(C56,Habilidades!$A$77,Habilidades!$B$77), if(C56="Velocista 2", SUMIF(C56,Habilidades!$A$78,D56) * SUMIF(C56,Habilidades!$A$78,Habilidades!$B$78), if(C56="Velocista 3", SUMIF(C56,Habilidades!$A$79,D56) * SUMIF(C56,Habilidades!$A$79,Habilidades!$B$79), "-"))))))))))))))))))))))))))))))))))))))</f>
        <v>-</v>
      </c>
      <c r="F56" s="110"/>
      <c r="G56" s="110"/>
      <c r="H56" s="110"/>
      <c r="I56" s="110"/>
      <c r="J56" s="110"/>
      <c r="K56" s="110"/>
      <c r="L56" s="110"/>
      <c r="M56" s="110"/>
      <c r="N56" s="110"/>
    </row>
    <row r="57">
      <c r="C57" s="142"/>
      <c r="D57" s="129">
        <f t="shared" si="2"/>
        <v>0</v>
      </c>
      <c r="E57" s="130" t="str">
        <f>if(C57="Detectar Segredo", SUMIF(C57,Habilidades!$A$11,D57) * SUMIF(C57,Habilidades!$A$11,Habilidades!$B$11), if(C57="Encontrar mágica", SUMIF(C57,Habilidades!$A$12,D57) * SUMIF(C57,Habilidades!$A$12,Habilidades!$B$12), if(C57="Cuidadoso 1", SUMIF(C57,Habilidades!$A$22,D57) * SUMIF(C57,Habilidades!$A$22,Habilidades!$B$22), if(C57="Cuidadoso 2", SUMIF(C57,Habilidades!$A$23,#REF!) * SUMIF(C57,Habilidades!$A$23,Habilidades!$B$23), if(C57="Cuidadoso 3", SUMIF(C57,Habilidades!$A$24,D57) * SUMIF(C57,Habilidades!$A$24,Habilidades!$B$24), if(C57="Ganancioso 1", SUMIF(C57,Habilidades!$A$25,D57) * SUMIF(C57,Habilidades!$A$25,Habilidades!$B$25), if(C57="Ganancioso 2", SUMIF(C57,Habilidades!$A$26,D57) * SUMIF(C57,Habilidades!$A$26,Habilidades!$B$26), if(C57="Ganancioso 3", SUMIF(C57,Habilidades!$A$27,D57) * SUMIF(C57,Habilidades!$A$27,Habilidades!$B$27), if(C57="Curandeiro 1", SUMIF(C57,Habilidades!$A$28,D57) * SUMIF(C57,Habilidades!$A$28,Habilidades!$B$28), if(C57="Curandeiro 2", SUMIF(C57,Habilidades!$A$29,D57) * SUMIF(C57,Habilidades!$A$29,Habilidades!$B$29), if(C57="Curandeiro 3", SUMIF(C57,Habilidades!$A$30,D57) * SUMIF(C57,Habilidades!$A$30,Habilidades!$B$30), if(C57="Sortudo 1", SUMIF(C57,Habilidades!$A$31,D57) * SUMIF(C57,Habilidades!$A$31,Habilidades!$B$31), if(C57="Sortudo 2", SUMIF(C57,Habilidades!$A$32,D57) * SUMIF(C57,Habilidades!$A$32,Habilidades!$B$32), if(C57="Sortudo 3", SUMIF(C57,Habilidades!$A$33,D57) * SUMIF(C57,Habilidades!$A$33,Habilidades!$B$33), if(C57="Protetor 1", SUMIF(C57,Habilidades!$A$34,D57) * SUMIF(C57,Habilidades!$A$34,Habilidades!$B$34), if(C57="Protetor 2", SUMIF(C57,Habilidades!$A$35,D57) * SUMIF(C57,Habilidades!$A$35,Habilidades!$B$35), if(C57="Protetor 3", SUMIF(C57,Habilidades!$A$36,D57) * SUMIF(C57,Habilidades!$A$36,Habilidades!$B$36), if(C57="Engenhoso 1", SUMIF(C57,Habilidades!$A$40,D57) * SUMIF(C57,Habilidades!$A$40,Habilidades!$B$40), if(C57="Engenhoso 2", SUMIF(C57,Habilidades!$A$41,D57) * SUMIF(C57,Habilidades!$A$41,Habilidades!$B$41), if(C57="Engenhoso 3", SUMIF(C57,Habilidades!$A$42,D57) * SUMIF(C57,Habilidades!$A$42,Habilidades!$B$42), if(C57="Reviver 1", SUMIF(C57,Habilidades!$A$43,D57) * SUMIF(C57,Habilidades!$A$43,Habilidades!$B$43), if(C57="Reviver 2", SUMIF(C57,Habilidades!$A$44,D57) * SUMIF(C57,Habilidades!$A$44,Habilidades!$B$44), if(C57="Reviver 3", SUMIF(C57,Habilidades!$A$45,D57) * SUMIF(C57,Habilidades!$A$45,Habilidades!$B$45), if(C57="Catador 1", SUMIF(C57,Habilidades!$A$46,D57) * SUMIF(C57,Habilidades!$A$46,Habilidades!$B$46), if(C57="Catador 2", SUMIF(C57,Habilidades!$A$47,D57) * SUMIF(C57,Habilidades!$A$47,Habilidades!$B$47), if(C57="Catador 3", SUMIF(C57,Habilidades!$A$48,D57) * SUMIF(C57,Habilidades!$A$48,Habilidades!$B$48), if(C57="Fornecedor 1", SUMIF(C57,Habilidades!$A$49,D57) * SUMIF(C57,Habilidades!$A$49,Habilidades!$B$49), if(C57="Fornecedor 2", SUMIF(C57,Habilidades!$A$50,D57) * SUMIF(C57,Habilidades!$A$50,Habilidades!$B$50), if(C57="Fornecedor 3", SUMIF(C57,Habilidades!$A$51,D57) * SUMIF(C57,Habilidades!$A$51,Habilidades!$B$51), if(C57="Suporte 1", SUMIF(C57,Habilidades!$A$52,D57) * SUMIF(C57,Habilidades!$A$52,Habilidades!$B$52), if(C57="Suporte 2", SUMIF(C57,Habilidades!$A$53,D57) * SUMIF(C57,Habilidades!$A$53,Habilidades!$B$53), if(C57="Suporte 3", SUMIF(C57,Habilidades!$A$54,D57) * SUMIF(C57,Habilidades!$A$54,Habilidades!$B$54), if(C57="Caça-tesouros 1", SUMIF(C57,Habilidades!$A$55,D57) * SUMIF(C57,Habilidades!$A$55,Habilidades!$B$55), if(C57="Caça-tesouros 2", SUMIF(C57,Habilidades!$A$56,D57) * SUMIF(C57,Habilidades!$A$56,Habilidades!$B$56), if(C57="Caça-tesouros 3", SUMIF(C57,Habilidades!$A$57,D57) * SUMIF(C57,Habilidades!$A$57,Habilidades!$B$57), if(C57="Velocista 1", SUMIF(C57,Habilidades!$A$77,D57) * SUMIF(C57,Habilidades!$A$77,Habilidades!$B$77), if(C57="Velocista 2", SUMIF(C57,Habilidades!$A$78,D57) * SUMIF(C57,Habilidades!$A$78,Habilidades!$B$78), if(C57="Velocista 3", SUMIF(C57,Habilidades!$A$79,D57) * SUMIF(C57,Habilidades!$A$79,Habilidades!$B$79), "-"))))))))))))))))))))))))))))))))))))))</f>
        <v>-</v>
      </c>
      <c r="F57" s="110"/>
      <c r="G57" s="110"/>
      <c r="H57" s="110"/>
      <c r="I57" s="110"/>
      <c r="J57" s="110"/>
      <c r="K57" s="110"/>
      <c r="L57" s="110"/>
      <c r="M57" s="110"/>
      <c r="N57" s="110"/>
    </row>
    <row r="58">
      <c r="C58" s="142"/>
      <c r="D58" s="129">
        <f t="shared" si="2"/>
        <v>0</v>
      </c>
      <c r="E58" s="130" t="str">
        <f>if(C58="Detectar Segredo", SUMIF(C58,Habilidades!$A$11,D58) * SUMIF(C58,Habilidades!$A$11,Habilidades!$B$11), if(C58="Encontrar mágica", SUMIF(C58,Habilidades!$A$12,D58) * SUMIF(C58,Habilidades!$A$12,Habilidades!$B$12), if(C58="Cuidadoso 1", SUMIF(C58,Habilidades!$A$22,D58) * SUMIF(C58,Habilidades!$A$22,Habilidades!$B$22), if(C58="Cuidadoso 2", SUMIF(C58,Habilidades!$A$23,#REF!) * SUMIF(C58,Habilidades!$A$23,Habilidades!$B$23), if(C58="Cuidadoso 3", SUMIF(C58,Habilidades!$A$24,D58) * SUMIF(C58,Habilidades!$A$24,Habilidades!$B$24), if(C58="Ganancioso 1", SUMIF(C58,Habilidades!$A$25,D58) * SUMIF(C58,Habilidades!$A$25,Habilidades!$B$25), if(C58="Ganancioso 2", SUMIF(C58,Habilidades!$A$26,D58) * SUMIF(C58,Habilidades!$A$26,Habilidades!$B$26), if(C58="Ganancioso 3", SUMIF(C58,Habilidades!$A$27,D58) * SUMIF(C58,Habilidades!$A$27,Habilidades!$B$27), if(C58="Curandeiro 1", SUMIF(C58,Habilidades!$A$28,D58) * SUMIF(C58,Habilidades!$A$28,Habilidades!$B$28), if(C58="Curandeiro 2", SUMIF(C58,Habilidades!$A$29,D58) * SUMIF(C58,Habilidades!$A$29,Habilidades!$B$29), if(C58="Curandeiro 3", SUMIF(C58,Habilidades!$A$30,D58) * SUMIF(C58,Habilidades!$A$30,Habilidades!$B$30), if(C58="Sortudo 1", SUMIF(C58,Habilidades!$A$31,D58) * SUMIF(C58,Habilidades!$A$31,Habilidades!$B$31), if(C58="Sortudo 2", SUMIF(C58,Habilidades!$A$32,D58) * SUMIF(C58,Habilidades!$A$32,Habilidades!$B$32), if(C58="Sortudo 3", SUMIF(C58,Habilidades!$A$33,D58) * SUMIF(C58,Habilidades!$A$33,Habilidades!$B$33), if(C58="Protetor 1", SUMIF(C58,Habilidades!$A$34,D58) * SUMIF(C58,Habilidades!$A$34,Habilidades!$B$34), if(C58="Protetor 2", SUMIF(C58,Habilidades!$A$35,D58) * SUMIF(C58,Habilidades!$A$35,Habilidades!$B$35), if(C58="Protetor 3", SUMIF(C58,Habilidades!$A$36,D58) * SUMIF(C58,Habilidades!$A$36,Habilidades!$B$36), if(C58="Engenhoso 1", SUMIF(C58,Habilidades!$A$40,D58) * SUMIF(C58,Habilidades!$A$40,Habilidades!$B$40), if(C58="Engenhoso 2", SUMIF(C58,Habilidades!$A$41,D58) * SUMIF(C58,Habilidades!$A$41,Habilidades!$B$41), if(C58="Engenhoso 3", SUMIF(C58,Habilidades!$A$42,D58) * SUMIF(C58,Habilidades!$A$42,Habilidades!$B$42), if(C58="Reviver 1", SUMIF(C58,Habilidades!$A$43,D58) * SUMIF(C58,Habilidades!$A$43,Habilidades!$B$43), if(C58="Reviver 2", SUMIF(C58,Habilidades!$A$44,D58) * SUMIF(C58,Habilidades!$A$44,Habilidades!$B$44), if(C58="Reviver 3", SUMIF(C58,Habilidades!$A$45,D58) * SUMIF(C58,Habilidades!$A$45,Habilidades!$B$45), if(C58="Catador 1", SUMIF(C58,Habilidades!$A$46,D58) * SUMIF(C58,Habilidades!$A$46,Habilidades!$B$46), if(C58="Catador 2", SUMIF(C58,Habilidades!$A$47,D58) * SUMIF(C58,Habilidades!$A$47,Habilidades!$B$47), if(C58="Catador 3", SUMIF(C58,Habilidades!$A$48,D58) * SUMIF(C58,Habilidades!$A$48,Habilidades!$B$48), if(C58="Fornecedor 1", SUMIF(C58,Habilidades!$A$49,D58) * SUMIF(C58,Habilidades!$A$49,Habilidades!$B$49), if(C58="Fornecedor 2", SUMIF(C58,Habilidades!$A$50,D58) * SUMIF(C58,Habilidades!$A$50,Habilidades!$B$50), if(C58="Fornecedor 3", SUMIF(C58,Habilidades!$A$51,D58) * SUMIF(C58,Habilidades!$A$51,Habilidades!$B$51), if(C58="Suporte 1", SUMIF(C58,Habilidades!$A$52,D58) * SUMIF(C58,Habilidades!$A$52,Habilidades!$B$52), if(C58="Suporte 2", SUMIF(C58,Habilidades!$A$53,D58) * SUMIF(C58,Habilidades!$A$53,Habilidades!$B$53), if(C58="Suporte 3", SUMIF(C58,Habilidades!$A$54,D58) * SUMIF(C58,Habilidades!$A$54,Habilidades!$B$54), if(C58="Caça-tesouros 1", SUMIF(C58,Habilidades!$A$55,D58) * SUMIF(C58,Habilidades!$A$55,Habilidades!$B$55), if(C58="Caça-tesouros 2", SUMIF(C58,Habilidades!$A$56,D58) * SUMIF(C58,Habilidades!$A$56,Habilidades!$B$56), if(C58="Caça-tesouros 3", SUMIF(C58,Habilidades!$A$57,D58) * SUMIF(C58,Habilidades!$A$57,Habilidades!$B$57), if(C58="Velocista 1", SUMIF(C58,Habilidades!$A$77,D58) * SUMIF(C58,Habilidades!$A$77,Habilidades!$B$77), if(C58="Velocista 2", SUMIF(C58,Habilidades!$A$78,D58) * SUMIF(C58,Habilidades!$A$78,Habilidades!$B$78), if(C58="Velocista 3", SUMIF(C58,Habilidades!$A$79,D58) * SUMIF(C58,Habilidades!$A$79,Habilidades!$B$79), "-"))))))))))))))))))))))))))))))))))))))</f>
        <v>-</v>
      </c>
      <c r="F58" s="110"/>
      <c r="G58" s="110"/>
      <c r="H58" s="110"/>
      <c r="I58" s="110"/>
      <c r="J58" s="110"/>
      <c r="K58" s="110"/>
      <c r="L58" s="110"/>
      <c r="M58" s="110"/>
      <c r="N58" s="110"/>
    </row>
    <row r="59">
      <c r="C59" s="142"/>
      <c r="D59" s="129">
        <f t="shared" si="2"/>
        <v>0</v>
      </c>
      <c r="E59" s="130" t="str">
        <f>if(C59="Detectar Segredo", SUMIF(C59,Habilidades!$A$11,D59) * SUMIF(C59,Habilidades!$A$11,Habilidades!$B$11), if(C59="Encontrar mágica", SUMIF(C59,Habilidades!$A$12,D59) * SUMIF(C59,Habilidades!$A$12,Habilidades!$B$12), if(C59="Cuidadoso 1", SUMIF(C59,Habilidades!$A$22,D59) * SUMIF(C59,Habilidades!$A$22,Habilidades!$B$22), if(C59="Cuidadoso 2", SUMIF(C59,Habilidades!$A$23,#REF!) * SUMIF(C59,Habilidades!$A$23,Habilidades!$B$23), if(C59="Cuidadoso 3", SUMIF(C59,Habilidades!$A$24,D59) * SUMIF(C59,Habilidades!$A$24,Habilidades!$B$24), if(C59="Ganancioso 1", SUMIF(C59,Habilidades!$A$25,D59) * SUMIF(C59,Habilidades!$A$25,Habilidades!$B$25), if(C59="Ganancioso 2", SUMIF(C59,Habilidades!$A$26,D59) * SUMIF(C59,Habilidades!$A$26,Habilidades!$B$26), if(C59="Ganancioso 3", SUMIF(C59,Habilidades!$A$27,D59) * SUMIF(C59,Habilidades!$A$27,Habilidades!$B$27), if(C59="Curandeiro 1", SUMIF(C59,Habilidades!$A$28,D59) * SUMIF(C59,Habilidades!$A$28,Habilidades!$B$28), if(C59="Curandeiro 2", SUMIF(C59,Habilidades!$A$29,D59) * SUMIF(C59,Habilidades!$A$29,Habilidades!$B$29), if(C59="Curandeiro 3", SUMIF(C59,Habilidades!$A$30,D59) * SUMIF(C59,Habilidades!$A$30,Habilidades!$B$30), if(C59="Sortudo 1", SUMIF(C59,Habilidades!$A$31,D59) * SUMIF(C59,Habilidades!$A$31,Habilidades!$B$31), if(C59="Sortudo 2", SUMIF(C59,Habilidades!$A$32,D59) * SUMIF(C59,Habilidades!$A$32,Habilidades!$B$32), if(C59="Sortudo 3", SUMIF(C59,Habilidades!$A$33,D59) * SUMIF(C59,Habilidades!$A$33,Habilidades!$B$33), if(C59="Protetor 1", SUMIF(C59,Habilidades!$A$34,D59) * SUMIF(C59,Habilidades!$A$34,Habilidades!$B$34), if(C59="Protetor 2", SUMIF(C59,Habilidades!$A$35,D59) * SUMIF(C59,Habilidades!$A$35,Habilidades!$B$35), if(C59="Protetor 3", SUMIF(C59,Habilidades!$A$36,D59) * SUMIF(C59,Habilidades!$A$36,Habilidades!$B$36), if(C59="Engenhoso 1", SUMIF(C59,Habilidades!$A$40,D59) * SUMIF(C59,Habilidades!$A$40,Habilidades!$B$40), if(C59="Engenhoso 2", SUMIF(C59,Habilidades!$A$41,D59) * SUMIF(C59,Habilidades!$A$41,Habilidades!$B$41), if(C59="Engenhoso 3", SUMIF(C59,Habilidades!$A$42,D59) * SUMIF(C59,Habilidades!$A$42,Habilidades!$B$42), if(C59="Reviver 1", SUMIF(C59,Habilidades!$A$43,D59) * SUMIF(C59,Habilidades!$A$43,Habilidades!$B$43), if(C59="Reviver 2", SUMIF(C59,Habilidades!$A$44,D59) * SUMIF(C59,Habilidades!$A$44,Habilidades!$B$44), if(C59="Reviver 3", SUMIF(C59,Habilidades!$A$45,D59) * SUMIF(C59,Habilidades!$A$45,Habilidades!$B$45), if(C59="Catador 1", SUMIF(C59,Habilidades!$A$46,D59) * SUMIF(C59,Habilidades!$A$46,Habilidades!$B$46), if(C59="Catador 2", SUMIF(C59,Habilidades!$A$47,D59) * SUMIF(C59,Habilidades!$A$47,Habilidades!$B$47), if(C59="Catador 3", SUMIF(C59,Habilidades!$A$48,D59) * SUMIF(C59,Habilidades!$A$48,Habilidades!$B$48), if(C59="Fornecedor 1", SUMIF(C59,Habilidades!$A$49,D59) * SUMIF(C59,Habilidades!$A$49,Habilidades!$B$49), if(C59="Fornecedor 2", SUMIF(C59,Habilidades!$A$50,D59) * SUMIF(C59,Habilidades!$A$50,Habilidades!$B$50), if(C59="Fornecedor 3", SUMIF(C59,Habilidades!$A$51,D59) * SUMIF(C59,Habilidades!$A$51,Habilidades!$B$51), if(C59="Suporte 1", SUMIF(C59,Habilidades!$A$52,D59) * SUMIF(C59,Habilidades!$A$52,Habilidades!$B$52), if(C59="Suporte 2", SUMIF(C59,Habilidades!$A$53,D59) * SUMIF(C59,Habilidades!$A$53,Habilidades!$B$53), if(C59="Suporte 3", SUMIF(C59,Habilidades!$A$54,D59) * SUMIF(C59,Habilidades!$A$54,Habilidades!$B$54), if(C59="Caça-tesouros 1", SUMIF(C59,Habilidades!$A$55,D59) * SUMIF(C59,Habilidades!$A$55,Habilidades!$B$55), if(C59="Caça-tesouros 2", SUMIF(C59,Habilidades!$A$56,D59) * SUMIF(C59,Habilidades!$A$56,Habilidades!$B$56), if(C59="Caça-tesouros 3", SUMIF(C59,Habilidades!$A$57,D59) * SUMIF(C59,Habilidades!$A$57,Habilidades!$B$57), if(C59="Velocista 1", SUMIF(C59,Habilidades!$A$77,D59) * SUMIF(C59,Habilidades!$A$77,Habilidades!$B$77), if(C59="Velocista 2", SUMIF(C59,Habilidades!$A$78,D59) * SUMIF(C59,Habilidades!$A$78,Habilidades!$B$78), if(C59="Velocista 3", SUMIF(C59,Habilidades!$A$79,D59) * SUMIF(C59,Habilidades!$A$79,Habilidades!$B$79), "-"))))))))))))))))))))))))))))))))))))))</f>
        <v>-</v>
      </c>
      <c r="F59" s="110"/>
      <c r="G59" s="110"/>
      <c r="H59" s="110"/>
      <c r="I59" s="110"/>
      <c r="J59" s="110"/>
      <c r="K59" s="110"/>
      <c r="L59" s="110"/>
      <c r="M59" s="110"/>
      <c r="N59" s="110"/>
    </row>
    <row r="60">
      <c r="C60" s="142"/>
      <c r="D60" s="129">
        <f t="shared" si="2"/>
        <v>0</v>
      </c>
      <c r="E60" s="130" t="str">
        <f>if(C60="Detectar Segredo", SUMIF(C60,Habilidades!$A$11,D60) * SUMIF(C60,Habilidades!$A$11,Habilidades!$B$11), if(C60="Encontrar mágica", SUMIF(C60,Habilidades!$A$12,D60) * SUMIF(C60,Habilidades!$A$12,Habilidades!$B$12), if(C60="Cuidadoso 1", SUMIF(C60,Habilidades!$A$22,D60) * SUMIF(C60,Habilidades!$A$22,Habilidades!$B$22), if(C60="Cuidadoso 2", SUMIF(C60,Habilidades!$A$23,#REF!) * SUMIF(C60,Habilidades!$A$23,Habilidades!$B$23), if(C60="Cuidadoso 3", SUMIF(C60,Habilidades!$A$24,D60) * SUMIF(C60,Habilidades!$A$24,Habilidades!$B$24), if(C60="Ganancioso 1", SUMIF(C60,Habilidades!$A$25,D60) * SUMIF(C60,Habilidades!$A$25,Habilidades!$B$25), if(C60="Ganancioso 2", SUMIF(C60,Habilidades!$A$26,D60) * SUMIF(C60,Habilidades!$A$26,Habilidades!$B$26), if(C60="Ganancioso 3", SUMIF(C60,Habilidades!$A$27,D60) * SUMIF(C60,Habilidades!$A$27,Habilidades!$B$27), if(C60="Curandeiro 1", SUMIF(C60,Habilidades!$A$28,D60) * SUMIF(C60,Habilidades!$A$28,Habilidades!$B$28), if(C60="Curandeiro 2", SUMIF(C60,Habilidades!$A$29,D60) * SUMIF(C60,Habilidades!$A$29,Habilidades!$B$29), if(C60="Curandeiro 3", SUMIF(C60,Habilidades!$A$30,D60) * SUMIF(C60,Habilidades!$A$30,Habilidades!$B$30), if(C60="Sortudo 1", SUMIF(C60,Habilidades!$A$31,D60) * SUMIF(C60,Habilidades!$A$31,Habilidades!$B$31), if(C60="Sortudo 2", SUMIF(C60,Habilidades!$A$32,D60) * SUMIF(C60,Habilidades!$A$32,Habilidades!$B$32), if(C60="Sortudo 3", SUMIF(C60,Habilidades!$A$33,D60) * SUMIF(C60,Habilidades!$A$33,Habilidades!$B$33), if(C60="Protetor 1", SUMIF(C60,Habilidades!$A$34,D60) * SUMIF(C60,Habilidades!$A$34,Habilidades!$B$34), if(C60="Protetor 2", SUMIF(C60,Habilidades!$A$35,D60) * SUMIF(C60,Habilidades!$A$35,Habilidades!$B$35), if(C60="Protetor 3", SUMIF(C60,Habilidades!$A$36,D60) * SUMIF(C60,Habilidades!$A$36,Habilidades!$B$36), if(C60="Engenhoso 1", SUMIF(C60,Habilidades!$A$40,D60) * SUMIF(C60,Habilidades!$A$40,Habilidades!$B$40), if(C60="Engenhoso 2", SUMIF(C60,Habilidades!$A$41,D60) * SUMIF(C60,Habilidades!$A$41,Habilidades!$B$41), if(C60="Engenhoso 3", SUMIF(C60,Habilidades!$A$42,D60) * SUMIF(C60,Habilidades!$A$42,Habilidades!$B$42), if(C60="Reviver 1", SUMIF(C60,Habilidades!$A$43,D60) * SUMIF(C60,Habilidades!$A$43,Habilidades!$B$43), if(C60="Reviver 2", SUMIF(C60,Habilidades!$A$44,D60) * SUMIF(C60,Habilidades!$A$44,Habilidades!$B$44), if(C60="Reviver 3", SUMIF(C60,Habilidades!$A$45,D60) * SUMIF(C60,Habilidades!$A$45,Habilidades!$B$45), if(C60="Catador 1", SUMIF(C60,Habilidades!$A$46,D60) * SUMIF(C60,Habilidades!$A$46,Habilidades!$B$46), if(C60="Catador 2", SUMIF(C60,Habilidades!$A$47,D60) * SUMIF(C60,Habilidades!$A$47,Habilidades!$B$47), if(C60="Catador 3", SUMIF(C60,Habilidades!$A$48,D60) * SUMIF(C60,Habilidades!$A$48,Habilidades!$B$48), if(C60="Fornecedor 1", SUMIF(C60,Habilidades!$A$49,D60) * SUMIF(C60,Habilidades!$A$49,Habilidades!$B$49), if(C60="Fornecedor 2", SUMIF(C60,Habilidades!$A$50,D60) * SUMIF(C60,Habilidades!$A$50,Habilidades!$B$50), if(C60="Fornecedor 3", SUMIF(C60,Habilidades!$A$51,D60) * SUMIF(C60,Habilidades!$A$51,Habilidades!$B$51), if(C60="Suporte 1", SUMIF(C60,Habilidades!$A$52,D60) * SUMIF(C60,Habilidades!$A$52,Habilidades!$B$52), if(C60="Suporte 2", SUMIF(C60,Habilidades!$A$53,D60) * SUMIF(C60,Habilidades!$A$53,Habilidades!$B$53), if(C60="Suporte 3", SUMIF(C60,Habilidades!$A$54,D60) * SUMIF(C60,Habilidades!$A$54,Habilidades!$B$54), if(C60="Caça-tesouros 1", SUMIF(C60,Habilidades!$A$55,D60) * SUMIF(C60,Habilidades!$A$55,Habilidades!$B$55), if(C60="Caça-tesouros 2", SUMIF(C60,Habilidades!$A$56,D60) * SUMIF(C60,Habilidades!$A$56,Habilidades!$B$56), if(C60="Caça-tesouros 3", SUMIF(C60,Habilidades!$A$57,D60) * SUMIF(C60,Habilidades!$A$57,Habilidades!$B$57), if(C60="Velocista 1", SUMIF(C60,Habilidades!$A$77,D60) * SUMIF(C60,Habilidades!$A$77,Habilidades!$B$77), if(C60="Velocista 2", SUMIF(C60,Habilidades!$A$78,D60) * SUMIF(C60,Habilidades!$A$78,Habilidades!$B$78), if(C60="Velocista 3", SUMIF(C60,Habilidades!$A$79,D60) * SUMIF(C60,Habilidades!$A$79,Habilidades!$B$79), "-"))))))))))))))))))))))))))))))))))))))</f>
        <v>-</v>
      </c>
      <c r="F60" s="110"/>
      <c r="G60" s="110"/>
      <c r="H60" s="110"/>
      <c r="I60" s="110"/>
      <c r="J60" s="110"/>
      <c r="K60" s="110"/>
      <c r="L60" s="110"/>
      <c r="M60" s="110"/>
      <c r="N60" s="110"/>
    </row>
    <row r="61"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</row>
    <row r="62"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</row>
    <row r="63"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</row>
    <row r="64"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</row>
    <row r="65"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</row>
    <row r="66"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</row>
    <row r="67"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</row>
    <row r="68"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</row>
    <row r="69"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</row>
    <row r="70"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</sheetData>
  <mergeCells count="6">
    <mergeCell ref="A1:B70"/>
    <mergeCell ref="C10:M10"/>
    <mergeCell ref="K19:L19"/>
    <mergeCell ref="K20:L20"/>
    <mergeCell ref="H22:I22"/>
    <mergeCell ref="H23:I23"/>
  </mergeCells>
  <conditionalFormatting sqref="H20">
    <cfRule type="cellIs" dxfId="6" priority="1" operator="greaterThan">
      <formula>100</formula>
    </cfRule>
  </conditionalFormatting>
  <conditionalFormatting sqref="H20">
    <cfRule type="cellIs" dxfId="7" priority="2" operator="lessThanOrEqual">
      <formula>100</formula>
    </cfRule>
  </conditionalFormatting>
  <conditionalFormatting sqref="H20:I20">
    <cfRule type="cellIs" dxfId="9" priority="3" operator="greaterThan">
      <formula>100</formula>
    </cfRule>
  </conditionalFormatting>
  <conditionalFormatting sqref="H20:I20">
    <cfRule type="cellIs" dxfId="8" priority="4" operator="lessThanOrEqual">
      <formula>100</formula>
    </cfRule>
  </conditionalFormatting>
  <conditionalFormatting sqref="I20">
    <cfRule type="cellIs" dxfId="9" priority="5" operator="greaterThan">
      <formula>100</formula>
    </cfRule>
  </conditionalFormatting>
  <conditionalFormatting sqref="I20">
    <cfRule type="cellIs" dxfId="8" priority="6" operator="lessThanOrEqual">
      <formula>100</formula>
    </cfRule>
  </conditionalFormatting>
  <dataValidations>
    <dataValidation type="list" allowBlank="1" showErrorMessage="1" sqref="G5">
      <formula1>Listas4!$E$598:$E$796</formula1>
    </dataValidation>
    <dataValidation type="list" allowBlank="1" showErrorMessage="1" sqref="J7">
      <formula1>Listas4!$I$1192:$I$1390</formula1>
    </dataValidation>
    <dataValidation type="list" allowBlank="1" showErrorMessage="1" sqref="J5">
      <formula1>Listas4!$E$1192:$E$1390</formula1>
    </dataValidation>
    <dataValidation type="list" allowBlank="1" showErrorMessage="1" sqref="F8">
      <formula1>Listas4!$AI$1:$AI$200</formula1>
    </dataValidation>
    <dataValidation type="list" allowBlank="1" showErrorMessage="1" sqref="J3">
      <formula1>Listas4!$A$1192:$A$1390</formula1>
    </dataValidation>
    <dataValidation type="list" allowBlank="1" showErrorMessage="1" sqref="F6">
      <formula1>Listas4!$AE$1:$AE$200</formula1>
    </dataValidation>
    <dataValidation type="list" allowBlank="1" showErrorMessage="1" sqref="G6">
      <formula1>Listas4!$G$598:$G$796</formula1>
    </dataValidation>
    <dataValidation type="list" allowBlank="1" showErrorMessage="1" sqref="D6">
      <formula1>Listas4!$G$1:$G$200</formula1>
    </dataValidation>
    <dataValidation type="list" allowBlank="1" showErrorMessage="1" sqref="J4">
      <formula1>Listas4!$C$1192:$C$1390</formula1>
    </dataValidation>
    <dataValidation type="list" allowBlank="1" showErrorMessage="1" sqref="F7">
      <formula1>Listas4!$AG$1:$AG$200</formula1>
    </dataValidation>
    <dataValidation type="list" allowBlank="1" showErrorMessage="1" sqref="G7">
      <formula1>Listas4!$I$598:$I$796</formula1>
    </dataValidation>
    <dataValidation type="list" allowBlank="1" showErrorMessage="1" sqref="F5">
      <formula1>Listas4!$AC$1:$AC$200</formula1>
    </dataValidation>
    <dataValidation type="list" allowBlank="1" showErrorMessage="1" sqref="D7">
      <formula1>Listas4!$I$1:$I$200</formula1>
    </dataValidation>
    <dataValidation type="list" allowBlank="1" showErrorMessage="1" sqref="H3">
      <formula1>Listas4!$M$598:$M$796</formula1>
    </dataValidation>
    <dataValidation type="list" allowBlank="1" showErrorMessage="1" sqref="E5">
      <formula1>Listas4!$Q$1:$Q$200</formula1>
    </dataValidation>
    <dataValidation type="list" allowBlank="1" showErrorMessage="1" sqref="H5">
      <formula1>Listas4!$Q$598:$Q$796</formula1>
    </dataValidation>
    <dataValidation type="list" allowBlank="1" showErrorMessage="1" sqref="E6">
      <formula1>Listas4!$S$1:$S$200</formula1>
    </dataValidation>
    <dataValidation type="list" allowBlank="1" showErrorMessage="1" sqref="J8">
      <formula1>Listas4!$K$1192:$K$1390</formula1>
    </dataValidation>
    <dataValidation type="list" allowBlank="1" showErrorMessage="1" sqref="H4">
      <formula1>Listas4!$O$598:$O$796</formula1>
    </dataValidation>
    <dataValidation type="list" allowBlank="1" showErrorMessage="1" sqref="J6">
      <formula1>Listas4!$G$1192:$G$1390</formula1>
    </dataValidation>
    <dataValidation type="list" allowBlank="1" showErrorMessage="1" sqref="I4">
      <formula1>Listas4!$AA$598:$AA$796</formula1>
    </dataValidation>
    <dataValidation type="list" allowBlank="1" showErrorMessage="1" sqref="I3">
      <formula1>Listas4!$Y$598:$Y$796</formula1>
    </dataValidation>
    <dataValidation type="list" allowBlank="1" showErrorMessage="1" sqref="I5">
      <formula1>Listas4!$AC$598:$AC$796</formula1>
    </dataValidation>
    <dataValidation type="list" allowBlank="1" showErrorMessage="1" sqref="D8">
      <formula1>Listas4!$K$1:$K$200</formula1>
    </dataValidation>
    <dataValidation type="list" allowBlank="1" showErrorMessage="1" sqref="H8">
      <formula1>Listas4!$W$598:$W$796</formula1>
    </dataValidation>
    <dataValidation type="list" allowBlank="1" showErrorMessage="1" sqref="E4">
      <formula1>Listas4!$O$1:$O$200</formula1>
    </dataValidation>
    <dataValidation type="list" allowBlank="1" showErrorMessage="1" sqref="H6">
      <formula1>Listas4!$S$598:$S$796</formula1>
    </dataValidation>
    <dataValidation type="list" allowBlank="1" showErrorMessage="1" sqref="E3">
      <formula1>Listas4!$M$1:$M$200</formula1>
    </dataValidation>
    <dataValidation type="list" allowBlank="1" showErrorMessage="1" sqref="G8">
      <formula1>Listas4!$K$598:$K$796</formula1>
    </dataValidation>
    <dataValidation type="list" allowBlank="1" showErrorMessage="1" sqref="I6">
      <formula1>Listas4!$AE$598:$AE$796</formula1>
    </dataValidation>
    <dataValidation type="list" allowBlank="1" showErrorMessage="1" sqref="E8">
      <formula1>Listas4!$W$1:$W$200</formula1>
    </dataValidation>
    <dataValidation type="list" allowBlank="1" showErrorMessage="1" sqref="F3">
      <formula1>Listas4!$Y$1:$Y$200</formula1>
    </dataValidation>
    <dataValidation type="list" allowBlank="1" showErrorMessage="1" sqref="F4">
      <formula1>Listas4!$AA$1:$AA$200</formula1>
    </dataValidation>
    <dataValidation type="list" allowBlank="1" showErrorMessage="1" sqref="D3">
      <formula1>Listas4!$A$1:$A$200</formula1>
    </dataValidation>
    <dataValidation type="list" allowBlank="1" showErrorMessage="1" sqref="G3">
      <formula1>Listas4!$A$598:$A$796</formula1>
    </dataValidation>
    <dataValidation type="list" allowBlank="1" showErrorMessage="1" sqref="D5">
      <formula1>Listas4!E1:E200</formula1>
    </dataValidation>
    <dataValidation type="list" allowBlank="1" showErrorMessage="1" sqref="E7">
      <formula1>Listas4!$U$1:$U$200</formula1>
    </dataValidation>
    <dataValidation type="list" allowBlank="1" showErrorMessage="1" sqref="I7">
      <formula1>Listas4!$AG$598:$AG$796</formula1>
    </dataValidation>
    <dataValidation type="list" allowBlank="1" showErrorMessage="1" sqref="G4">
      <formula1>Listas4!$C$598:$C$796</formula1>
    </dataValidation>
    <dataValidation type="list" allowBlank="1" showErrorMessage="1" sqref="D4">
      <formula1>Listas4!$C$1:$C$200</formula1>
    </dataValidation>
    <dataValidation type="list" allowBlank="1" showErrorMessage="1" sqref="C3:C8">
      <formula1>Personagem!$B$1:$AC$1</formula1>
    </dataValidation>
    <dataValidation type="list" allowBlank="1" showErrorMessage="1" sqref="H7">
      <formula1>Listas4!$U$598:$U$796</formula1>
    </dataValidation>
    <dataValidation type="list" allowBlank="1" showErrorMessage="1" sqref="I8">
      <formula1>Listas4!$AI$598:$AI$796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0.38" outlineLevel="1"/>
    <col customWidth="1" min="2" max="2" width="2.63"/>
    <col customWidth="1" min="3" max="3" width="11.5"/>
    <col customWidth="1" min="4" max="4" width="20.5"/>
    <col customWidth="1" min="5" max="5" width="14.63"/>
    <col customWidth="1" min="6" max="6" width="15.63"/>
    <col customWidth="1" min="7" max="7" width="16.0"/>
    <col customWidth="1" min="8" max="8" width="18.0"/>
    <col customWidth="1" min="9" max="9" width="17.38"/>
    <col customWidth="1" min="10" max="10" width="17.25"/>
    <col customWidth="1" min="11" max="11" width="17.38"/>
    <col customWidth="1" min="12" max="12" width="17.25"/>
    <col customWidth="1" min="13" max="14" width="15.75"/>
  </cols>
  <sheetData>
    <row r="1">
      <c r="A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>
      <c r="C2" s="112" t="s">
        <v>807</v>
      </c>
      <c r="D2" s="113" t="s">
        <v>35</v>
      </c>
      <c r="E2" s="113" t="s">
        <v>44</v>
      </c>
      <c r="F2" s="113" t="s">
        <v>48</v>
      </c>
      <c r="G2" s="113" t="s">
        <v>51</v>
      </c>
      <c r="H2" s="113" t="s">
        <v>54</v>
      </c>
      <c r="I2" s="113" t="s">
        <v>57</v>
      </c>
      <c r="J2" s="113" t="s">
        <v>62</v>
      </c>
      <c r="K2" s="110"/>
      <c r="L2" s="110"/>
      <c r="M2" s="110"/>
      <c r="N2" s="110"/>
    </row>
    <row r="3">
      <c r="C3" s="114" t="s">
        <v>26</v>
      </c>
      <c r="D3" s="120" t="s">
        <v>170</v>
      </c>
      <c r="E3" s="114" t="s">
        <v>702</v>
      </c>
      <c r="F3" s="116" t="s">
        <v>292</v>
      </c>
      <c r="G3" s="152" t="s">
        <v>489</v>
      </c>
      <c r="H3" s="121" t="s">
        <v>665</v>
      </c>
      <c r="I3" s="121" t="s">
        <v>575</v>
      </c>
      <c r="J3" s="116" t="s">
        <v>638</v>
      </c>
      <c r="K3" s="110"/>
      <c r="L3" s="110"/>
      <c r="M3" s="110"/>
      <c r="N3" s="110"/>
    </row>
    <row r="4">
      <c r="C4" s="114" t="s">
        <v>29</v>
      </c>
      <c r="D4" s="118" t="s">
        <v>255</v>
      </c>
      <c r="E4" s="116" t="s">
        <v>688</v>
      </c>
      <c r="F4" s="119" t="s">
        <v>287</v>
      </c>
      <c r="G4" s="119" t="s">
        <v>489</v>
      </c>
      <c r="H4" s="119" t="s">
        <v>648</v>
      </c>
      <c r="I4" s="119" t="s">
        <v>443</v>
      </c>
      <c r="J4" s="116" t="s">
        <v>348</v>
      </c>
      <c r="K4" s="110"/>
      <c r="L4" s="110"/>
      <c r="M4" s="110"/>
      <c r="N4" s="110"/>
    </row>
    <row r="5">
      <c r="C5" s="114" t="s">
        <v>19</v>
      </c>
      <c r="D5" s="156" t="s">
        <v>473</v>
      </c>
      <c r="E5" s="121" t="s">
        <v>702</v>
      </c>
      <c r="F5" s="116" t="s">
        <v>302</v>
      </c>
      <c r="G5" s="152" t="s">
        <v>526</v>
      </c>
      <c r="H5" s="121" t="s">
        <v>214</v>
      </c>
      <c r="I5" s="116" t="s">
        <v>570</v>
      </c>
      <c r="J5" s="114" t="s">
        <v>621</v>
      </c>
      <c r="K5" s="110"/>
      <c r="L5" s="110"/>
      <c r="M5" s="110"/>
      <c r="N5" s="110"/>
    </row>
    <row r="6">
      <c r="C6" s="114" t="s">
        <v>33</v>
      </c>
      <c r="D6" s="118" t="s">
        <v>385</v>
      </c>
      <c r="E6" s="119" t="s">
        <v>702</v>
      </c>
      <c r="F6" s="119" t="s">
        <v>302</v>
      </c>
      <c r="G6" s="119" t="s">
        <v>526</v>
      </c>
      <c r="H6" s="119" t="s">
        <v>214</v>
      </c>
      <c r="I6" s="116" t="s">
        <v>375</v>
      </c>
      <c r="J6" s="116" t="s">
        <v>348</v>
      </c>
      <c r="K6" s="110"/>
      <c r="L6" s="110"/>
      <c r="M6" s="110"/>
      <c r="N6" s="110"/>
    </row>
    <row r="7">
      <c r="C7" s="114" t="s">
        <v>25</v>
      </c>
      <c r="D7" s="120" t="s">
        <v>234</v>
      </c>
      <c r="E7" s="121" t="s">
        <v>688</v>
      </c>
      <c r="F7" s="116" t="s">
        <v>292</v>
      </c>
      <c r="G7" s="121" t="s">
        <v>489</v>
      </c>
      <c r="H7" s="121" t="s">
        <v>648</v>
      </c>
      <c r="I7" s="121" t="s">
        <v>576</v>
      </c>
      <c r="J7" s="116" t="s">
        <v>348</v>
      </c>
      <c r="K7" s="110"/>
      <c r="L7" s="110"/>
      <c r="M7" s="110"/>
      <c r="N7" s="110"/>
    </row>
    <row r="8">
      <c r="C8" s="114"/>
      <c r="D8" s="118"/>
      <c r="E8" s="119"/>
      <c r="F8" s="119"/>
      <c r="G8" s="119"/>
      <c r="H8" s="119"/>
      <c r="I8" s="119"/>
      <c r="J8" s="119"/>
      <c r="K8" s="110"/>
      <c r="L8" s="110"/>
      <c r="M8" s="110"/>
      <c r="N8" s="110"/>
    </row>
    <row r="9"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>
      <c r="C10" s="157" t="s">
        <v>808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10"/>
    </row>
    <row r="11">
      <c r="C11" s="125" t="str">
        <f t="shared" ref="C11:C16" si="1">C3</f>
        <v>Mila</v>
      </c>
      <c r="D11" s="126" t="str">
        <f>IFERROR(__xludf.DUMMYFUNCTION("FILTER('Armas do jogo'!E3:E70,'Armas do jogo'!B3:B70=D3)"),"Energético 3")</f>
        <v>Energético 3</v>
      </c>
      <c r="E11" s="126" t="str">
        <f>IFERROR(__xludf.DUMMYFUNCTION("FILTER('Armas do jogo'!E3:E70,'Armas do jogo'!B3:B70=E3)"),"Encontrar mágica")</f>
        <v>Encontrar mágica</v>
      </c>
      <c r="F11" s="126" t="str">
        <f>IFERROR(__xludf.DUMMYFUNCTION("FILTER('Armas do jogo'!E3:E70,'Armas do jogo'!B3:B70=F3)"),"Encontrar mágica")</f>
        <v>Encontrar mágica</v>
      </c>
      <c r="G11" s="126" t="str">
        <f>IFERROR(__xludf.DUMMYFUNCTION("FILTER('Armas do jogo'!E3:E70,'Armas do jogo'!B3:B70=G3)"),"Encontrar mágica")</f>
        <v>Encontrar mágica</v>
      </c>
      <c r="H11" s="126" t="str">
        <f>IFERROR(__xludf.DUMMYFUNCTION("FILTER('Armas do jogo'!E3:E70,'Armas do jogo'!B3:B70=H3)"),"Velocista 3")</f>
        <v>Velocista 3</v>
      </c>
      <c r="I11" s="126" t="str">
        <f>IFERROR(__xludf.DUMMYFUNCTION("FILTER('Armas do jogo'!E3:E70,'Armas do jogo'!B3:B70=I3)"),"Velocista 3")</f>
        <v>Velocista 3</v>
      </c>
      <c r="J11" s="126" t="str">
        <f>IFERROR(__xludf.DUMMYFUNCTION("FILTER('Armas do jogo'!E3:E70,'Armas do jogo'!B3:B70=J3)"),"Encontrar mágica")</f>
        <v>Encontrar mágica</v>
      </c>
      <c r="K11" s="126" t="str">
        <f>'Heróis'!A$17</f>
        <v>Ganancioso 1</v>
      </c>
      <c r="L11" s="126" t="str">
        <f>'Heróis'!$A$18</f>
        <v>Sortudo 2</v>
      </c>
      <c r="M11" s="127" t="str">
        <f>'Heróis'!$A$19</f>
        <v>Caça-tesouros 2</v>
      </c>
      <c r="N11" s="110"/>
    </row>
    <row r="12">
      <c r="C12" s="125" t="str">
        <f t="shared" si="1"/>
        <v>Nya</v>
      </c>
      <c r="D12" s="126" t="str">
        <f>IFERROR(__xludf.DUMMYFUNCTION("FILTER('Armas do jogo'!E4:E658,'Armas do jogo'!B4:B658=D4)"),"Encontrar mágica")</f>
        <v>Encontrar mágica</v>
      </c>
      <c r="E12" s="126" t="str">
        <f>IFERROR(__xludf.DUMMYFUNCTION("FILTER('Armas do jogo'!E4:E658,'Armas do jogo'!B4:B658=E4)"),"Reviver 3")</f>
        <v>Reviver 3</v>
      </c>
      <c r="F12" s="126" t="str">
        <f>IFERROR(__xludf.DUMMYFUNCTION("FILTER('Armas do jogo'!E4:E658,'Armas do jogo'!B4:B658=F4)"),"Reviver 3")</f>
        <v>Reviver 3</v>
      </c>
      <c r="G12" s="126" t="str">
        <f>IFERROR(__xludf.DUMMYFUNCTION("FILTER('Armas do jogo'!E4:E658,'Armas do jogo'!B4:B658=G4)"),"Encontrar mágica")</f>
        <v>Encontrar mágica</v>
      </c>
      <c r="H12" s="126" t="str">
        <f>IFERROR(__xludf.DUMMYFUNCTION("FILTER('Armas do jogo'!E4:E658,'Armas do jogo'!B4:B658=H4)"),"Detectar segredo")</f>
        <v>Detectar segredo</v>
      </c>
      <c r="I12" s="126" t="str">
        <f>IFERROR(__xludf.DUMMYFUNCTION("FILTER('Armas do jogo'!E4:E658,'Armas do jogo'!B4:B658=I4)"),"Energético 3")</f>
        <v>Energético 3</v>
      </c>
      <c r="J12" s="126" t="str">
        <f>IFERROR(__xludf.DUMMYFUNCTION("FILTER('Armas do jogo'!E4:E658,'Armas do jogo'!B4:B658=J4)"),"Encontrar mágica")</f>
        <v>Encontrar mágica</v>
      </c>
      <c r="K12" s="126" t="str">
        <f>'Heróis'!B$17</f>
        <v>Cone-gélido</v>
      </c>
      <c r="L12" s="126" t="str">
        <f>'Heróis'!$B$18</f>
        <v>Arquimago 1</v>
      </c>
      <c r="M12" s="126" t="str">
        <f>'Heróis'!$B$19</f>
        <v>Reviver 1</v>
      </c>
      <c r="N12" s="110"/>
    </row>
    <row r="13">
      <c r="C13" s="125" t="str">
        <f t="shared" si="1"/>
        <v>Karal</v>
      </c>
      <c r="D13" s="126" t="str">
        <f>IFERROR(__xludf.DUMMYFUNCTION("FILTER('Armas do jogo'!E5:E659,'Armas do jogo'!B5:B659=D5)"),"Energético 3")</f>
        <v>Energético 3</v>
      </c>
      <c r="E13" s="126" t="str">
        <f>IFERROR(__xludf.DUMMYFUNCTION("FILTER('Armas do jogo'!E5:E659,'Armas do jogo'!B5:B659=E5)"),"Encontrar mágica")</f>
        <v>Encontrar mágica</v>
      </c>
      <c r="F13" s="126" t="str">
        <f>IFERROR(__xludf.DUMMYFUNCTION("FILTER('Armas do jogo'!E5:E659,'Armas do jogo'!B5:B659=F5)"),"Reviver 2")</f>
        <v>Reviver 2</v>
      </c>
      <c r="G13" s="126" t="str">
        <f>IFERROR(__xludf.DUMMYFUNCTION("FILTER('Armas do jogo'!E5:E659,'Armas do jogo'!B5:B659=G5)"),"Encontrar mágica")</f>
        <v>Encontrar mágica</v>
      </c>
      <c r="H13" s="126" t="str">
        <f>IFERROR(__xludf.DUMMYFUNCTION("FILTER('Armas do jogo'!E5:E659,'Armas do jogo'!B5:B659=H5)"),"Reviver 2")</f>
        <v>Reviver 2</v>
      </c>
      <c r="I13" s="126" t="str">
        <f>IFERROR(__xludf.DUMMYFUNCTION("FILTER('Armas do jogo'!E5:E659,'Armas do jogo'!B5:B659=I5)"),"Reviver 2")</f>
        <v>Reviver 2</v>
      </c>
      <c r="J13" s="126" t="str">
        <f>IFERROR(__xludf.DUMMYFUNCTION("FILTER('Armas do jogo'!E5:E659,'Armas do jogo'!B5:B659=J5)"),"Encontrar mágica")</f>
        <v>Encontrar mágica</v>
      </c>
      <c r="K13" s="126" t="str">
        <f>'Heróis'!C$17</f>
        <v>Esmagar</v>
      </c>
      <c r="L13" s="126" t="str">
        <f>'Heróis'!$C$18</f>
        <v>Resistente 1</v>
      </c>
      <c r="M13" s="126" t="str">
        <f>'Heróis'!$C$19</f>
        <v>Amazona 1</v>
      </c>
      <c r="N13" s="110"/>
    </row>
    <row r="14">
      <c r="C14" s="125" t="str">
        <f t="shared" si="1"/>
        <v>Theor</v>
      </c>
      <c r="D14" s="126" t="str">
        <f>IFERROR(__xludf.DUMMYFUNCTION("FILTER('Armas do jogo'!E6:E660,'Armas do jogo'!B6:B660=D6)"),"Energético 3")</f>
        <v>Energético 3</v>
      </c>
      <c r="E14" s="126" t="str">
        <f>IFERROR(__xludf.DUMMYFUNCTION("FILTER('Armas do jogo'!E6:E660,'Armas do jogo'!B6:B660=E6)"),"Encontrar mágica")</f>
        <v>Encontrar mágica</v>
      </c>
      <c r="F14" s="126" t="str">
        <f>IFERROR(__xludf.DUMMYFUNCTION("FILTER('Armas do jogo'!E6:E660,'Armas do jogo'!B6:B660=F6)"),"Reviver 2")</f>
        <v>Reviver 2</v>
      </c>
      <c r="G14" s="126" t="str">
        <f>IFERROR(__xludf.DUMMYFUNCTION("FILTER('Armas do jogo'!E6:E660,'Armas do jogo'!B6:B660=G6)"),"Encontrar mágica")</f>
        <v>Encontrar mágica</v>
      </c>
      <c r="H14" s="126" t="str">
        <f>IFERROR(__xludf.DUMMYFUNCTION("FILTER('Armas do jogo'!E6:E660,'Armas do jogo'!B6:B660=H6)"),"Reviver 2")</f>
        <v>Reviver 2</v>
      </c>
      <c r="I14" s="126" t="str">
        <f>IFERROR(__xludf.DUMMYFUNCTION("FILTER('Armas do jogo'!E6:E660,'Armas do jogo'!B6:B660=I6)"),"Encontrar mágica")</f>
        <v>Encontrar mágica</v>
      </c>
      <c r="J14" s="126" t="str">
        <f>IFERROR(__xludf.DUMMYFUNCTION("FILTER('Armas do jogo'!E6:E660,'Armas do jogo'!B6:B660=J6)"),"Encontrar mágica")</f>
        <v>Encontrar mágica</v>
      </c>
      <c r="K14" s="126" t="str">
        <f>'Heróis'!D$17</f>
        <v>Cortar</v>
      </c>
      <c r="L14" s="126" t="str">
        <f>'Heróis'!$D$18</f>
        <v>Energético 1</v>
      </c>
      <c r="M14" s="126" t="str">
        <f>'Heróis'!$D$19</f>
        <v>Companheiro de Guerra 1</v>
      </c>
      <c r="N14" s="110"/>
    </row>
    <row r="15">
      <c r="C15" s="125" t="str">
        <f t="shared" si="1"/>
        <v>Melina</v>
      </c>
      <c r="D15" s="126" t="str">
        <f>IFERROR(__xludf.DUMMYFUNCTION("FILTER('Armas do jogo'!E7:E661,'Armas do jogo'!B7:B661=D7)"),"Energético 3")</f>
        <v>Energético 3</v>
      </c>
      <c r="E15" s="126" t="str">
        <f>IFERROR(__xludf.DUMMYFUNCTION("FILTER('Armas do jogo'!E7:E661,'Armas do jogo'!B7:B661=E7)"),"Reviver 3")</f>
        <v>Reviver 3</v>
      </c>
      <c r="F15" s="126" t="str">
        <f>IFERROR(__xludf.DUMMYFUNCTION("FILTER('Armas do jogo'!E7:E661,'Armas do jogo'!B7:B661=F7)"),"Encontrar mágica")</f>
        <v>Encontrar mágica</v>
      </c>
      <c r="G15" s="126" t="str">
        <f>IFERROR(__xludf.DUMMYFUNCTION("FILTER('Armas do jogo'!E7:E661,'Armas do jogo'!B7:B661=G7)"),"Encontrar mágica")</f>
        <v>Encontrar mágica</v>
      </c>
      <c r="H15" s="126" t="str">
        <f>IFERROR(__xludf.DUMMYFUNCTION("FILTER('Armas do jogo'!E7:E661,'Armas do jogo'!B7:B661=H7)"),"Detectar segredo")</f>
        <v>Detectar segredo</v>
      </c>
      <c r="I15" s="126" t="str">
        <f>IFERROR(__xludf.DUMMYFUNCTION("FILTER('Armas do jogo'!E7:E661,'Armas do jogo'!B7:B661=I7)"),"Engenhoso 3")</f>
        <v>Engenhoso 3</v>
      </c>
      <c r="J15" s="126" t="str">
        <f>IFERROR(__xludf.DUMMYFUNCTION("FILTER('Armas do jogo'!E7:E661,'Armas do jogo'!B7:B661=J7)"),"Encontrar mágica")</f>
        <v>Encontrar mágica</v>
      </c>
      <c r="K15" s="126" t="str">
        <f>'Heróis'!E$17</f>
        <v>Bola de fogo</v>
      </c>
      <c r="L15" s="126" t="str">
        <f>'Heróis'!$E$18</f>
        <v>Sábio 1</v>
      </c>
      <c r="M15" s="126" t="str">
        <f>'Heróis'!$E$19</f>
        <v>Velocista 1</v>
      </c>
      <c r="N15" s="110"/>
    </row>
    <row r="16">
      <c r="C16" s="125" t="str">
        <f t="shared" si="1"/>
        <v/>
      </c>
      <c r="D16" s="126" t="str">
        <f>IFERROR(__xludf.DUMMYFUNCTION("FILTER('Armas do jogo'!E8:E662,'Armas do jogo'!B8:B662=D8)"),"#REF!")</f>
        <v>#REF!</v>
      </c>
      <c r="E16" s="126" t="str">
        <f>IFERROR(__xludf.DUMMYFUNCTION("FILTER('Armas do jogo'!E8:E662,'Armas do jogo'!B8:B662=E8)"),"#REF!")</f>
        <v>#REF!</v>
      </c>
      <c r="F16" s="126" t="str">
        <f>IFERROR(__xludf.DUMMYFUNCTION("FILTER('Armas do jogo'!E8:E662,'Armas do jogo'!B8:B662=F8)"),"")</f>
        <v/>
      </c>
      <c r="G16" s="126" t="str">
        <f>IFERROR(__xludf.DUMMYFUNCTION("FILTER('Armas do jogo'!E8:E662,'Armas do jogo'!B8:B662=G8)"),"#REF!")</f>
        <v>#REF!</v>
      </c>
      <c r="H16" s="126" t="str">
        <f>IFERROR(__xludf.DUMMYFUNCTION("FILTER('Armas do jogo'!E8:E662,'Armas do jogo'!B8:B662=H8)"),"#REF!")</f>
        <v>#REF!</v>
      </c>
      <c r="I16" s="126" t="str">
        <f>IFERROR(__xludf.DUMMYFUNCTION("FILTER('Armas do jogo'!E8:E662,'Armas do jogo'!B8:B662=I8)"),"#REF!")</f>
        <v>#REF!</v>
      </c>
      <c r="J16" s="126" t="str">
        <f>IFERROR(__xludf.DUMMYFUNCTION("FILTER('Armas do jogo'!E8:E662,'Armas do jogo'!B8:B662=J8)"),"#REF!")</f>
        <v>#REF!</v>
      </c>
      <c r="K16" s="126" t="b">
        <f>'Heróis'!F$17</f>
        <v>0</v>
      </c>
      <c r="L16" s="126" t="str">
        <f>'Heróis'!$F$18</f>
        <v/>
      </c>
      <c r="M16" s="126" t="str">
        <f>'Heróis'!$F$19</f>
        <v/>
      </c>
      <c r="N16" s="110"/>
    </row>
    <row r="17"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>
      <c r="C18" s="114" t="s">
        <v>809</v>
      </c>
      <c r="D18" s="114" t="s">
        <v>810</v>
      </c>
      <c r="E18" s="120" t="s">
        <v>811</v>
      </c>
      <c r="F18" s="110"/>
      <c r="G18" s="110"/>
      <c r="H18" s="110"/>
      <c r="I18" s="110"/>
      <c r="J18" s="110"/>
      <c r="K18" s="110"/>
      <c r="L18" s="110"/>
      <c r="M18" s="110"/>
      <c r="N18" s="110"/>
    </row>
    <row r="19">
      <c r="C19" s="128" t="str">
        <f>IFERROR(__xludf.DUMMYFUNCTION("UNIQUE(sort(filter(Skills!I:I,Skills!I:I&lt;&gt;""""),1,true))"),"Amazona 1")</f>
        <v>Amazona 1</v>
      </c>
      <c r="D19" s="129">
        <f t="shared" ref="D19:D60" si="2">COUNTIF($D$11:$M$16,C19)</f>
        <v>1</v>
      </c>
      <c r="E19" s="130" t="str">
        <f>if(C19="Detectar Segredo", SUMIF(C19,Habilidades!$A$11,D19) * SUMIF(C19,Habilidades!$A$11,Habilidades!$B$11), if(C19="Encontrar mágica", SUMIF(C19,Habilidades!$A$12,D19) * SUMIF(C19,Habilidades!$A$12,Habilidades!$B$12), if(C19="Cuidadoso 1", SUMIF(C19,Habilidades!$A$22,D19) * SUMIF(C19,Habilidades!$A$22,Habilidades!$B$22), if(C19="Cuidadoso 2", SUMIF(C19,Habilidades!$A$23,D33) * SUMIF(C19,Habilidades!$A$23,Habilidades!$B$23), if(C19="Cuidadoso 3", SUMIF(C19,Habilidades!$A$24,D19) * SUMIF(C19,Habilidades!$A$24,Habilidades!$B$24), if(C19="Ganancioso 1", SUMIF(C19,Habilidades!$A$25,D19) * SUMIF(C19,Habilidades!$A$25,Habilidades!$B$25), if(C19="Ganancioso 2", SUMIF(C19,Habilidades!$A$26,D19) * SUMIF(C19,Habilidades!$A$26,Habilidades!$B$26), if(C19="Ganancioso 3", SUMIF(C19,Habilidades!$A$27,D19) * SUMIF(C19,Habilidades!$A$27,Habilidades!$B$27), if(C19="Curandeiro 1", SUMIF(C19,Habilidades!$A$28,D19) * SUMIF(C19,Habilidades!$A$28,Habilidades!$B$28), if(C19="Curandeiro 2", SUMIF(C19,Habilidades!$A$29,D19) * SUMIF(C19,Habilidades!$A$29,Habilidades!$B$29), if(C19="Curandeiro 3", SUMIF(C19,Habilidades!$A$30,D19) * SUMIF(C19,Habilidades!$A$30,Habilidades!$B$30), if(C19="Sortudo 1", SUMIF(C19,Habilidades!$A$31,D19) * SUMIF(C19,Habilidades!$A$31,Habilidades!$B$31), if(C19="Sortudo 2", SUMIF(C19,Habilidades!$A$32,D19) * SUMIF(C19,Habilidades!$A$32,Habilidades!$B$32), if(C19="Sortudo 3", SUMIF(C19,Habilidades!$A$33,D19) * SUMIF(C19,Habilidades!$A$33,Habilidades!$B$33), if(C19="Protetor 1", SUMIF(C19,Habilidades!$A$34,D19) * SUMIF(C19,Habilidades!$A$34,Habilidades!$B$34), if(C19="Protetor 2", SUMIF(C19,Habilidades!$A$35,D19) * SUMIF(C19,Habilidades!$A$35,Habilidades!$B$35), if(C19="Protetor 3", SUMIF(C19,Habilidades!$A$36,D19) * SUMIF(C19,Habilidades!$A$36,Habilidades!$B$36), if(C19="Engenhoso 1", SUMIF(C19,Habilidades!$A$40,D19) * SUMIF(C19,Habilidades!$A$40,Habilidades!$B$40), if(C19="Engenhoso 2", SUMIF(C19,Habilidades!$A$41,D19) * SUMIF(C19,Habilidades!$A$41,Habilidades!$B$41), if(C19="Engenhoso 3", SUMIF(C19,Habilidades!$A$42,D19) * SUMIF(C19,Habilidades!$A$42,Habilidades!$B$42), if(C19="Reviver 1", SUMIF(C19,Habilidades!$A$43,D19) * SUMIF(C19,Habilidades!$A$43,Habilidades!$B$43), if(C19="Reviver 2", SUMIF(C19,Habilidades!$A$44,D19) * SUMIF(C19,Habilidades!$A$44,Habilidades!$B$44), if(C19="Reviver 3", SUMIF(C19,Habilidades!$A$45,D19) * SUMIF(C19,Habilidades!$A$45,Habilidades!$B$45), if(C19="Catador 1", SUMIF(C19,Habilidades!$A$46,D19) * SUMIF(C19,Habilidades!$A$46,Habilidades!$B$46), if(C19="Catador 2", SUMIF(C19,Habilidades!$A$47,D19) * SUMIF(C19,Habilidades!$A$47,Habilidades!$B$47), if(C19="Catador 3", SUMIF(C19,Habilidades!$A$48,D19) * SUMIF(C19,Habilidades!$A$48,Habilidades!$B$48), if(C19="Fornecedor 1", SUMIF(C19,Habilidades!$A$49,D19) * SUMIF(C19,Habilidades!$A$49,Habilidades!$B$49), if(C19="Fornecedor 2", SUMIF(C19,Habilidades!$A$50,D19) * SUMIF(C19,Habilidades!$A$50,Habilidades!$B$50), if(C19="Fornecedor 3", SUMIF(C19,Habilidades!$A$51,D19) * SUMIF(C19,Habilidades!$A$51,Habilidades!$B$51), if(C19="Suporte 1", SUMIF(C19,Habilidades!$A$52,D19) * SUMIF(C19,Habilidades!$A$52,Habilidades!$B$52), if(C19="Suporte 2", SUMIF(C19,Habilidades!$A$53,D19) * SUMIF(C19,Habilidades!$A$53,Habilidades!$B$53), if(C19="Suporte 3", SUMIF(C19,Habilidades!$A$54,D19) * SUMIF(C19,Habilidades!$A$54,Habilidades!$B$54), if(C19="Caça-tesouros 1", SUMIF(C19,Habilidades!$A$55,D19) * SUMIF(C19,Habilidades!$A$55,Habilidades!$B$55), if(C19="Caça-tesouros 2", SUMIF(C19,Habilidades!$A$56,D19) * SUMIF(C19,Habilidades!$A$56,Habilidades!$B$56), if(C19="Caça-tesouros 3", SUMIF(C19,Habilidades!$A$57,D19) * SUMIF(C19,Habilidades!$A$57,Habilidades!$B$57), if(C19="Velocista 1", SUMIF(C19,Habilidades!$A$77,D19) * SUMIF(C19,Habilidades!$A$77,Habilidades!$B$77), if(C19="Velocista 2", SUMIF(C19,Habilidades!$A$78,D19) * SUMIF(C19,Habilidades!$A$78,Habilidades!$B$78), if(C19="Velocista 3", SUMIF(C19,Habilidades!$A$79,D19) * SUMIF(C19,Habilidades!$A$79,Habilidades!$B$79), "-"))))))))))))))))))))))))))))))))))))))</f>
        <v>-</v>
      </c>
      <c r="F19" s="110"/>
      <c r="G19" s="131" t="s">
        <v>812</v>
      </c>
      <c r="H19" s="131" t="s">
        <v>813</v>
      </c>
      <c r="I19" s="131" t="s">
        <v>814</v>
      </c>
      <c r="J19" s="131" t="s">
        <v>815</v>
      </c>
      <c r="K19" s="132" t="s">
        <v>816</v>
      </c>
      <c r="L19" s="124"/>
      <c r="M19" s="110"/>
      <c r="N19" s="110"/>
    </row>
    <row r="20">
      <c r="C20" s="133" t="str">
        <f>IFERROR(__xludf.DUMMYFUNCTION("""COMPUTED_VALUE"""),"Arquimago 1")</f>
        <v>Arquimago 1</v>
      </c>
      <c r="D20" s="129">
        <f t="shared" si="2"/>
        <v>1</v>
      </c>
      <c r="E20" s="130" t="str">
        <f>if(C20="Detectar Segredo", SUMIF(C20,Habilidades!$A$11,D20) * SUMIF(C20,Habilidades!$A$11,Habilidades!$B$11), if(C20="Encontrar mágica", SUMIF(C20,Habilidades!$A$12,D20) * SUMIF(C20,Habilidades!$A$12,Habilidades!$B$12), if(C20="Cuidadoso 1", SUMIF(C20,Habilidades!$A$22,D20) * SUMIF(C20,Habilidades!$A$22,Habilidades!$B$22), if(C20="Cuidadoso 2", SUMIF(C20,Habilidades!$A$23,D34) * SUMIF(C20,Habilidades!$A$23,Habilidades!$B$23), if(C20="Cuidadoso 3", SUMIF(C20,Habilidades!$A$24,D20) * SUMIF(C20,Habilidades!$A$24,Habilidades!$B$24), if(C20="Ganancioso 1", SUMIF(C20,Habilidades!$A$25,D20) * SUMIF(C20,Habilidades!$A$25,Habilidades!$B$25), if(C20="Ganancioso 2", SUMIF(C20,Habilidades!$A$26,D20) * SUMIF(C20,Habilidades!$A$26,Habilidades!$B$26), if(C20="Ganancioso 3", SUMIF(C20,Habilidades!$A$27,D20) * SUMIF(C20,Habilidades!$A$27,Habilidades!$B$27), if(C20="Curandeiro 1", SUMIF(C20,Habilidades!$A$28,D20) * SUMIF(C20,Habilidades!$A$28,Habilidades!$B$28), if(C20="Curandeiro 2", SUMIF(C20,Habilidades!$A$29,D20) * SUMIF(C20,Habilidades!$A$29,Habilidades!$B$29), if(C20="Curandeiro 3", SUMIF(C20,Habilidades!$A$30,D20) * SUMIF(C20,Habilidades!$A$30,Habilidades!$B$30), if(C20="Sortudo 1", SUMIF(C20,Habilidades!$A$31,D20) * SUMIF(C20,Habilidades!$A$31,Habilidades!$B$31), if(C20="Sortudo 2", SUMIF(C20,Habilidades!$A$32,D20) * SUMIF(C20,Habilidades!$A$32,Habilidades!$B$32), if(C20="Sortudo 3", SUMIF(C20,Habilidades!$A$33,D20) * SUMIF(C20,Habilidades!$A$33,Habilidades!$B$33), if(C20="Protetor 1", SUMIF(C20,Habilidades!$A$34,D20) * SUMIF(C20,Habilidades!$A$34,Habilidades!$B$34), if(C20="Protetor 2", SUMIF(C20,Habilidades!$A$35,D20) * SUMIF(C20,Habilidades!$A$35,Habilidades!$B$35), if(C20="Protetor 3", SUMIF(C20,Habilidades!$A$36,D20) * SUMIF(C20,Habilidades!$A$36,Habilidades!$B$36), if(C20="Engenhoso 1", SUMIF(C20,Habilidades!$A$40,D20) * SUMIF(C20,Habilidades!$A$40,Habilidades!$B$40), if(C20="Engenhoso 2", SUMIF(C20,Habilidades!$A$41,D20) * SUMIF(C20,Habilidades!$A$41,Habilidades!$B$41), if(C20="Engenhoso 3", SUMIF(C20,Habilidades!$A$42,D20) * SUMIF(C20,Habilidades!$A$42,Habilidades!$B$42), if(C20="Reviver 1", SUMIF(C20,Habilidades!$A$43,D20) * SUMIF(C20,Habilidades!$A$43,Habilidades!$B$43), if(C20="Reviver 2", SUMIF(C20,Habilidades!$A$44,D20) * SUMIF(C20,Habilidades!$A$44,Habilidades!$B$44), if(C20="Reviver 3", SUMIF(C20,Habilidades!$A$45,D20) * SUMIF(C20,Habilidades!$A$45,Habilidades!$B$45), if(C20="Catador 1", SUMIF(C20,Habilidades!$A$46,D20) * SUMIF(C20,Habilidades!$A$46,Habilidades!$B$46), if(C20="Catador 2", SUMIF(C20,Habilidades!$A$47,D20) * SUMIF(C20,Habilidades!$A$47,Habilidades!$B$47), if(C20="Catador 3", SUMIF(C20,Habilidades!$A$48,D20) * SUMIF(C20,Habilidades!$A$48,Habilidades!$B$48), if(C20="Fornecedor 1", SUMIF(C20,Habilidades!$A$49,D20) * SUMIF(C20,Habilidades!$A$49,Habilidades!$B$49), if(C20="Fornecedor 2", SUMIF(C20,Habilidades!$A$50,D20) * SUMIF(C20,Habilidades!$A$50,Habilidades!$B$50), if(C20="Fornecedor 3", SUMIF(C20,Habilidades!$A$51,D20) * SUMIF(C20,Habilidades!$A$51,Habilidades!$B$51), if(C20="Suporte 1", SUMIF(C20,Habilidades!$A$52,D20) * SUMIF(C20,Habilidades!$A$52,Habilidades!$B$52), if(C20="Suporte 2", SUMIF(C20,Habilidades!$A$53,D20) * SUMIF(C20,Habilidades!$A$53,Habilidades!$B$53), if(C20="Suporte 3", SUMIF(C20,Habilidades!$A$54,D20) * SUMIF(C20,Habilidades!$A$54,Habilidades!$B$54), if(C20="Caça-tesouros 1", SUMIF(C20,Habilidades!$A$55,D20) * SUMIF(C20,Habilidades!$A$55,Habilidades!$B$55), if(C20="Caça-tesouros 2", SUMIF(C20,Habilidades!$A$56,D20) * SUMIF(C20,Habilidades!$A$56,Habilidades!$B$56), if(C20="Caça-tesouros 3", SUMIF(C20,Habilidades!$A$57,D20) * SUMIF(C20,Habilidades!$A$57,Habilidades!$B$57), if(C20="Velocista 1", SUMIF(C20,Habilidades!$A$77,D20) * SUMIF(C20,Habilidades!$A$77,Habilidades!$B$77), if(C20="Velocista 2", SUMIF(C20,Habilidades!$A$78,D20) * SUMIF(C20,Habilidades!$A$78,Habilidades!$B$78), if(C20="Velocista 3", SUMIF(C20,Habilidades!$A$79,D20) * SUMIF(C20,Habilidades!$A$79,Habilidades!$B$79), "-"))))))))))))))))))))))))))))))))))))))</f>
        <v>-</v>
      </c>
      <c r="F20" s="110"/>
      <c r="G20" s="130">
        <f>SUMIF(C19:C70, "*Detectar*", E19:E52) + SUMIF(C19:C52, "*Encontrar*", E19:E52)</f>
        <v>216</v>
      </c>
      <c r="H20" s="130">
        <f>SUMIF(C19:C70, "*Velocista*", E19:E60)</f>
        <v>110</v>
      </c>
      <c r="I20" s="130">
        <f>SUMIF(C19:C70, "*Reviver*", E19:E46)</f>
        <v>100</v>
      </c>
      <c r="J20" s="131">
        <f>SUMIF(C19:C70, "*Suporte*", E19:E60) + SUMIF(C19:C60, "*Engenhoso*", E19:E60)</f>
        <v>3</v>
      </c>
      <c r="K20" s="134">
        <f>if(G20 &gt; 0, sum(10+G20), 0)</f>
        <v>226</v>
      </c>
      <c r="L20" s="124"/>
      <c r="M20" s="110"/>
      <c r="N20" s="110"/>
    </row>
    <row r="21">
      <c r="C21" s="133" t="str">
        <f>IFERROR(__xludf.DUMMYFUNCTION("""COMPUTED_VALUE"""),"Bola de fogo")</f>
        <v>Bola de fogo</v>
      </c>
      <c r="D21" s="129">
        <f t="shared" si="2"/>
        <v>1</v>
      </c>
      <c r="E21" s="130" t="str">
        <f>if(C21="Detectar Segredo", SUMIF(C21,Habilidades!$A$11,D21) * SUMIF(C21,Habilidades!$A$11,Habilidades!$B$11), if(C21="Encontrar mágica", SUMIF(C21,Habilidades!$A$12,D21) * SUMIF(C21,Habilidades!$A$12,Habilidades!$B$12), if(C21="Cuidadoso 1", SUMIF(C21,Habilidades!$A$22,D21) * SUMIF(C21,Habilidades!$A$22,Habilidades!$B$22), if(C21="Cuidadoso 2", SUMIF(C21,Habilidades!$A$23,D35) * SUMIF(C21,Habilidades!$A$23,Habilidades!$B$23), if(C21="Cuidadoso 3", SUMIF(C21,Habilidades!$A$24,D21) * SUMIF(C21,Habilidades!$A$24,Habilidades!$B$24), if(C21="Ganancioso 1", SUMIF(C21,Habilidades!$A$25,D21) * SUMIF(C21,Habilidades!$A$25,Habilidades!$B$25), if(C21="Ganancioso 2", SUMIF(C21,Habilidades!$A$26,D21) * SUMIF(C21,Habilidades!$A$26,Habilidades!$B$26), if(C21="Ganancioso 3", SUMIF(C21,Habilidades!$A$27,D21) * SUMIF(C21,Habilidades!$A$27,Habilidades!$B$27), if(C21="Curandeiro 1", SUMIF(C21,Habilidades!$A$28,D21) * SUMIF(C21,Habilidades!$A$28,Habilidades!$B$28), if(C21="Curandeiro 2", SUMIF(C21,Habilidades!$A$29,D21) * SUMIF(C21,Habilidades!$A$29,Habilidades!$B$29), if(C21="Curandeiro 3", SUMIF(C21,Habilidades!$A$30,D21) * SUMIF(C21,Habilidades!$A$30,Habilidades!$B$30), if(C21="Sortudo 1", SUMIF(C21,Habilidades!$A$31,D21) * SUMIF(C21,Habilidades!$A$31,Habilidades!$B$31), if(C21="Sortudo 2", SUMIF(C21,Habilidades!$A$32,D21) * SUMIF(C21,Habilidades!$A$32,Habilidades!$B$32), if(C21="Sortudo 3", SUMIF(C21,Habilidades!$A$33,D21) * SUMIF(C21,Habilidades!$A$33,Habilidades!$B$33), if(C21="Protetor 1", SUMIF(C21,Habilidades!$A$34,D21) * SUMIF(C21,Habilidades!$A$34,Habilidades!$B$34), if(C21="Protetor 2", SUMIF(C21,Habilidades!$A$35,D21) * SUMIF(C21,Habilidades!$A$35,Habilidades!$B$35), if(C21="Protetor 3", SUMIF(C21,Habilidades!$A$36,D21) * SUMIF(C21,Habilidades!$A$36,Habilidades!$B$36), if(C21="Engenhoso 1", SUMIF(C21,Habilidades!$A$40,D21) * SUMIF(C21,Habilidades!$A$40,Habilidades!$B$40), if(C21="Engenhoso 2", SUMIF(C21,Habilidades!$A$41,D21) * SUMIF(C21,Habilidades!$A$41,Habilidades!$B$41), if(C21="Engenhoso 3", SUMIF(C21,Habilidades!$A$42,D21) * SUMIF(C21,Habilidades!$A$42,Habilidades!$B$42), if(C21="Reviver 1", SUMIF(C21,Habilidades!$A$43,D21) * SUMIF(C21,Habilidades!$A$43,Habilidades!$B$43), if(C21="Reviver 2", SUMIF(C21,Habilidades!$A$44,D21) * SUMIF(C21,Habilidades!$A$44,Habilidades!$B$44), if(C21="Reviver 3", SUMIF(C21,Habilidades!$A$45,D21) * SUMIF(C21,Habilidades!$A$45,Habilidades!$B$45), if(C21="Catador 1", SUMIF(C21,Habilidades!$A$46,D21) * SUMIF(C21,Habilidades!$A$46,Habilidades!$B$46), if(C21="Catador 2", SUMIF(C21,Habilidades!$A$47,D21) * SUMIF(C21,Habilidades!$A$47,Habilidades!$B$47), if(C21="Catador 3", SUMIF(C21,Habilidades!$A$48,D21) * SUMIF(C21,Habilidades!$A$48,Habilidades!$B$48), if(C21="Fornecedor 1", SUMIF(C21,Habilidades!$A$49,D21) * SUMIF(C21,Habilidades!$A$49,Habilidades!$B$49), if(C21="Fornecedor 2", SUMIF(C21,Habilidades!$A$50,D21) * SUMIF(C21,Habilidades!$A$50,Habilidades!$B$50), if(C21="Fornecedor 3", SUMIF(C21,Habilidades!$A$51,D21) * SUMIF(C21,Habilidades!$A$51,Habilidades!$B$51), if(C21="Suporte 1", SUMIF(C21,Habilidades!$A$52,D21) * SUMIF(C21,Habilidades!$A$52,Habilidades!$B$52), if(C21="Suporte 2", SUMIF(C21,Habilidades!$A$53,D21) * SUMIF(C21,Habilidades!$A$53,Habilidades!$B$53), if(C21="Suporte 3", SUMIF(C21,Habilidades!$A$54,D21) * SUMIF(C21,Habilidades!$A$54,Habilidades!$B$54), if(C21="Caça-tesouros 1", SUMIF(C21,Habilidades!$A$55,D21) * SUMIF(C21,Habilidades!$A$55,Habilidades!$B$55), if(C21="Caça-tesouros 2", SUMIF(C21,Habilidades!$A$56,D21) * SUMIF(C21,Habilidades!$A$56,Habilidades!$B$56), if(C21="Caça-tesouros 3", SUMIF(C21,Habilidades!$A$57,D21) * SUMIF(C21,Habilidades!$A$57,Habilidades!$B$57), if(C21="Velocista 1", SUMIF(C21,Habilidades!$A$77,D21) * SUMIF(C21,Habilidades!$A$77,Habilidades!$B$77), if(C21="Velocista 2", SUMIF(C21,Habilidades!$A$78,D21) * SUMIF(C21,Habilidades!$A$78,Habilidades!$B$78), if(C21="Velocista 3", SUMIF(C21,Habilidades!$A$79,D21) * SUMIF(C21,Habilidades!$A$79,Habilidades!$B$79), "-"))))))))))))))))))))))))))))))))))))))</f>
        <v>-</v>
      </c>
      <c r="F21" s="135"/>
      <c r="G21" s="136"/>
      <c r="H21" s="136"/>
      <c r="I21" s="136"/>
      <c r="J21" s="136"/>
      <c r="K21" s="137"/>
      <c r="L21" s="137"/>
      <c r="M21" s="110"/>
      <c r="N21" s="110"/>
    </row>
    <row r="22">
      <c r="C22" s="133" t="str">
        <f>IFERROR(__xludf.DUMMYFUNCTION("""COMPUTED_VALUE"""),"Caça-tesouros 2")</f>
        <v>Caça-tesouros 2</v>
      </c>
      <c r="D22" s="129">
        <f t="shared" si="2"/>
        <v>1</v>
      </c>
      <c r="E22" s="130">
        <f>if(C22="Detectar Segredo", SUMIF(C22,Habilidades!$A$11,D22) * SUMIF(C22,Habilidades!$A$11,Habilidades!$B$11), if(C22="Encontrar mágica", SUMIF(C22,Habilidades!$A$12,D22) * SUMIF(C22,Habilidades!$A$12,Habilidades!$B$12), if(C22="Cuidadoso 1", SUMIF(C22,Habilidades!$A$22,D22) * SUMIF(C22,Habilidades!$A$22,Habilidades!$B$22), if(C22="Cuidadoso 2", SUMIF(C22,Habilidades!$A$23,D36) * SUMIF(C22,Habilidades!$A$23,Habilidades!$B$23), if(C22="Cuidadoso 3", SUMIF(C22,Habilidades!$A$24,D22) * SUMIF(C22,Habilidades!$A$24,Habilidades!$B$24), if(C22="Ganancioso 1", SUMIF(C22,Habilidades!$A$25,D22) * SUMIF(C22,Habilidades!$A$25,Habilidades!$B$25), if(C22="Ganancioso 2", SUMIF(C22,Habilidades!$A$26,D22) * SUMIF(C22,Habilidades!$A$26,Habilidades!$B$26), if(C22="Ganancioso 3", SUMIF(C22,Habilidades!$A$27,D22) * SUMIF(C22,Habilidades!$A$27,Habilidades!$B$27), if(C22="Curandeiro 1", SUMIF(C22,Habilidades!$A$28,D22) * SUMIF(C22,Habilidades!$A$28,Habilidades!$B$28), if(C22="Curandeiro 2", SUMIF(C22,Habilidades!$A$29,D22) * SUMIF(C22,Habilidades!$A$29,Habilidades!$B$29), if(C22="Curandeiro 3", SUMIF(C22,Habilidades!$A$30,D22) * SUMIF(C22,Habilidades!$A$30,Habilidades!$B$30), if(C22="Sortudo 1", SUMIF(C22,Habilidades!$A$31,D22) * SUMIF(C22,Habilidades!$A$31,Habilidades!$B$31), if(C22="Sortudo 2", SUMIF(C22,Habilidades!$A$32,D22) * SUMIF(C22,Habilidades!$A$32,Habilidades!$B$32), if(C22="Sortudo 3", SUMIF(C22,Habilidades!$A$33,D22) * SUMIF(C22,Habilidades!$A$33,Habilidades!$B$33), if(C22="Protetor 1", SUMIF(C22,Habilidades!$A$34,D22) * SUMIF(C22,Habilidades!$A$34,Habilidades!$B$34), if(C22="Protetor 2", SUMIF(C22,Habilidades!$A$35,D22) * SUMIF(C22,Habilidades!$A$35,Habilidades!$B$35), if(C22="Protetor 3", SUMIF(C22,Habilidades!$A$36,D22) * SUMIF(C22,Habilidades!$A$36,Habilidades!$B$36), if(C22="Engenhoso 1", SUMIF(C22,Habilidades!$A$40,D22) * SUMIF(C22,Habilidades!$A$40,Habilidades!$B$40), if(C22="Engenhoso 2", SUMIF(C22,Habilidades!$A$41,D22) * SUMIF(C22,Habilidades!$A$41,Habilidades!$B$41), if(C22="Engenhoso 3", SUMIF(C22,Habilidades!$A$42,D22) * SUMIF(C22,Habilidades!$A$42,Habilidades!$B$42), if(C22="Reviver 1", SUMIF(C22,Habilidades!$A$43,D22) * SUMIF(C22,Habilidades!$A$43,Habilidades!$B$43), if(C22="Reviver 2", SUMIF(C22,Habilidades!$A$44,D22) * SUMIF(C22,Habilidades!$A$44,Habilidades!$B$44), if(C22="Reviver 3", SUMIF(C22,Habilidades!$A$45,D22) * SUMIF(C22,Habilidades!$A$45,Habilidades!$B$45), if(C22="Catador 1", SUMIF(C22,Habilidades!$A$46,D22) * SUMIF(C22,Habilidades!$A$46,Habilidades!$B$46), if(C22="Catador 2", SUMIF(C22,Habilidades!$A$47,D22) * SUMIF(C22,Habilidades!$A$47,Habilidades!$B$47), if(C22="Catador 3", SUMIF(C22,Habilidades!$A$48,D22) * SUMIF(C22,Habilidades!$A$48,Habilidades!$B$48), if(C22="Fornecedor 1", SUMIF(C22,Habilidades!$A$49,D22) * SUMIF(C22,Habilidades!$A$49,Habilidades!$B$49), if(C22="Fornecedor 2", SUMIF(C22,Habilidades!$A$50,D22) * SUMIF(C22,Habilidades!$A$50,Habilidades!$B$50), if(C22="Fornecedor 3", SUMIF(C22,Habilidades!$A$51,D22) * SUMIF(C22,Habilidades!$A$51,Habilidades!$B$51), if(C22="Suporte 1", SUMIF(C22,Habilidades!$A$52,D22) * SUMIF(C22,Habilidades!$A$52,Habilidades!$B$52), if(C22="Suporte 2", SUMIF(C22,Habilidades!$A$53,D22) * SUMIF(C22,Habilidades!$A$53,Habilidades!$B$53), if(C22="Suporte 3", SUMIF(C22,Habilidades!$A$54,D22) * SUMIF(C22,Habilidades!$A$54,Habilidades!$B$54), if(C22="Caça-tesouros 1", SUMIF(C22,Habilidades!$A$55,D22) * SUMIF(C22,Habilidades!$A$55,Habilidades!$B$55), if(C22="Caça-tesouros 2", SUMIF(C22,Habilidades!$A$56,D22) * SUMIF(C22,Habilidades!$A$56,Habilidades!$B$56), if(C22="Caça-tesouros 3", SUMIF(C22,Habilidades!$A$57,D22) * SUMIF(C22,Habilidades!$A$57,Habilidades!$B$57), if(C22="Velocista 1", SUMIF(C22,Habilidades!$A$77,D22) * SUMIF(C22,Habilidades!$A$77,Habilidades!$B$77), if(C22="Velocista 2", SUMIF(C22,Habilidades!$A$78,D22) * SUMIF(C22,Habilidades!$A$78,Habilidades!$B$78), if(C22="Velocista 3", SUMIF(C22,Habilidades!$A$79,D22) * SUMIF(C22,Habilidades!$A$79,Habilidades!$B$79), "-"))))))))))))))))))))))))))))))))))))))</f>
        <v>4</v>
      </c>
      <c r="F22" s="110"/>
      <c r="G22" s="138"/>
      <c r="H22" s="153"/>
      <c r="J22" s="139"/>
      <c r="K22" s="137"/>
      <c r="L22" s="137"/>
      <c r="M22" s="110"/>
      <c r="N22" s="110"/>
    </row>
    <row r="23">
      <c r="C23" s="133" t="str">
        <f>IFERROR(__xludf.DUMMYFUNCTION("""COMPUTED_VALUE"""),"Companheiro de Guerra 1")</f>
        <v>Companheiro de Guerra 1</v>
      </c>
      <c r="D23" s="129">
        <f t="shared" si="2"/>
        <v>1</v>
      </c>
      <c r="E23" s="130" t="str">
        <f>if(C23="Detectar Segredo", SUMIF(C23,Habilidades!$A$11,D23) * SUMIF(C23,Habilidades!$A$11,Habilidades!$B$11), if(C23="Encontrar mágica", SUMIF(C23,Habilidades!$A$12,D23) * SUMIF(C23,Habilidades!$A$12,Habilidades!$B$12), if(C23="Cuidadoso 1", SUMIF(C23,Habilidades!$A$22,D23) * SUMIF(C23,Habilidades!$A$22,Habilidades!$B$22), if(C23="Cuidadoso 2", SUMIF(C23,Habilidades!$A$23,D37) * SUMIF(C23,Habilidades!$A$23,Habilidades!$B$23), if(C23="Cuidadoso 3", SUMIF(C23,Habilidades!$A$24,D23) * SUMIF(C23,Habilidades!$A$24,Habilidades!$B$24), if(C23="Ganancioso 1", SUMIF(C23,Habilidades!$A$25,D23) * SUMIF(C23,Habilidades!$A$25,Habilidades!$B$25), if(C23="Ganancioso 2", SUMIF(C23,Habilidades!$A$26,D23) * SUMIF(C23,Habilidades!$A$26,Habilidades!$B$26), if(C23="Ganancioso 3", SUMIF(C23,Habilidades!$A$27,D23) * SUMIF(C23,Habilidades!$A$27,Habilidades!$B$27), if(C23="Curandeiro 1", SUMIF(C23,Habilidades!$A$28,D23) * SUMIF(C23,Habilidades!$A$28,Habilidades!$B$28), if(C23="Curandeiro 2", SUMIF(C23,Habilidades!$A$29,D23) * SUMIF(C23,Habilidades!$A$29,Habilidades!$B$29), if(C23="Curandeiro 3", SUMIF(C23,Habilidades!$A$30,D23) * SUMIF(C23,Habilidades!$A$30,Habilidades!$B$30), if(C23="Sortudo 1", SUMIF(C23,Habilidades!$A$31,D23) * SUMIF(C23,Habilidades!$A$31,Habilidades!$B$31), if(C23="Sortudo 2", SUMIF(C23,Habilidades!$A$32,D23) * SUMIF(C23,Habilidades!$A$32,Habilidades!$B$32), if(C23="Sortudo 3", SUMIF(C23,Habilidades!$A$33,D23) * SUMIF(C23,Habilidades!$A$33,Habilidades!$B$33), if(C23="Protetor 1", SUMIF(C23,Habilidades!$A$34,D23) * SUMIF(C23,Habilidades!$A$34,Habilidades!$B$34), if(C23="Protetor 2", SUMIF(C23,Habilidades!$A$35,D23) * SUMIF(C23,Habilidades!$A$35,Habilidades!$B$35), if(C23="Protetor 3", SUMIF(C23,Habilidades!$A$36,D23) * SUMIF(C23,Habilidades!$A$36,Habilidades!$B$36), if(C23="Engenhoso 1", SUMIF(C23,Habilidades!$A$40,D23) * SUMIF(C23,Habilidades!$A$40,Habilidades!$B$40), if(C23="Engenhoso 2", SUMIF(C23,Habilidades!$A$41,D23) * SUMIF(C23,Habilidades!$A$41,Habilidades!$B$41), if(C23="Engenhoso 3", SUMIF(C23,Habilidades!$A$42,D23) * SUMIF(C23,Habilidades!$A$42,Habilidades!$B$42), if(C23="Reviver 1", SUMIF(C23,Habilidades!$A$43,D23) * SUMIF(C23,Habilidades!$A$43,Habilidades!$B$43), if(C23="Reviver 2", SUMIF(C23,Habilidades!$A$44,D23) * SUMIF(C23,Habilidades!$A$44,Habilidades!$B$44), if(C23="Reviver 3", SUMIF(C23,Habilidades!$A$45,D23) * SUMIF(C23,Habilidades!$A$45,Habilidades!$B$45), if(C23="Catador 1", SUMIF(C23,Habilidades!$A$46,D23) * SUMIF(C23,Habilidades!$A$46,Habilidades!$B$46), if(C23="Catador 2", SUMIF(C23,Habilidades!$A$47,D23) * SUMIF(C23,Habilidades!$A$47,Habilidades!$B$47), if(C23="Catador 3", SUMIF(C23,Habilidades!$A$48,D23) * SUMIF(C23,Habilidades!$A$48,Habilidades!$B$48), if(C23="Fornecedor 1", SUMIF(C23,Habilidades!$A$49,D23) * SUMIF(C23,Habilidades!$A$49,Habilidades!$B$49), if(C23="Fornecedor 2", SUMIF(C23,Habilidades!$A$50,D23) * SUMIF(C23,Habilidades!$A$50,Habilidades!$B$50), if(C23="Fornecedor 3", SUMIF(C23,Habilidades!$A$51,D23) * SUMIF(C23,Habilidades!$A$51,Habilidades!$B$51), if(C23="Suporte 1", SUMIF(C23,Habilidades!$A$52,D23) * SUMIF(C23,Habilidades!$A$52,Habilidades!$B$52), if(C23="Suporte 2", SUMIF(C23,Habilidades!$A$53,D23) * SUMIF(C23,Habilidades!$A$53,Habilidades!$B$53), if(C23="Suporte 3", SUMIF(C23,Habilidades!$A$54,D23) * SUMIF(C23,Habilidades!$A$54,Habilidades!$B$54), if(C23="Caça-tesouros 1", SUMIF(C23,Habilidades!$A$55,D23) * SUMIF(C23,Habilidades!$A$55,Habilidades!$B$55), if(C23="Caça-tesouros 2", SUMIF(C23,Habilidades!$A$56,D23) * SUMIF(C23,Habilidades!$A$56,Habilidades!$B$56), if(C23="Caça-tesouros 3", SUMIF(C23,Habilidades!$A$57,D23) * SUMIF(C23,Habilidades!$A$57,Habilidades!$B$57), if(C23="Velocista 1", SUMIF(C23,Habilidades!$A$77,D23) * SUMIF(C23,Habilidades!$A$77,Habilidades!$B$77), if(C23="Velocista 2", SUMIF(C23,Habilidades!$A$78,D23) * SUMIF(C23,Habilidades!$A$78,Habilidades!$B$78), if(C23="Velocista 3", SUMIF(C23,Habilidades!$A$79,D23) * SUMIF(C23,Habilidades!$A$79,Habilidades!$B$79), "-"))))))))))))))))))))))))))))))))))))))</f>
        <v>-</v>
      </c>
      <c r="F23" s="110"/>
      <c r="G23" s="140"/>
      <c r="H23" s="136"/>
      <c r="J23" s="139"/>
      <c r="K23" s="137"/>
      <c r="L23" s="137"/>
      <c r="M23" s="110"/>
      <c r="N23" s="110"/>
    </row>
    <row r="24">
      <c r="C24" s="133" t="str">
        <f>IFERROR(__xludf.DUMMYFUNCTION("""COMPUTED_VALUE"""),"Cone-gélido")</f>
        <v>Cone-gélido</v>
      </c>
      <c r="D24" s="129">
        <f t="shared" si="2"/>
        <v>1</v>
      </c>
      <c r="E24" s="130" t="str">
        <f>if(C24="Detectar Segredo", SUMIF(C24,Habilidades!$A$11,D24) * SUMIF(C24,Habilidades!$A$11,Habilidades!$B$11), if(C24="Encontrar mágica", SUMIF(C24,Habilidades!$A$12,D24) * SUMIF(C24,Habilidades!$A$12,Habilidades!$B$12), if(C24="Cuidadoso 1", SUMIF(C24,Habilidades!$A$22,D24) * SUMIF(C24,Habilidades!$A$22,Habilidades!$B$22), if(C24="Cuidadoso 2", SUMIF(C24,Habilidades!$A$23,D38) * SUMIF(C24,Habilidades!$A$23,Habilidades!$B$23), if(C24="Cuidadoso 3", SUMIF(C24,Habilidades!$A$24,D24) * SUMIF(C24,Habilidades!$A$24,Habilidades!$B$24), if(C24="Ganancioso 1", SUMIF(C24,Habilidades!$A$25,D24) * SUMIF(C24,Habilidades!$A$25,Habilidades!$B$25), if(C24="Ganancioso 2", SUMIF(C24,Habilidades!$A$26,D24) * SUMIF(C24,Habilidades!$A$26,Habilidades!$B$26), if(C24="Ganancioso 3", SUMIF(C24,Habilidades!$A$27,D24) * SUMIF(C24,Habilidades!$A$27,Habilidades!$B$27), if(C24="Curandeiro 1", SUMIF(C24,Habilidades!$A$28,D24) * SUMIF(C24,Habilidades!$A$28,Habilidades!$B$28), if(C24="Curandeiro 2", SUMIF(C24,Habilidades!$A$29,D24) * SUMIF(C24,Habilidades!$A$29,Habilidades!$B$29), if(C24="Curandeiro 3", SUMIF(C24,Habilidades!$A$30,D24) * SUMIF(C24,Habilidades!$A$30,Habilidades!$B$30), if(C24="Sortudo 1", SUMIF(C24,Habilidades!$A$31,D24) * SUMIF(C24,Habilidades!$A$31,Habilidades!$B$31), if(C24="Sortudo 2", SUMIF(C24,Habilidades!$A$32,D24) * SUMIF(C24,Habilidades!$A$32,Habilidades!$B$32), if(C24="Sortudo 3", SUMIF(C24,Habilidades!$A$33,D24) * SUMIF(C24,Habilidades!$A$33,Habilidades!$B$33), if(C24="Protetor 1", SUMIF(C24,Habilidades!$A$34,D24) * SUMIF(C24,Habilidades!$A$34,Habilidades!$B$34), if(C24="Protetor 2", SUMIF(C24,Habilidades!$A$35,D24) * SUMIF(C24,Habilidades!$A$35,Habilidades!$B$35), if(C24="Protetor 3", SUMIF(C24,Habilidades!$A$36,D24) * SUMIF(C24,Habilidades!$A$36,Habilidades!$B$36), if(C24="Engenhoso 1", SUMIF(C24,Habilidades!$A$40,D24) * SUMIF(C24,Habilidades!$A$40,Habilidades!$B$40), if(C24="Engenhoso 2", SUMIF(C24,Habilidades!$A$41,D24) * SUMIF(C24,Habilidades!$A$41,Habilidades!$B$41), if(C24="Engenhoso 3", SUMIF(C24,Habilidades!$A$42,D24) * SUMIF(C24,Habilidades!$A$42,Habilidades!$B$42), if(C24="Reviver 1", SUMIF(C24,Habilidades!$A$43,D24) * SUMIF(C24,Habilidades!$A$43,Habilidades!$B$43), if(C24="Reviver 2", SUMIF(C24,Habilidades!$A$44,D24) * SUMIF(C24,Habilidades!$A$44,Habilidades!$B$44), if(C24="Reviver 3", SUMIF(C24,Habilidades!$A$45,D24) * SUMIF(C24,Habilidades!$A$45,Habilidades!$B$45), if(C24="Catador 1", SUMIF(C24,Habilidades!$A$46,D24) * SUMIF(C24,Habilidades!$A$46,Habilidades!$B$46), if(C24="Catador 2", SUMIF(C24,Habilidades!$A$47,D24) * SUMIF(C24,Habilidades!$A$47,Habilidades!$B$47), if(C24="Catador 3", SUMIF(C24,Habilidades!$A$48,D24) * SUMIF(C24,Habilidades!$A$48,Habilidades!$B$48), if(C24="Fornecedor 1", SUMIF(C24,Habilidades!$A$49,D24) * SUMIF(C24,Habilidades!$A$49,Habilidades!$B$49), if(C24="Fornecedor 2", SUMIF(C24,Habilidades!$A$50,D24) * SUMIF(C24,Habilidades!$A$50,Habilidades!$B$50), if(C24="Fornecedor 3", SUMIF(C24,Habilidades!$A$51,D24) * SUMIF(C24,Habilidades!$A$51,Habilidades!$B$51), if(C24="Suporte 1", SUMIF(C24,Habilidades!$A$52,D24) * SUMIF(C24,Habilidades!$A$52,Habilidades!$B$52), if(C24="Suporte 2", SUMIF(C24,Habilidades!$A$53,D24) * SUMIF(C24,Habilidades!$A$53,Habilidades!$B$53), if(C24="Suporte 3", SUMIF(C24,Habilidades!$A$54,D24) * SUMIF(C24,Habilidades!$A$54,Habilidades!$B$54), if(C24="Caça-tesouros 1", SUMIF(C24,Habilidades!$A$55,D24) * SUMIF(C24,Habilidades!$A$55,Habilidades!$B$55), if(C24="Caça-tesouros 2", SUMIF(C24,Habilidades!$A$56,D24) * SUMIF(C24,Habilidades!$A$56,Habilidades!$B$56), if(C24="Caça-tesouros 3", SUMIF(C24,Habilidades!$A$57,D24) * SUMIF(C24,Habilidades!$A$57,Habilidades!$B$57), if(C24="Velocista 1", SUMIF(C24,Habilidades!$A$77,D24) * SUMIF(C24,Habilidades!$A$77,Habilidades!$B$77), if(C24="Velocista 2", SUMIF(C24,Habilidades!$A$78,D24) * SUMIF(C24,Habilidades!$A$78,Habilidades!$B$78), if(C24="Velocista 3", SUMIF(C24,Habilidades!$A$79,D24) * SUMIF(C24,Habilidades!$A$79,Habilidades!$B$79), "-"))))))))))))))))))))))))))))))))))))))</f>
        <v>-</v>
      </c>
      <c r="F24" s="110"/>
      <c r="G24" s="137"/>
      <c r="H24" s="137"/>
      <c r="I24" s="137"/>
      <c r="J24" s="137"/>
      <c r="K24" s="137"/>
      <c r="L24" s="137"/>
      <c r="M24" s="110"/>
      <c r="N24" s="110"/>
    </row>
    <row r="25">
      <c r="C25" s="133" t="str">
        <f>IFERROR(__xludf.DUMMYFUNCTION("""COMPUTED_VALUE"""),"Cortar")</f>
        <v>Cortar</v>
      </c>
      <c r="D25" s="129">
        <f t="shared" si="2"/>
        <v>1</v>
      </c>
      <c r="E25" s="130" t="str">
        <f>if(C25="Detectar Segredo", SUMIF(C25,Habilidades!$A$11,D25) * SUMIF(C25,Habilidades!$A$11,Habilidades!$B$11), if(C25="Encontrar mágica", SUMIF(C25,Habilidades!$A$12,D25) * SUMIF(C25,Habilidades!$A$12,Habilidades!$B$12), if(C25="Cuidadoso 1", SUMIF(C25,Habilidades!$A$22,D25) * SUMIF(C25,Habilidades!$A$22,Habilidades!$B$22), if(C25="Cuidadoso 2", SUMIF(C25,Habilidades!$A$23,D39) * SUMIF(C25,Habilidades!$A$23,Habilidades!$B$23), if(C25="Cuidadoso 3", SUMIF(C25,Habilidades!$A$24,D25) * SUMIF(C25,Habilidades!$A$24,Habilidades!$B$24), if(C25="Ganancioso 1", SUMIF(C25,Habilidades!$A$25,D25) * SUMIF(C25,Habilidades!$A$25,Habilidades!$B$25), if(C25="Ganancioso 2", SUMIF(C25,Habilidades!$A$26,D25) * SUMIF(C25,Habilidades!$A$26,Habilidades!$B$26), if(C25="Ganancioso 3", SUMIF(C25,Habilidades!$A$27,D25) * SUMIF(C25,Habilidades!$A$27,Habilidades!$B$27), if(C25="Curandeiro 1", SUMIF(C25,Habilidades!$A$28,D25) * SUMIF(C25,Habilidades!$A$28,Habilidades!$B$28), if(C25="Curandeiro 2", SUMIF(C25,Habilidades!$A$29,D25) * SUMIF(C25,Habilidades!$A$29,Habilidades!$B$29), if(C25="Curandeiro 3", SUMIF(C25,Habilidades!$A$30,D25) * SUMIF(C25,Habilidades!$A$30,Habilidades!$B$30), if(C25="Sortudo 1", SUMIF(C25,Habilidades!$A$31,D25) * SUMIF(C25,Habilidades!$A$31,Habilidades!$B$31), if(C25="Sortudo 2", SUMIF(C25,Habilidades!$A$32,D25) * SUMIF(C25,Habilidades!$A$32,Habilidades!$B$32), if(C25="Sortudo 3", SUMIF(C25,Habilidades!$A$33,D25) * SUMIF(C25,Habilidades!$A$33,Habilidades!$B$33), if(C25="Protetor 1", SUMIF(C25,Habilidades!$A$34,D25) * SUMIF(C25,Habilidades!$A$34,Habilidades!$B$34), if(C25="Protetor 2", SUMIF(C25,Habilidades!$A$35,D25) * SUMIF(C25,Habilidades!$A$35,Habilidades!$B$35), if(C25="Protetor 3", SUMIF(C25,Habilidades!$A$36,D25) * SUMIF(C25,Habilidades!$A$36,Habilidades!$B$36), if(C25="Engenhoso 1", SUMIF(C25,Habilidades!$A$40,D25) * SUMIF(C25,Habilidades!$A$40,Habilidades!$B$40), if(C25="Engenhoso 2", SUMIF(C25,Habilidades!$A$41,D25) * SUMIF(C25,Habilidades!$A$41,Habilidades!$B$41), if(C25="Engenhoso 3", SUMIF(C25,Habilidades!$A$42,D25) * SUMIF(C25,Habilidades!$A$42,Habilidades!$B$42), if(C25="Reviver 1", SUMIF(C25,Habilidades!$A$43,D25) * SUMIF(C25,Habilidades!$A$43,Habilidades!$B$43), if(C25="Reviver 2", SUMIF(C25,Habilidades!$A$44,D25) * SUMIF(C25,Habilidades!$A$44,Habilidades!$B$44), if(C25="Reviver 3", SUMIF(C25,Habilidades!$A$45,D25) * SUMIF(C25,Habilidades!$A$45,Habilidades!$B$45), if(C25="Catador 1", SUMIF(C25,Habilidades!$A$46,D25) * SUMIF(C25,Habilidades!$A$46,Habilidades!$B$46), if(C25="Catador 2", SUMIF(C25,Habilidades!$A$47,D25) * SUMIF(C25,Habilidades!$A$47,Habilidades!$B$47), if(C25="Catador 3", SUMIF(C25,Habilidades!$A$48,D25) * SUMIF(C25,Habilidades!$A$48,Habilidades!$B$48), if(C25="Fornecedor 1", SUMIF(C25,Habilidades!$A$49,D25) * SUMIF(C25,Habilidades!$A$49,Habilidades!$B$49), if(C25="Fornecedor 2", SUMIF(C25,Habilidades!$A$50,D25) * SUMIF(C25,Habilidades!$A$50,Habilidades!$B$50), if(C25="Fornecedor 3", SUMIF(C25,Habilidades!$A$51,D25) * SUMIF(C25,Habilidades!$A$51,Habilidades!$B$51), if(C25="Suporte 1", SUMIF(C25,Habilidades!$A$52,D25) * SUMIF(C25,Habilidades!$A$52,Habilidades!$B$52), if(C25="Suporte 2", SUMIF(C25,Habilidades!$A$53,D25) * SUMIF(C25,Habilidades!$A$53,Habilidades!$B$53), if(C25="Suporte 3", SUMIF(C25,Habilidades!$A$54,D25) * SUMIF(C25,Habilidades!$A$54,Habilidades!$B$54), if(C25="Caça-tesouros 1", SUMIF(C25,Habilidades!$A$55,D25) * SUMIF(C25,Habilidades!$A$55,Habilidades!$B$55), if(C25="Caça-tesouros 2", SUMIF(C25,Habilidades!$A$56,D25) * SUMIF(C25,Habilidades!$A$56,Habilidades!$B$56), if(C25="Caça-tesouros 3", SUMIF(C25,Habilidades!$A$57,D25) * SUMIF(C25,Habilidades!$A$57,Habilidades!$B$57), if(C25="Velocista 1", SUMIF(C25,Habilidades!$A$77,D25) * SUMIF(C25,Habilidades!$A$77,Habilidades!$B$77), if(C25="Velocista 2", SUMIF(C25,Habilidades!$A$78,D25) * SUMIF(C25,Habilidades!$A$78,Habilidades!$B$78), if(C25="Velocista 3", SUMIF(C25,Habilidades!$A$79,D25) * SUMIF(C25,Habilidades!$A$79,Habilidades!$B$79), "-"))))))))))))))))))))))))))))))))))))))</f>
        <v>-</v>
      </c>
      <c r="F25" s="110"/>
      <c r="G25" s="137"/>
      <c r="H25" s="137"/>
      <c r="I25" s="137"/>
      <c r="J25" s="137"/>
      <c r="K25" s="137"/>
      <c r="L25" s="137"/>
      <c r="M25" s="110"/>
      <c r="N25" s="110"/>
    </row>
    <row r="26">
      <c r="C26" s="133" t="str">
        <f>IFERROR(__xludf.DUMMYFUNCTION("""COMPUTED_VALUE"""),"Detectar segredo")</f>
        <v>Detectar segredo</v>
      </c>
      <c r="D26" s="129">
        <f t="shared" si="2"/>
        <v>2</v>
      </c>
      <c r="E26" s="130">
        <f>if(C26="Detectar Segredo", SUMIF(C26,Habilidades!$A$11,D26) * SUMIF(C26,Habilidades!$A$11,Habilidades!$B$11), if(C26="Encontrar mágica", SUMIF(C26,Habilidades!$A$12,D26) * SUMIF(C26,Habilidades!$A$12,Habilidades!$B$12), if(C26="Cuidadoso 1", SUMIF(C26,Habilidades!$A$22,D26) * SUMIF(C26,Habilidades!$A$22,Habilidades!$B$22), if(C26="Cuidadoso 2", SUMIF(C26,Habilidades!$A$23,D40) * SUMIF(C26,Habilidades!$A$23,Habilidades!$B$23), if(C26="Cuidadoso 3", SUMIF(C26,Habilidades!$A$24,D26) * SUMIF(C26,Habilidades!$A$24,Habilidades!$B$24), if(C26="Ganancioso 1", SUMIF(C26,Habilidades!$A$25,D26) * SUMIF(C26,Habilidades!$A$25,Habilidades!$B$25), if(C26="Ganancioso 2", SUMIF(C26,Habilidades!$A$26,D26) * SUMIF(C26,Habilidades!$A$26,Habilidades!$B$26), if(C26="Ganancioso 3", SUMIF(C26,Habilidades!$A$27,D26) * SUMIF(C26,Habilidades!$A$27,Habilidades!$B$27), if(C26="Curandeiro 1", SUMIF(C26,Habilidades!$A$28,D26) * SUMIF(C26,Habilidades!$A$28,Habilidades!$B$28), if(C26="Curandeiro 2", SUMIF(C26,Habilidades!$A$29,D26) * SUMIF(C26,Habilidades!$A$29,Habilidades!$B$29), if(C26="Curandeiro 3", SUMIF(C26,Habilidades!$A$30,D26) * SUMIF(C26,Habilidades!$A$30,Habilidades!$B$30), if(C26="Sortudo 1", SUMIF(C26,Habilidades!$A$31,D26) * SUMIF(C26,Habilidades!$A$31,Habilidades!$B$31), if(C26="Sortudo 2", SUMIF(C26,Habilidades!$A$32,D26) * SUMIF(C26,Habilidades!$A$32,Habilidades!$B$32), if(C26="Sortudo 3", SUMIF(C26,Habilidades!$A$33,D26) * SUMIF(C26,Habilidades!$A$33,Habilidades!$B$33), if(C26="Protetor 1", SUMIF(C26,Habilidades!$A$34,D26) * SUMIF(C26,Habilidades!$A$34,Habilidades!$B$34), if(C26="Protetor 2", SUMIF(C26,Habilidades!$A$35,D26) * SUMIF(C26,Habilidades!$A$35,Habilidades!$B$35), if(C26="Protetor 3", SUMIF(C26,Habilidades!$A$36,D26) * SUMIF(C26,Habilidades!$A$36,Habilidades!$B$36), if(C26="Engenhoso 1", SUMIF(C26,Habilidades!$A$40,D26) * SUMIF(C26,Habilidades!$A$40,Habilidades!$B$40), if(C26="Engenhoso 2", SUMIF(C26,Habilidades!$A$41,D26) * SUMIF(C26,Habilidades!$A$41,Habilidades!$B$41), if(C26="Engenhoso 3", SUMIF(C26,Habilidades!$A$42,D26) * SUMIF(C26,Habilidades!$A$42,Habilidades!$B$42), if(C26="Reviver 1", SUMIF(C26,Habilidades!$A$43,D26) * SUMIF(C26,Habilidades!$A$43,Habilidades!$B$43), if(C26="Reviver 2", SUMIF(C26,Habilidades!$A$44,D26) * SUMIF(C26,Habilidades!$A$44,Habilidades!$B$44), if(C26="Reviver 3", SUMIF(C26,Habilidades!$A$45,D26) * SUMIF(C26,Habilidades!$A$45,Habilidades!$B$45), if(C26="Catador 1", SUMIF(C26,Habilidades!$A$46,D26) * SUMIF(C26,Habilidades!$A$46,Habilidades!$B$46), if(C26="Catador 2", SUMIF(C26,Habilidades!$A$47,D26) * SUMIF(C26,Habilidades!$A$47,Habilidades!$B$47), if(C26="Catador 3", SUMIF(C26,Habilidades!$A$48,D26) * SUMIF(C26,Habilidades!$A$48,Habilidades!$B$48), if(C26="Fornecedor 1", SUMIF(C26,Habilidades!$A$49,D26) * SUMIF(C26,Habilidades!$A$49,Habilidades!$B$49), if(C26="Fornecedor 2", SUMIF(C26,Habilidades!$A$50,D26) * SUMIF(C26,Habilidades!$A$50,Habilidades!$B$50), if(C26="Fornecedor 3", SUMIF(C26,Habilidades!$A$51,D26) * SUMIF(C26,Habilidades!$A$51,Habilidades!$B$51), if(C26="Suporte 1", SUMIF(C26,Habilidades!$A$52,D26) * SUMIF(C26,Habilidades!$A$52,Habilidades!$B$52), if(C26="Suporte 2", SUMIF(C26,Habilidades!$A$53,D26) * SUMIF(C26,Habilidades!$A$53,Habilidades!$B$53), if(C26="Suporte 3", SUMIF(C26,Habilidades!$A$54,D26) * SUMIF(C26,Habilidades!$A$54,Habilidades!$B$54), if(C26="Caça-tesouros 1", SUMIF(C26,Habilidades!$A$55,D26) * SUMIF(C26,Habilidades!$A$55,Habilidades!$B$55), if(C26="Caça-tesouros 2", SUMIF(C26,Habilidades!$A$56,D26) * SUMIF(C26,Habilidades!$A$56,Habilidades!$B$56), if(C26="Caça-tesouros 3", SUMIF(C26,Habilidades!$A$57,D26) * SUMIF(C26,Habilidades!$A$57,Habilidades!$B$57), if(C26="Velocista 1", SUMIF(C26,Habilidades!$A$77,D26) * SUMIF(C26,Habilidades!$A$77,Habilidades!$B$77), if(C26="Velocista 2", SUMIF(C26,Habilidades!$A$78,D26) * SUMIF(C26,Habilidades!$A$78,Habilidades!$B$78), if(C26="Velocista 3", SUMIF(C26,Habilidades!$A$79,D26) * SUMIF(C26,Habilidades!$A$79,Habilidades!$B$79), "-"))))))))))))))))))))))))))))))))))))))</f>
        <v>12</v>
      </c>
      <c r="F26" s="110"/>
      <c r="G26" s="137"/>
      <c r="H26" s="137"/>
      <c r="I26" s="137"/>
      <c r="J26" s="137"/>
      <c r="K26" s="137"/>
      <c r="L26" s="137"/>
      <c r="M26" s="110"/>
      <c r="N26" s="110"/>
    </row>
    <row r="27">
      <c r="C27" s="133" t="str">
        <f>IFERROR(__xludf.DUMMYFUNCTION("""COMPUTED_VALUE"""),"Encontrar mágica")</f>
        <v>Encontrar mágica</v>
      </c>
      <c r="D27" s="129">
        <f t="shared" si="2"/>
        <v>17</v>
      </c>
      <c r="E27" s="130">
        <f>if(C27="Detectar Segredo", SUMIF(C27,Habilidades!$A$11,D27) * SUMIF(C27,Habilidades!$A$11,Habilidades!$B$11), if(C27="Encontrar mágica", SUMIF(C27,Habilidades!$A$12,D27) * SUMIF(C27,Habilidades!$A$12,Habilidades!$B$12), if(C27="Cuidadoso 1", SUMIF(C27,Habilidades!$A$22,D27) * SUMIF(C27,Habilidades!$A$22,Habilidades!$B$22), if(C27="Cuidadoso 2", SUMIF(C27,Habilidades!$A$23,D41) * SUMIF(C27,Habilidades!$A$23,Habilidades!$B$23), if(C27="Cuidadoso 3", SUMIF(C27,Habilidades!$A$24,D27) * SUMIF(C27,Habilidades!$A$24,Habilidades!$B$24), if(C27="Ganancioso 1", SUMIF(C27,Habilidades!$A$25,D27) * SUMIF(C27,Habilidades!$A$25,Habilidades!$B$25), if(C27="Ganancioso 2", SUMIF(C27,Habilidades!$A$26,D27) * SUMIF(C27,Habilidades!$A$26,Habilidades!$B$26), if(C27="Ganancioso 3", SUMIF(C27,Habilidades!$A$27,D27) * SUMIF(C27,Habilidades!$A$27,Habilidades!$B$27), if(C27="Curandeiro 1", SUMIF(C27,Habilidades!$A$28,D27) * SUMIF(C27,Habilidades!$A$28,Habilidades!$B$28), if(C27="Curandeiro 2", SUMIF(C27,Habilidades!$A$29,D27) * SUMIF(C27,Habilidades!$A$29,Habilidades!$B$29), if(C27="Curandeiro 3", SUMIF(C27,Habilidades!$A$30,D27) * SUMIF(C27,Habilidades!$A$30,Habilidades!$B$30), if(C27="Sortudo 1", SUMIF(C27,Habilidades!$A$31,D27) * SUMIF(C27,Habilidades!$A$31,Habilidades!$B$31), if(C27="Sortudo 2", SUMIF(C27,Habilidades!$A$32,D27) * SUMIF(C27,Habilidades!$A$32,Habilidades!$B$32), if(C27="Sortudo 3", SUMIF(C27,Habilidades!$A$33,D27) * SUMIF(C27,Habilidades!$A$33,Habilidades!$B$33), if(C27="Protetor 1", SUMIF(C27,Habilidades!$A$34,D27) * SUMIF(C27,Habilidades!$A$34,Habilidades!$B$34), if(C27="Protetor 2", SUMIF(C27,Habilidades!$A$35,D27) * SUMIF(C27,Habilidades!$A$35,Habilidades!$B$35), if(C27="Protetor 3", SUMIF(C27,Habilidades!$A$36,D27) * SUMIF(C27,Habilidades!$A$36,Habilidades!$B$36), if(C27="Engenhoso 1", SUMIF(C27,Habilidades!$A$40,D27) * SUMIF(C27,Habilidades!$A$40,Habilidades!$B$40), if(C27="Engenhoso 2", SUMIF(C27,Habilidades!$A$41,D27) * SUMIF(C27,Habilidades!$A$41,Habilidades!$B$41), if(C27="Engenhoso 3", SUMIF(C27,Habilidades!$A$42,D27) * SUMIF(C27,Habilidades!$A$42,Habilidades!$B$42), if(C27="Reviver 1", SUMIF(C27,Habilidades!$A$43,D27) * SUMIF(C27,Habilidades!$A$43,Habilidades!$B$43), if(C27="Reviver 2", SUMIF(C27,Habilidades!$A$44,D27) * SUMIF(C27,Habilidades!$A$44,Habilidades!$B$44), if(C27="Reviver 3", SUMIF(C27,Habilidades!$A$45,D27) * SUMIF(C27,Habilidades!$A$45,Habilidades!$B$45), if(C27="Catador 1", SUMIF(C27,Habilidades!$A$46,D27) * SUMIF(C27,Habilidades!$A$46,Habilidades!$B$46), if(C27="Catador 2", SUMIF(C27,Habilidades!$A$47,D27) * SUMIF(C27,Habilidades!$A$47,Habilidades!$B$47), if(C27="Catador 3", SUMIF(C27,Habilidades!$A$48,D27) * SUMIF(C27,Habilidades!$A$48,Habilidades!$B$48), if(C27="Fornecedor 1", SUMIF(C27,Habilidades!$A$49,D27) * SUMIF(C27,Habilidades!$A$49,Habilidades!$B$49), if(C27="Fornecedor 2", SUMIF(C27,Habilidades!$A$50,D27) * SUMIF(C27,Habilidades!$A$50,Habilidades!$B$50), if(C27="Fornecedor 3", SUMIF(C27,Habilidades!$A$51,D27) * SUMIF(C27,Habilidades!$A$51,Habilidades!$B$51), if(C27="Suporte 1", SUMIF(C27,Habilidades!$A$52,D27) * SUMIF(C27,Habilidades!$A$52,Habilidades!$B$52), if(C27="Suporte 2", SUMIF(C27,Habilidades!$A$53,D27) * SUMIF(C27,Habilidades!$A$53,Habilidades!$B$53), if(C27="Suporte 3", SUMIF(C27,Habilidades!$A$54,D27) * SUMIF(C27,Habilidades!$A$54,Habilidades!$B$54), if(C27="Caça-tesouros 1", SUMIF(C27,Habilidades!$A$55,D27) * SUMIF(C27,Habilidades!$A$55,Habilidades!$B$55), if(C27="Caça-tesouros 2", SUMIF(C27,Habilidades!$A$56,D27) * SUMIF(C27,Habilidades!$A$56,Habilidades!$B$56), if(C27="Caça-tesouros 3", SUMIF(C27,Habilidades!$A$57,D27) * SUMIF(C27,Habilidades!$A$57,Habilidades!$B$57), if(C27="Velocista 1", SUMIF(C27,Habilidades!$A$77,D27) * SUMIF(C27,Habilidades!$A$77,Habilidades!$B$77), if(C27="Velocista 2", SUMIF(C27,Habilidades!$A$78,D27) * SUMIF(C27,Habilidades!$A$78,Habilidades!$B$78), if(C27="Velocista 3", SUMIF(C27,Habilidades!$A$79,D27) * SUMIF(C27,Habilidades!$A$79,Habilidades!$B$79), "-"))))))))))))))))))))))))))))))))))))))</f>
        <v>204</v>
      </c>
      <c r="F27" s="110"/>
      <c r="G27" s="137"/>
      <c r="H27" s="137"/>
      <c r="I27" s="137"/>
      <c r="J27" s="137"/>
      <c r="K27" s="137"/>
      <c r="L27" s="137"/>
      <c r="M27" s="110"/>
      <c r="N27" s="110"/>
    </row>
    <row r="28">
      <c r="C28" s="133" t="str">
        <f>IFERROR(__xludf.DUMMYFUNCTION("""COMPUTED_VALUE"""),"Energético 1")</f>
        <v>Energético 1</v>
      </c>
      <c r="D28" s="129">
        <f t="shared" si="2"/>
        <v>1</v>
      </c>
      <c r="E28" s="130" t="str">
        <f>if(C28="Detectar Segredo", SUMIF(C28,Habilidades!$A$11,D28) * SUMIF(C28,Habilidades!$A$11,Habilidades!$B$11), if(C28="Encontrar mágica", SUMIF(C28,Habilidades!$A$12,D28) * SUMIF(C28,Habilidades!$A$12,Habilidades!$B$12), if(C28="Cuidadoso 1", SUMIF(C28,Habilidades!$A$22,D28) * SUMIF(C28,Habilidades!$A$22,Habilidades!$B$22), if(C28="Cuidadoso 2", SUMIF(C28,Habilidades!$A$23,D42) * SUMIF(C28,Habilidades!$A$23,Habilidades!$B$23), if(C28="Cuidadoso 3", SUMIF(C28,Habilidades!$A$24,D28) * SUMIF(C28,Habilidades!$A$24,Habilidades!$B$24), if(C28="Ganancioso 1", SUMIF(C28,Habilidades!$A$25,D28) * SUMIF(C28,Habilidades!$A$25,Habilidades!$B$25), if(C28="Ganancioso 2", SUMIF(C28,Habilidades!$A$26,D28) * SUMIF(C28,Habilidades!$A$26,Habilidades!$B$26), if(C28="Ganancioso 3", SUMIF(C28,Habilidades!$A$27,D28) * SUMIF(C28,Habilidades!$A$27,Habilidades!$B$27), if(C28="Curandeiro 1", SUMIF(C28,Habilidades!$A$28,D28) * SUMIF(C28,Habilidades!$A$28,Habilidades!$B$28), if(C28="Curandeiro 2", SUMIF(C28,Habilidades!$A$29,D28) * SUMIF(C28,Habilidades!$A$29,Habilidades!$B$29), if(C28="Curandeiro 3", SUMIF(C28,Habilidades!$A$30,D28) * SUMIF(C28,Habilidades!$A$30,Habilidades!$B$30), if(C28="Sortudo 1", SUMIF(C28,Habilidades!$A$31,D28) * SUMIF(C28,Habilidades!$A$31,Habilidades!$B$31), if(C28="Sortudo 2", SUMIF(C28,Habilidades!$A$32,D28) * SUMIF(C28,Habilidades!$A$32,Habilidades!$B$32), if(C28="Sortudo 3", SUMIF(C28,Habilidades!$A$33,D28) * SUMIF(C28,Habilidades!$A$33,Habilidades!$B$33), if(C28="Protetor 1", SUMIF(C28,Habilidades!$A$34,D28) * SUMIF(C28,Habilidades!$A$34,Habilidades!$B$34), if(C28="Protetor 2", SUMIF(C28,Habilidades!$A$35,D28) * SUMIF(C28,Habilidades!$A$35,Habilidades!$B$35), if(C28="Protetor 3", SUMIF(C28,Habilidades!$A$36,D28) * SUMIF(C28,Habilidades!$A$36,Habilidades!$B$36), if(C28="Engenhoso 1", SUMIF(C28,Habilidades!$A$40,D28) * SUMIF(C28,Habilidades!$A$40,Habilidades!$B$40), if(C28="Engenhoso 2", SUMIF(C28,Habilidades!$A$41,D28) * SUMIF(C28,Habilidades!$A$41,Habilidades!$B$41), if(C28="Engenhoso 3", SUMIF(C28,Habilidades!$A$42,D28) * SUMIF(C28,Habilidades!$A$42,Habilidades!$B$42), if(C28="Reviver 1", SUMIF(C28,Habilidades!$A$43,D28) * SUMIF(C28,Habilidades!$A$43,Habilidades!$B$43), if(C28="Reviver 2", SUMIF(C28,Habilidades!$A$44,D28) * SUMIF(C28,Habilidades!$A$44,Habilidades!$B$44), if(C28="Reviver 3", SUMIF(C28,Habilidades!$A$45,D28) * SUMIF(C28,Habilidades!$A$45,Habilidades!$B$45), if(C28="Catador 1", SUMIF(C28,Habilidades!$A$46,D28) * SUMIF(C28,Habilidades!$A$46,Habilidades!$B$46), if(C28="Catador 2", SUMIF(C28,Habilidades!$A$47,D28) * SUMIF(C28,Habilidades!$A$47,Habilidades!$B$47), if(C28="Catador 3", SUMIF(C28,Habilidades!$A$48,D28) * SUMIF(C28,Habilidades!$A$48,Habilidades!$B$48), if(C28="Fornecedor 1", SUMIF(C28,Habilidades!$A$49,D28) * SUMIF(C28,Habilidades!$A$49,Habilidades!$B$49), if(C28="Fornecedor 2", SUMIF(C28,Habilidades!$A$50,D28) * SUMIF(C28,Habilidades!$A$50,Habilidades!$B$50), if(C28="Fornecedor 3", SUMIF(C28,Habilidades!$A$51,D28) * SUMIF(C28,Habilidades!$A$51,Habilidades!$B$51), if(C28="Suporte 1", SUMIF(C28,Habilidades!$A$52,D28) * SUMIF(C28,Habilidades!$A$52,Habilidades!$B$52), if(C28="Suporte 2", SUMIF(C28,Habilidades!$A$53,D28) * SUMIF(C28,Habilidades!$A$53,Habilidades!$B$53), if(C28="Suporte 3", SUMIF(C28,Habilidades!$A$54,D28) * SUMIF(C28,Habilidades!$A$54,Habilidades!$B$54), if(C28="Caça-tesouros 1", SUMIF(C28,Habilidades!$A$55,D28) * SUMIF(C28,Habilidades!$A$55,Habilidades!$B$55), if(C28="Caça-tesouros 2", SUMIF(C28,Habilidades!$A$56,D28) * SUMIF(C28,Habilidades!$A$56,Habilidades!$B$56), if(C28="Caça-tesouros 3", SUMIF(C28,Habilidades!$A$57,D28) * SUMIF(C28,Habilidades!$A$57,Habilidades!$B$57), if(C28="Velocista 1", SUMIF(C28,Habilidades!$A$77,D28) * SUMIF(C28,Habilidades!$A$77,Habilidades!$B$77), if(C28="Velocista 2", SUMIF(C28,Habilidades!$A$78,D28) * SUMIF(C28,Habilidades!$A$78,Habilidades!$B$78), if(C28="Velocista 3", SUMIF(C28,Habilidades!$A$79,D28) * SUMIF(C28,Habilidades!$A$79,Habilidades!$B$79), "-"))))))))))))))))))))))))))))))))))))))</f>
        <v>-</v>
      </c>
      <c r="F28" s="110"/>
      <c r="G28" s="137"/>
      <c r="H28" s="137"/>
      <c r="I28" s="137"/>
      <c r="J28" s="137"/>
      <c r="K28" s="137"/>
      <c r="L28" s="137"/>
      <c r="M28" s="110"/>
      <c r="N28" s="110"/>
    </row>
    <row r="29">
      <c r="C29" s="133" t="str">
        <f>IFERROR(__xludf.DUMMYFUNCTION("""COMPUTED_VALUE"""),"Energético 3")</f>
        <v>Energético 3</v>
      </c>
      <c r="D29" s="129">
        <f t="shared" si="2"/>
        <v>5</v>
      </c>
      <c r="E29" s="130" t="str">
        <f>if(C29="Detectar Segredo", SUMIF(C29,Habilidades!$A$11,D29) * SUMIF(C29,Habilidades!$A$11,Habilidades!$B$11), if(C29="Encontrar mágica", SUMIF(C29,Habilidades!$A$12,D29) * SUMIF(C29,Habilidades!$A$12,Habilidades!$B$12), if(C29="Cuidadoso 1", SUMIF(C29,Habilidades!$A$22,D29) * SUMIF(C29,Habilidades!$A$22,Habilidades!$B$22), if(C29="Cuidadoso 2", SUMIF(C29,Habilidades!$A$23,D43) * SUMIF(C29,Habilidades!$A$23,Habilidades!$B$23), if(C29="Cuidadoso 3", SUMIF(C29,Habilidades!$A$24,D29) * SUMIF(C29,Habilidades!$A$24,Habilidades!$B$24), if(C29="Ganancioso 1", SUMIF(C29,Habilidades!$A$25,D29) * SUMIF(C29,Habilidades!$A$25,Habilidades!$B$25), if(C29="Ganancioso 2", SUMIF(C29,Habilidades!$A$26,D29) * SUMIF(C29,Habilidades!$A$26,Habilidades!$B$26), if(C29="Ganancioso 3", SUMIF(C29,Habilidades!$A$27,D29) * SUMIF(C29,Habilidades!$A$27,Habilidades!$B$27), if(C29="Curandeiro 1", SUMIF(C29,Habilidades!$A$28,D29) * SUMIF(C29,Habilidades!$A$28,Habilidades!$B$28), if(C29="Curandeiro 2", SUMIF(C29,Habilidades!$A$29,D29) * SUMIF(C29,Habilidades!$A$29,Habilidades!$B$29), if(C29="Curandeiro 3", SUMIF(C29,Habilidades!$A$30,D29) * SUMIF(C29,Habilidades!$A$30,Habilidades!$B$30), if(C29="Sortudo 1", SUMIF(C29,Habilidades!$A$31,D29) * SUMIF(C29,Habilidades!$A$31,Habilidades!$B$31), if(C29="Sortudo 2", SUMIF(C29,Habilidades!$A$32,D29) * SUMIF(C29,Habilidades!$A$32,Habilidades!$B$32), if(C29="Sortudo 3", SUMIF(C29,Habilidades!$A$33,D29) * SUMIF(C29,Habilidades!$A$33,Habilidades!$B$33), if(C29="Protetor 1", SUMIF(C29,Habilidades!$A$34,D29) * SUMIF(C29,Habilidades!$A$34,Habilidades!$B$34), if(C29="Protetor 2", SUMIF(C29,Habilidades!$A$35,D29) * SUMIF(C29,Habilidades!$A$35,Habilidades!$B$35), if(C29="Protetor 3", SUMIF(C29,Habilidades!$A$36,D29) * SUMIF(C29,Habilidades!$A$36,Habilidades!$B$36), if(C29="Engenhoso 1", SUMIF(C29,Habilidades!$A$40,D29) * SUMIF(C29,Habilidades!$A$40,Habilidades!$B$40), if(C29="Engenhoso 2", SUMIF(C29,Habilidades!$A$41,D29) * SUMIF(C29,Habilidades!$A$41,Habilidades!$B$41), if(C29="Engenhoso 3", SUMIF(C29,Habilidades!$A$42,D29) * SUMIF(C29,Habilidades!$A$42,Habilidades!$B$42), if(C29="Reviver 1", SUMIF(C29,Habilidades!$A$43,D29) * SUMIF(C29,Habilidades!$A$43,Habilidades!$B$43), if(C29="Reviver 2", SUMIF(C29,Habilidades!$A$44,D29) * SUMIF(C29,Habilidades!$A$44,Habilidades!$B$44), if(C29="Reviver 3", SUMIF(C29,Habilidades!$A$45,D29) * SUMIF(C29,Habilidades!$A$45,Habilidades!$B$45), if(C29="Catador 1", SUMIF(C29,Habilidades!$A$46,D29) * SUMIF(C29,Habilidades!$A$46,Habilidades!$B$46), if(C29="Catador 2", SUMIF(C29,Habilidades!$A$47,D29) * SUMIF(C29,Habilidades!$A$47,Habilidades!$B$47), if(C29="Catador 3", SUMIF(C29,Habilidades!$A$48,D29) * SUMIF(C29,Habilidades!$A$48,Habilidades!$B$48), if(C29="Fornecedor 1", SUMIF(C29,Habilidades!$A$49,D29) * SUMIF(C29,Habilidades!$A$49,Habilidades!$B$49), if(C29="Fornecedor 2", SUMIF(C29,Habilidades!$A$50,D29) * SUMIF(C29,Habilidades!$A$50,Habilidades!$B$50), if(C29="Fornecedor 3", SUMIF(C29,Habilidades!$A$51,D29) * SUMIF(C29,Habilidades!$A$51,Habilidades!$B$51), if(C29="Suporte 1", SUMIF(C29,Habilidades!$A$52,D29) * SUMIF(C29,Habilidades!$A$52,Habilidades!$B$52), if(C29="Suporte 2", SUMIF(C29,Habilidades!$A$53,D29) * SUMIF(C29,Habilidades!$A$53,Habilidades!$B$53), if(C29="Suporte 3", SUMIF(C29,Habilidades!$A$54,D29) * SUMIF(C29,Habilidades!$A$54,Habilidades!$B$54), if(C29="Caça-tesouros 1", SUMIF(C29,Habilidades!$A$55,D29) * SUMIF(C29,Habilidades!$A$55,Habilidades!$B$55), if(C29="Caça-tesouros 2", SUMIF(C29,Habilidades!$A$56,D29) * SUMIF(C29,Habilidades!$A$56,Habilidades!$B$56), if(C29="Caça-tesouros 3", SUMIF(C29,Habilidades!$A$57,D29) * SUMIF(C29,Habilidades!$A$57,Habilidades!$B$57), if(C29="Velocista 1", SUMIF(C29,Habilidades!$A$77,D29) * SUMIF(C29,Habilidades!$A$77,Habilidades!$B$77), if(C29="Velocista 2", SUMIF(C29,Habilidades!$A$78,D29) * SUMIF(C29,Habilidades!$A$78,Habilidades!$B$78), if(C29="Velocista 3", SUMIF(C29,Habilidades!$A$79,D29) * SUMIF(C29,Habilidades!$A$79,Habilidades!$B$79), "-"))))))))))))))))))))))))))))))))))))))</f>
        <v>-</v>
      </c>
      <c r="F29" s="110"/>
      <c r="G29" s="141"/>
      <c r="H29" s="141"/>
      <c r="I29" s="141"/>
      <c r="J29" s="141"/>
      <c r="K29" s="139"/>
      <c r="L29" s="139"/>
      <c r="M29" s="47"/>
      <c r="N29" s="47"/>
    </row>
    <row r="30">
      <c r="C30" s="133" t="str">
        <f>IFERROR(__xludf.DUMMYFUNCTION("""COMPUTED_VALUE"""),"Engenhoso 3")</f>
        <v>Engenhoso 3</v>
      </c>
      <c r="D30" s="129">
        <f t="shared" si="2"/>
        <v>1</v>
      </c>
      <c r="E30" s="130">
        <f>if(C30="Detectar Segredo", SUMIF(C30,Habilidades!$A$11,D30) * SUMIF(C30,Habilidades!$A$11,Habilidades!$B$11), if(C30="Encontrar mágica", SUMIF(C30,Habilidades!$A$12,D30) * SUMIF(C30,Habilidades!$A$12,Habilidades!$B$12), if(C30="Cuidadoso 1", SUMIF(C30,Habilidades!$A$22,D30) * SUMIF(C30,Habilidades!$A$22,Habilidades!$B$22), if(C30="Cuidadoso 2", SUMIF(C30,Habilidades!$A$23,D44) * SUMIF(C30,Habilidades!$A$23,Habilidades!$B$23), if(C30="Cuidadoso 3", SUMIF(C30,Habilidades!$A$24,D30) * SUMIF(C30,Habilidades!$A$24,Habilidades!$B$24), if(C30="Ganancioso 1", SUMIF(C30,Habilidades!$A$25,D30) * SUMIF(C30,Habilidades!$A$25,Habilidades!$B$25), if(C30="Ganancioso 2", SUMIF(C30,Habilidades!$A$26,D30) * SUMIF(C30,Habilidades!$A$26,Habilidades!$B$26), if(C30="Ganancioso 3", SUMIF(C30,Habilidades!$A$27,D30) * SUMIF(C30,Habilidades!$A$27,Habilidades!$B$27), if(C30="Curandeiro 1", SUMIF(C30,Habilidades!$A$28,D30) * SUMIF(C30,Habilidades!$A$28,Habilidades!$B$28), if(C30="Curandeiro 2", SUMIF(C30,Habilidades!$A$29,D30) * SUMIF(C30,Habilidades!$A$29,Habilidades!$B$29), if(C30="Curandeiro 3", SUMIF(C30,Habilidades!$A$30,D30) * SUMIF(C30,Habilidades!$A$30,Habilidades!$B$30), if(C30="Sortudo 1", SUMIF(C30,Habilidades!$A$31,D30) * SUMIF(C30,Habilidades!$A$31,Habilidades!$B$31), if(C30="Sortudo 2", SUMIF(C30,Habilidades!$A$32,D30) * SUMIF(C30,Habilidades!$A$32,Habilidades!$B$32), if(C30="Sortudo 3", SUMIF(C30,Habilidades!$A$33,D30) * SUMIF(C30,Habilidades!$A$33,Habilidades!$B$33), if(C30="Protetor 1", SUMIF(C30,Habilidades!$A$34,D30) * SUMIF(C30,Habilidades!$A$34,Habilidades!$B$34), if(C30="Protetor 2", SUMIF(C30,Habilidades!$A$35,D30) * SUMIF(C30,Habilidades!$A$35,Habilidades!$B$35), if(C30="Protetor 3", SUMIF(C30,Habilidades!$A$36,D30) * SUMIF(C30,Habilidades!$A$36,Habilidades!$B$36), if(C30="Engenhoso 1", SUMIF(C30,Habilidades!$A$40,D30) * SUMIF(C30,Habilidades!$A$40,Habilidades!$B$40), if(C30="Engenhoso 2", SUMIF(C30,Habilidades!$A$41,D30) * SUMIF(C30,Habilidades!$A$41,Habilidades!$B$41), if(C30="Engenhoso 3", SUMIF(C30,Habilidades!$A$42,D30) * SUMIF(C30,Habilidades!$A$42,Habilidades!$B$42), if(C30="Reviver 1", SUMIF(C30,Habilidades!$A$43,D30) * SUMIF(C30,Habilidades!$A$43,Habilidades!$B$43), if(C30="Reviver 2", SUMIF(C30,Habilidades!$A$44,D30) * SUMIF(C30,Habilidades!$A$44,Habilidades!$B$44), if(C30="Reviver 3", SUMIF(C30,Habilidades!$A$45,D30) * SUMIF(C30,Habilidades!$A$45,Habilidades!$B$45), if(C30="Catador 1", SUMIF(C30,Habilidades!$A$46,D30) * SUMIF(C30,Habilidades!$A$46,Habilidades!$B$46), if(C30="Catador 2", SUMIF(C30,Habilidades!$A$47,D30) * SUMIF(C30,Habilidades!$A$47,Habilidades!$B$47), if(C30="Catador 3", SUMIF(C30,Habilidades!$A$48,D30) * SUMIF(C30,Habilidades!$A$48,Habilidades!$B$48), if(C30="Fornecedor 1", SUMIF(C30,Habilidades!$A$49,D30) * SUMIF(C30,Habilidades!$A$49,Habilidades!$B$49), if(C30="Fornecedor 2", SUMIF(C30,Habilidades!$A$50,D30) * SUMIF(C30,Habilidades!$A$50,Habilidades!$B$50), if(C30="Fornecedor 3", SUMIF(C30,Habilidades!$A$51,D30) * SUMIF(C30,Habilidades!$A$51,Habilidades!$B$51), if(C30="Suporte 1", SUMIF(C30,Habilidades!$A$52,D30) * SUMIF(C30,Habilidades!$A$52,Habilidades!$B$52), if(C30="Suporte 2", SUMIF(C30,Habilidades!$A$53,D30) * SUMIF(C30,Habilidades!$A$53,Habilidades!$B$53), if(C30="Suporte 3", SUMIF(C30,Habilidades!$A$54,D30) * SUMIF(C30,Habilidades!$A$54,Habilidades!$B$54), if(C30="Caça-tesouros 1", SUMIF(C30,Habilidades!$A$55,D30) * SUMIF(C30,Habilidades!$A$55,Habilidades!$B$55), if(C30="Caça-tesouros 2", SUMIF(C30,Habilidades!$A$56,D30) * SUMIF(C30,Habilidades!$A$56,Habilidades!$B$56), if(C30="Caça-tesouros 3", SUMIF(C30,Habilidades!$A$57,D30) * SUMIF(C30,Habilidades!$A$57,Habilidades!$B$57), if(C30="Velocista 1", SUMIF(C30,Habilidades!$A$77,D30) * SUMIF(C30,Habilidades!$A$77,Habilidades!$B$77), if(C30="Velocista 2", SUMIF(C30,Habilidades!$A$78,D30) * SUMIF(C30,Habilidades!$A$78,Habilidades!$B$78), if(C30="Velocista 3", SUMIF(C30,Habilidades!$A$79,D30) * SUMIF(C30,Habilidades!$A$79,Habilidades!$B$79), "-"))))))))))))))))))))))))))))))))))))))</f>
        <v>3</v>
      </c>
      <c r="F30" s="110"/>
      <c r="G30" s="137"/>
      <c r="H30" s="137"/>
      <c r="I30" s="137"/>
      <c r="J30" s="137"/>
      <c r="K30" s="139"/>
      <c r="L30" s="139"/>
      <c r="M30" s="47"/>
      <c r="N30" s="47"/>
    </row>
    <row r="31">
      <c r="C31" s="133" t="str">
        <f>IFERROR(__xludf.DUMMYFUNCTION("""COMPUTED_VALUE"""),"Esmagar")</f>
        <v>Esmagar</v>
      </c>
      <c r="D31" s="129">
        <f t="shared" si="2"/>
        <v>1</v>
      </c>
      <c r="E31" s="130" t="str">
        <f>if(C31="Detectar Segredo", SUMIF(C31,Habilidades!$A$11,D31) * SUMIF(C31,Habilidades!$A$11,Habilidades!$B$11), if(C31="Encontrar mágica", SUMIF(C31,Habilidades!$A$12,D31) * SUMIF(C31,Habilidades!$A$12,Habilidades!$B$12), if(C31="Cuidadoso 1", SUMIF(C31,Habilidades!$A$22,D31) * SUMIF(C31,Habilidades!$A$22,Habilidades!$B$22), if(C31="Cuidadoso 2", SUMIF(C31,Habilidades!$A$23,D45) * SUMIF(C31,Habilidades!$A$23,Habilidades!$B$23), if(C31="Cuidadoso 3", SUMIF(C31,Habilidades!$A$24,D31) * SUMIF(C31,Habilidades!$A$24,Habilidades!$B$24), if(C31="Ganancioso 1", SUMIF(C31,Habilidades!$A$25,D31) * SUMIF(C31,Habilidades!$A$25,Habilidades!$B$25), if(C31="Ganancioso 2", SUMIF(C31,Habilidades!$A$26,D31) * SUMIF(C31,Habilidades!$A$26,Habilidades!$B$26), if(C31="Ganancioso 3", SUMIF(C31,Habilidades!$A$27,D31) * SUMIF(C31,Habilidades!$A$27,Habilidades!$B$27), if(C31="Curandeiro 1", SUMIF(C31,Habilidades!$A$28,D31) * SUMIF(C31,Habilidades!$A$28,Habilidades!$B$28), if(C31="Curandeiro 2", SUMIF(C31,Habilidades!$A$29,D31) * SUMIF(C31,Habilidades!$A$29,Habilidades!$B$29), if(C31="Curandeiro 3", SUMIF(C31,Habilidades!$A$30,D31) * SUMIF(C31,Habilidades!$A$30,Habilidades!$B$30), if(C31="Sortudo 1", SUMIF(C31,Habilidades!$A$31,D31) * SUMIF(C31,Habilidades!$A$31,Habilidades!$B$31), if(C31="Sortudo 2", SUMIF(C31,Habilidades!$A$32,D31) * SUMIF(C31,Habilidades!$A$32,Habilidades!$B$32), if(C31="Sortudo 3", SUMIF(C31,Habilidades!$A$33,D31) * SUMIF(C31,Habilidades!$A$33,Habilidades!$B$33), if(C31="Protetor 1", SUMIF(C31,Habilidades!$A$34,D31) * SUMIF(C31,Habilidades!$A$34,Habilidades!$B$34), if(C31="Protetor 2", SUMIF(C31,Habilidades!$A$35,D31) * SUMIF(C31,Habilidades!$A$35,Habilidades!$B$35), if(C31="Protetor 3", SUMIF(C31,Habilidades!$A$36,D31) * SUMIF(C31,Habilidades!$A$36,Habilidades!$B$36), if(C31="Engenhoso 1", SUMIF(C31,Habilidades!$A$40,D31) * SUMIF(C31,Habilidades!$A$40,Habilidades!$B$40), if(C31="Engenhoso 2", SUMIF(C31,Habilidades!$A$41,D31) * SUMIF(C31,Habilidades!$A$41,Habilidades!$B$41), if(C31="Engenhoso 3", SUMIF(C31,Habilidades!$A$42,D31) * SUMIF(C31,Habilidades!$A$42,Habilidades!$B$42), if(C31="Reviver 1", SUMIF(C31,Habilidades!$A$43,D31) * SUMIF(C31,Habilidades!$A$43,Habilidades!$B$43), if(C31="Reviver 2", SUMIF(C31,Habilidades!$A$44,D31) * SUMIF(C31,Habilidades!$A$44,Habilidades!$B$44), if(C31="Reviver 3", SUMIF(C31,Habilidades!$A$45,D31) * SUMIF(C31,Habilidades!$A$45,Habilidades!$B$45), if(C31="Catador 1", SUMIF(C31,Habilidades!$A$46,D31) * SUMIF(C31,Habilidades!$A$46,Habilidades!$B$46), if(C31="Catador 2", SUMIF(C31,Habilidades!$A$47,D31) * SUMIF(C31,Habilidades!$A$47,Habilidades!$B$47), if(C31="Catador 3", SUMIF(C31,Habilidades!$A$48,D31) * SUMIF(C31,Habilidades!$A$48,Habilidades!$B$48), if(C31="Fornecedor 1", SUMIF(C31,Habilidades!$A$49,D31) * SUMIF(C31,Habilidades!$A$49,Habilidades!$B$49), if(C31="Fornecedor 2", SUMIF(C31,Habilidades!$A$50,D31) * SUMIF(C31,Habilidades!$A$50,Habilidades!$B$50), if(C31="Fornecedor 3", SUMIF(C31,Habilidades!$A$51,D31) * SUMIF(C31,Habilidades!$A$51,Habilidades!$B$51), if(C31="Suporte 1", SUMIF(C31,Habilidades!$A$52,D31) * SUMIF(C31,Habilidades!$A$52,Habilidades!$B$52), if(C31="Suporte 2", SUMIF(C31,Habilidades!$A$53,D31) * SUMIF(C31,Habilidades!$A$53,Habilidades!$B$53), if(C31="Suporte 3", SUMIF(C31,Habilidades!$A$54,D31) * SUMIF(C31,Habilidades!$A$54,Habilidades!$B$54), if(C31="Caça-tesouros 1", SUMIF(C31,Habilidades!$A$55,D31) * SUMIF(C31,Habilidades!$A$55,Habilidades!$B$55), if(C31="Caça-tesouros 2", SUMIF(C31,Habilidades!$A$56,D31) * SUMIF(C31,Habilidades!$A$56,Habilidades!$B$56), if(C31="Caça-tesouros 3", SUMIF(C31,Habilidades!$A$57,D31) * SUMIF(C31,Habilidades!$A$57,Habilidades!$B$57), if(C31="Velocista 1", SUMIF(C31,Habilidades!$A$77,D31) * SUMIF(C31,Habilidades!$A$77,Habilidades!$B$77), if(C31="Velocista 2", SUMIF(C31,Habilidades!$A$78,D31) * SUMIF(C31,Habilidades!$A$78,Habilidades!$B$78), if(C31="Velocista 3", SUMIF(C31,Habilidades!$A$79,D31) * SUMIF(C31,Habilidades!$A$79,Habilidades!$B$79), "-"))))))))))))))))))))))))))))))))))))))</f>
        <v>-</v>
      </c>
      <c r="F31" s="110"/>
      <c r="G31" s="137"/>
      <c r="H31" s="137"/>
      <c r="I31" s="137"/>
      <c r="J31" s="137"/>
      <c r="K31" s="139"/>
      <c r="L31" s="139"/>
      <c r="M31" s="47"/>
      <c r="N31" s="47"/>
    </row>
    <row r="32">
      <c r="C32" s="133" t="str">
        <f>IFERROR(__xludf.DUMMYFUNCTION("""COMPUTED_VALUE"""),"Ganancioso 1")</f>
        <v>Ganancioso 1</v>
      </c>
      <c r="D32" s="129">
        <f t="shared" si="2"/>
        <v>1</v>
      </c>
      <c r="E32" s="130">
        <f>if(C32="Detectar Segredo", SUMIF(C32,Habilidades!$A$11,D32) * SUMIF(C32,Habilidades!$A$11,Habilidades!$B$11), if(C32="Encontrar mágica", SUMIF(C32,Habilidades!$A$12,D32) * SUMIF(C32,Habilidades!$A$12,Habilidades!$B$12), if(C32="Cuidadoso 1", SUMIF(C32,Habilidades!$A$22,D32) * SUMIF(C32,Habilidades!$A$22,Habilidades!$B$22), if(C32="Cuidadoso 2", SUMIF(C32,Habilidades!$A$23,D46) * SUMIF(C32,Habilidades!$A$23,Habilidades!$B$23), if(C32="Cuidadoso 3", SUMIF(C32,Habilidades!$A$24,D32) * SUMIF(C32,Habilidades!$A$24,Habilidades!$B$24), if(C32="Ganancioso 1", SUMIF(C32,Habilidades!$A$25,D32) * SUMIF(C32,Habilidades!$A$25,Habilidades!$B$25), if(C32="Ganancioso 2", SUMIF(C32,Habilidades!$A$26,D32) * SUMIF(C32,Habilidades!$A$26,Habilidades!$B$26), if(C32="Ganancioso 3", SUMIF(C32,Habilidades!$A$27,D32) * SUMIF(C32,Habilidades!$A$27,Habilidades!$B$27), if(C32="Curandeiro 1", SUMIF(C32,Habilidades!$A$28,D32) * SUMIF(C32,Habilidades!$A$28,Habilidades!$B$28), if(C32="Curandeiro 2", SUMIF(C32,Habilidades!$A$29,D32) * SUMIF(C32,Habilidades!$A$29,Habilidades!$B$29), if(C32="Curandeiro 3", SUMIF(C32,Habilidades!$A$30,D32) * SUMIF(C32,Habilidades!$A$30,Habilidades!$B$30), if(C32="Sortudo 1", SUMIF(C32,Habilidades!$A$31,D32) * SUMIF(C32,Habilidades!$A$31,Habilidades!$B$31), if(C32="Sortudo 2", SUMIF(C32,Habilidades!$A$32,D32) * SUMIF(C32,Habilidades!$A$32,Habilidades!$B$32), if(C32="Sortudo 3", SUMIF(C32,Habilidades!$A$33,D32) * SUMIF(C32,Habilidades!$A$33,Habilidades!$B$33), if(C32="Protetor 1", SUMIF(C32,Habilidades!$A$34,D32) * SUMIF(C32,Habilidades!$A$34,Habilidades!$B$34), if(C32="Protetor 2", SUMIF(C32,Habilidades!$A$35,D32) * SUMIF(C32,Habilidades!$A$35,Habilidades!$B$35), if(C32="Protetor 3", SUMIF(C32,Habilidades!$A$36,D32) * SUMIF(C32,Habilidades!$A$36,Habilidades!$B$36), if(C32="Engenhoso 1", SUMIF(C32,Habilidades!$A$40,D32) * SUMIF(C32,Habilidades!$A$40,Habilidades!$B$40), if(C32="Engenhoso 2", SUMIF(C32,Habilidades!$A$41,D32) * SUMIF(C32,Habilidades!$A$41,Habilidades!$B$41), if(C32="Engenhoso 3", SUMIF(C32,Habilidades!$A$42,D32) * SUMIF(C32,Habilidades!$A$42,Habilidades!$B$42), if(C32="Reviver 1", SUMIF(C32,Habilidades!$A$43,D32) * SUMIF(C32,Habilidades!$A$43,Habilidades!$B$43), if(C32="Reviver 2", SUMIF(C32,Habilidades!$A$44,D32) * SUMIF(C32,Habilidades!$A$44,Habilidades!$B$44), if(C32="Reviver 3", SUMIF(C32,Habilidades!$A$45,D32) * SUMIF(C32,Habilidades!$A$45,Habilidades!$B$45), if(C32="Catador 1", SUMIF(C32,Habilidades!$A$46,D32) * SUMIF(C32,Habilidades!$A$46,Habilidades!$B$46), if(C32="Catador 2", SUMIF(C32,Habilidades!$A$47,D32) * SUMIF(C32,Habilidades!$A$47,Habilidades!$B$47), if(C32="Catador 3", SUMIF(C32,Habilidades!$A$48,D32) * SUMIF(C32,Habilidades!$A$48,Habilidades!$B$48), if(C32="Fornecedor 1", SUMIF(C32,Habilidades!$A$49,D32) * SUMIF(C32,Habilidades!$A$49,Habilidades!$B$49), if(C32="Fornecedor 2", SUMIF(C32,Habilidades!$A$50,D32) * SUMIF(C32,Habilidades!$A$50,Habilidades!$B$50), if(C32="Fornecedor 3", SUMIF(C32,Habilidades!$A$51,D32) * SUMIF(C32,Habilidades!$A$51,Habilidades!$B$51), if(C32="Suporte 1", SUMIF(C32,Habilidades!$A$52,D32) * SUMIF(C32,Habilidades!$A$52,Habilidades!$B$52), if(C32="Suporte 2", SUMIF(C32,Habilidades!$A$53,D32) * SUMIF(C32,Habilidades!$A$53,Habilidades!$B$53), if(C32="Suporte 3", SUMIF(C32,Habilidades!$A$54,D32) * SUMIF(C32,Habilidades!$A$54,Habilidades!$B$54), if(C32="Caça-tesouros 1", SUMIF(C32,Habilidades!$A$55,D32) * SUMIF(C32,Habilidades!$A$55,Habilidades!$B$55), if(C32="Caça-tesouros 2", SUMIF(C32,Habilidades!$A$56,D32) * SUMIF(C32,Habilidades!$A$56,Habilidades!$B$56), if(C32="Caça-tesouros 3", SUMIF(C32,Habilidades!$A$57,D32) * SUMIF(C32,Habilidades!$A$57,Habilidades!$B$57), if(C32="Velocista 1", SUMIF(C32,Habilidades!$A$77,D32) * SUMIF(C32,Habilidades!$A$77,Habilidades!$B$77), if(C32="Velocista 2", SUMIF(C32,Habilidades!$A$78,D32) * SUMIF(C32,Habilidades!$A$78,Habilidades!$B$78), if(C32="Velocista 3", SUMIF(C32,Habilidades!$A$79,D32) * SUMIF(C32,Habilidades!$A$79,Habilidades!$B$79), "-"))))))))))))))))))))))))))))))))))))))</f>
        <v>50</v>
      </c>
      <c r="F32" s="110"/>
      <c r="G32" s="137"/>
      <c r="H32" s="137"/>
      <c r="I32" s="137"/>
      <c r="J32" s="137"/>
      <c r="K32" s="139"/>
      <c r="L32" s="139"/>
      <c r="M32" s="47"/>
      <c r="N32" s="47"/>
    </row>
    <row r="33">
      <c r="C33" s="142" t="str">
        <f>IFERROR(__xludf.DUMMYFUNCTION("""COMPUTED_VALUE"""),"Resistente 1")</f>
        <v>Resistente 1</v>
      </c>
      <c r="D33" s="129">
        <f t="shared" si="2"/>
        <v>1</v>
      </c>
      <c r="E33" s="130" t="str">
        <f>if(C33="Detectar Segredo", SUMIF(C33,Habilidades!$A$11,D33) * SUMIF(C33,Habilidades!$A$11,Habilidades!$B$11), if(C33="Encontrar mágica", SUMIF(C33,Habilidades!$A$12,D33) * SUMIF(C33,Habilidades!$A$12,Habilidades!$B$12), if(C33="Cuidadoso 1", SUMIF(C33,Habilidades!$A$22,D33) * SUMIF(C33,Habilidades!$A$22,Habilidades!$B$22), if(C33="Cuidadoso 2", SUMIF(C33,Habilidades!$A$23,D47) * SUMIF(C33,Habilidades!$A$23,Habilidades!$B$23), if(C33="Cuidadoso 3", SUMIF(C33,Habilidades!$A$24,D33) * SUMIF(C33,Habilidades!$A$24,Habilidades!$B$24), if(C33="Ganancioso 1", SUMIF(C33,Habilidades!$A$25,D33) * SUMIF(C33,Habilidades!$A$25,Habilidades!$B$25), if(C33="Ganancioso 2", SUMIF(C33,Habilidades!$A$26,D33) * SUMIF(C33,Habilidades!$A$26,Habilidades!$B$26), if(C33="Ganancioso 3", SUMIF(C33,Habilidades!$A$27,D33) * SUMIF(C33,Habilidades!$A$27,Habilidades!$B$27), if(C33="Curandeiro 1", SUMIF(C33,Habilidades!$A$28,D33) * SUMIF(C33,Habilidades!$A$28,Habilidades!$B$28), if(C33="Curandeiro 2", SUMIF(C33,Habilidades!$A$29,D33) * SUMIF(C33,Habilidades!$A$29,Habilidades!$B$29), if(C33="Curandeiro 3", SUMIF(C33,Habilidades!$A$30,D33) * SUMIF(C33,Habilidades!$A$30,Habilidades!$B$30), if(C33="Sortudo 1", SUMIF(C33,Habilidades!$A$31,D33) * SUMIF(C33,Habilidades!$A$31,Habilidades!$B$31), if(C33="Sortudo 2", SUMIF(C33,Habilidades!$A$32,D33) * SUMIF(C33,Habilidades!$A$32,Habilidades!$B$32), if(C33="Sortudo 3", SUMIF(C33,Habilidades!$A$33,D33) * SUMIF(C33,Habilidades!$A$33,Habilidades!$B$33), if(C33="Protetor 1", SUMIF(C33,Habilidades!$A$34,D33) * SUMIF(C33,Habilidades!$A$34,Habilidades!$B$34), if(C33="Protetor 2", SUMIF(C33,Habilidades!$A$35,D33) * SUMIF(C33,Habilidades!$A$35,Habilidades!$B$35), if(C33="Protetor 3", SUMIF(C33,Habilidades!$A$36,D33) * SUMIF(C33,Habilidades!$A$36,Habilidades!$B$36), if(C33="Engenhoso 1", SUMIF(C33,Habilidades!$A$40,D33) * SUMIF(C33,Habilidades!$A$40,Habilidades!$B$40), if(C33="Engenhoso 2", SUMIF(C33,Habilidades!$A$41,D33) * SUMIF(C33,Habilidades!$A$41,Habilidades!$B$41), if(C33="Engenhoso 3", SUMIF(C33,Habilidades!$A$42,D33) * SUMIF(C33,Habilidades!$A$42,Habilidades!$B$42), if(C33="Reviver 1", SUMIF(C33,Habilidades!$A$43,D33) * SUMIF(C33,Habilidades!$A$43,Habilidades!$B$43), if(C33="Reviver 2", SUMIF(C33,Habilidades!$A$44,D33) * SUMIF(C33,Habilidades!$A$44,Habilidades!$B$44), if(C33="Reviver 3", SUMIF(C33,Habilidades!$A$45,D33) * SUMIF(C33,Habilidades!$A$45,Habilidades!$B$45), if(C33="Catador 1", SUMIF(C33,Habilidades!$A$46,D33) * SUMIF(C33,Habilidades!$A$46,Habilidades!$B$46), if(C33="Catador 2", SUMIF(C33,Habilidades!$A$47,D33) * SUMIF(C33,Habilidades!$A$47,Habilidades!$B$47), if(C33="Catador 3", SUMIF(C33,Habilidades!$A$48,D33) * SUMIF(C33,Habilidades!$A$48,Habilidades!$B$48), if(C33="Fornecedor 1", SUMIF(C33,Habilidades!$A$49,D33) * SUMIF(C33,Habilidades!$A$49,Habilidades!$B$49), if(C33="Fornecedor 2", SUMIF(C33,Habilidades!$A$50,D33) * SUMIF(C33,Habilidades!$A$50,Habilidades!$B$50), if(C33="Fornecedor 3", SUMIF(C33,Habilidades!$A$51,D33) * SUMIF(C33,Habilidades!$A$51,Habilidades!$B$51), if(C33="Suporte 1", SUMIF(C33,Habilidades!$A$52,D33) * SUMIF(C33,Habilidades!$A$52,Habilidades!$B$52), if(C33="Suporte 2", SUMIF(C33,Habilidades!$A$53,D33) * SUMIF(C33,Habilidades!$A$53,Habilidades!$B$53), if(C33="Suporte 3", SUMIF(C33,Habilidades!$A$54,D33) * SUMIF(C33,Habilidades!$A$54,Habilidades!$B$54), if(C33="Caça-tesouros 1", SUMIF(C33,Habilidades!$A$55,D33) * SUMIF(C33,Habilidades!$A$55,Habilidades!$B$55), if(C33="Caça-tesouros 2", SUMIF(C33,Habilidades!$A$56,D33) * SUMIF(C33,Habilidades!$A$56,Habilidades!$B$56), if(C33="Caça-tesouros 3", SUMIF(C33,Habilidades!$A$57,D33) * SUMIF(C33,Habilidades!$A$57,Habilidades!$B$57), if(C33="Velocista 1", SUMIF(C33,Habilidades!$A$77,D33) * SUMIF(C33,Habilidades!$A$77,Habilidades!$B$77), if(C33="Velocista 2", SUMIF(C33,Habilidades!$A$78,D33) * SUMIF(C33,Habilidades!$A$78,Habilidades!$B$78), if(C33="Velocista 3", SUMIF(C33,Habilidades!$A$79,D33) * SUMIF(C33,Habilidades!$A$79,Habilidades!$B$79), "-"))))))))))))))))))))))))))))))))))))))</f>
        <v>-</v>
      </c>
      <c r="F33" s="110"/>
      <c r="G33" s="137"/>
      <c r="H33" s="137"/>
      <c r="I33" s="137"/>
      <c r="J33" s="137"/>
      <c r="K33" s="139"/>
      <c r="L33" s="139"/>
      <c r="M33" s="47"/>
      <c r="N33" s="47"/>
    </row>
    <row r="34">
      <c r="C34" s="142" t="str">
        <f>IFERROR(__xludf.DUMMYFUNCTION("""COMPUTED_VALUE"""),"Reviver 1")</f>
        <v>Reviver 1</v>
      </c>
      <c r="D34" s="129">
        <f t="shared" si="2"/>
        <v>1</v>
      </c>
      <c r="E34" s="130">
        <f>if(C34="Detectar Segredo", SUMIF(C34,Habilidades!$A$11,D34) * SUMIF(C34,Habilidades!$A$11,Habilidades!$B$11), if(C34="Encontrar mágica", SUMIF(C34,Habilidades!$A$12,D34) * SUMIF(C34,Habilidades!$A$12,Habilidades!$B$12), if(C34="Cuidadoso 1", SUMIF(C34,Habilidades!$A$22,D34) * SUMIF(C34,Habilidades!$A$22,Habilidades!$B$22), if(C34="Cuidadoso 2", SUMIF(C34,Habilidades!$A$23,D48) * SUMIF(C34,Habilidades!$A$23,Habilidades!$B$23), if(C34="Cuidadoso 3", SUMIF(C34,Habilidades!$A$24,D34) * SUMIF(C34,Habilidades!$A$24,Habilidades!$B$24), if(C34="Ganancioso 1", SUMIF(C34,Habilidades!$A$25,D34) * SUMIF(C34,Habilidades!$A$25,Habilidades!$B$25), if(C34="Ganancioso 2", SUMIF(C34,Habilidades!$A$26,D34) * SUMIF(C34,Habilidades!$A$26,Habilidades!$B$26), if(C34="Ganancioso 3", SUMIF(C34,Habilidades!$A$27,D34) * SUMIF(C34,Habilidades!$A$27,Habilidades!$B$27), if(C34="Curandeiro 1", SUMIF(C34,Habilidades!$A$28,D34) * SUMIF(C34,Habilidades!$A$28,Habilidades!$B$28), if(C34="Curandeiro 2", SUMIF(C34,Habilidades!$A$29,D34) * SUMIF(C34,Habilidades!$A$29,Habilidades!$B$29), if(C34="Curandeiro 3", SUMIF(C34,Habilidades!$A$30,D34) * SUMIF(C34,Habilidades!$A$30,Habilidades!$B$30), if(C34="Sortudo 1", SUMIF(C34,Habilidades!$A$31,D34) * SUMIF(C34,Habilidades!$A$31,Habilidades!$B$31), if(C34="Sortudo 2", SUMIF(C34,Habilidades!$A$32,D34) * SUMIF(C34,Habilidades!$A$32,Habilidades!$B$32), if(C34="Sortudo 3", SUMIF(C34,Habilidades!$A$33,D34) * SUMIF(C34,Habilidades!$A$33,Habilidades!$B$33), if(C34="Protetor 1", SUMIF(C34,Habilidades!$A$34,D34) * SUMIF(C34,Habilidades!$A$34,Habilidades!$B$34), if(C34="Protetor 2", SUMIF(C34,Habilidades!$A$35,D34) * SUMIF(C34,Habilidades!$A$35,Habilidades!$B$35), if(C34="Protetor 3", SUMIF(C34,Habilidades!$A$36,D34) * SUMIF(C34,Habilidades!$A$36,Habilidades!$B$36), if(C34="Engenhoso 1", SUMIF(C34,Habilidades!$A$40,D34) * SUMIF(C34,Habilidades!$A$40,Habilidades!$B$40), if(C34="Engenhoso 2", SUMIF(C34,Habilidades!$A$41,D34) * SUMIF(C34,Habilidades!$A$41,Habilidades!$B$41), if(C34="Engenhoso 3", SUMIF(C34,Habilidades!$A$42,D34) * SUMIF(C34,Habilidades!$A$42,Habilidades!$B$42), if(C34="Reviver 1", SUMIF(C34,Habilidades!$A$43,D34) * SUMIF(C34,Habilidades!$A$43,Habilidades!$B$43), if(C34="Reviver 2", SUMIF(C34,Habilidades!$A$44,D34) * SUMIF(C34,Habilidades!$A$44,Habilidades!$B$44), if(C34="Reviver 3", SUMIF(C34,Habilidades!$A$45,D34) * SUMIF(C34,Habilidades!$A$45,Habilidades!$B$45), if(C34="Catador 1", SUMIF(C34,Habilidades!$A$46,D34) * SUMIF(C34,Habilidades!$A$46,Habilidades!$B$46), if(C34="Catador 2", SUMIF(C34,Habilidades!$A$47,D34) * SUMIF(C34,Habilidades!$A$47,Habilidades!$B$47), if(C34="Catador 3", SUMIF(C34,Habilidades!$A$48,D34) * SUMIF(C34,Habilidades!$A$48,Habilidades!$B$48), if(C34="Fornecedor 1", SUMIF(C34,Habilidades!$A$49,D34) * SUMIF(C34,Habilidades!$A$49,Habilidades!$B$49), if(C34="Fornecedor 2", SUMIF(C34,Habilidades!$A$50,D34) * SUMIF(C34,Habilidades!$A$50,Habilidades!$B$50), if(C34="Fornecedor 3", SUMIF(C34,Habilidades!$A$51,D34) * SUMIF(C34,Habilidades!$A$51,Habilidades!$B$51), if(C34="Suporte 1", SUMIF(C34,Habilidades!$A$52,D34) * SUMIF(C34,Habilidades!$A$52,Habilidades!$B$52), if(C34="Suporte 2", SUMIF(C34,Habilidades!$A$53,D34) * SUMIF(C34,Habilidades!$A$53,Habilidades!$B$53), if(C34="Suporte 3", SUMIF(C34,Habilidades!$A$54,D34) * SUMIF(C34,Habilidades!$A$54,Habilidades!$B$54), if(C34="Caça-tesouros 1", SUMIF(C34,Habilidades!$A$55,D34) * SUMIF(C34,Habilidades!$A$55,Habilidades!$B$55), if(C34="Caça-tesouros 2", SUMIF(C34,Habilidades!$A$56,D34) * SUMIF(C34,Habilidades!$A$56,Habilidades!$B$56), if(C34="Caça-tesouros 3", SUMIF(C34,Habilidades!$A$57,D34) * SUMIF(C34,Habilidades!$A$57,Habilidades!$B$57), if(C34="Velocista 1", SUMIF(C34,Habilidades!$A$77,D34) * SUMIF(C34,Habilidades!$A$77,Habilidades!$B$77), if(C34="Velocista 2", SUMIF(C34,Habilidades!$A$78,D34) * SUMIF(C34,Habilidades!$A$78,Habilidades!$B$78), if(C34="Velocista 3", SUMIF(C34,Habilidades!$A$79,D34) * SUMIF(C34,Habilidades!$A$79,Habilidades!$B$79), "-"))))))))))))))))))))))))))))))))))))))</f>
        <v>5</v>
      </c>
      <c r="F34" s="110"/>
      <c r="G34" s="137"/>
      <c r="H34" s="137"/>
      <c r="I34" s="137"/>
      <c r="J34" s="137"/>
      <c r="K34" s="137"/>
      <c r="L34" s="137"/>
      <c r="M34" s="110"/>
      <c r="N34" s="110"/>
    </row>
    <row r="35">
      <c r="C35" s="142" t="str">
        <f>IFERROR(__xludf.DUMMYFUNCTION("""COMPUTED_VALUE"""),"Reviver 2")</f>
        <v>Reviver 2</v>
      </c>
      <c r="D35" s="129">
        <f t="shared" si="2"/>
        <v>5</v>
      </c>
      <c r="E35" s="130">
        <f>if(C35="Detectar Segredo", SUMIF(C35,Habilidades!$A$11,D35) * SUMIF(C35,Habilidades!$A$11,Habilidades!$B$11), if(C35="Encontrar mágica", SUMIF(C35,Habilidades!$A$12,D35) * SUMIF(C35,Habilidades!$A$12,Habilidades!$B$12), if(C35="Cuidadoso 1", SUMIF(C35,Habilidades!$A$22,D35) * SUMIF(C35,Habilidades!$A$22,Habilidades!$B$22), if(C35="Cuidadoso 2", SUMIF(C35,Habilidades!$A$23,D49) * SUMIF(C35,Habilidades!$A$23,Habilidades!$B$23), if(C35="Cuidadoso 3", SUMIF(C35,Habilidades!$A$24,D35) * SUMIF(C35,Habilidades!$A$24,Habilidades!$B$24), if(C35="Ganancioso 1", SUMIF(C35,Habilidades!$A$25,D35) * SUMIF(C35,Habilidades!$A$25,Habilidades!$B$25), if(C35="Ganancioso 2", SUMIF(C35,Habilidades!$A$26,D35) * SUMIF(C35,Habilidades!$A$26,Habilidades!$B$26), if(C35="Ganancioso 3", SUMIF(C35,Habilidades!$A$27,D35) * SUMIF(C35,Habilidades!$A$27,Habilidades!$B$27), if(C35="Curandeiro 1", SUMIF(C35,Habilidades!$A$28,D35) * SUMIF(C35,Habilidades!$A$28,Habilidades!$B$28), if(C35="Curandeiro 2", SUMIF(C35,Habilidades!$A$29,D35) * SUMIF(C35,Habilidades!$A$29,Habilidades!$B$29), if(C35="Curandeiro 3", SUMIF(C35,Habilidades!$A$30,D35) * SUMIF(C35,Habilidades!$A$30,Habilidades!$B$30), if(C35="Sortudo 1", SUMIF(C35,Habilidades!$A$31,D35) * SUMIF(C35,Habilidades!$A$31,Habilidades!$B$31), if(C35="Sortudo 2", SUMIF(C35,Habilidades!$A$32,D35) * SUMIF(C35,Habilidades!$A$32,Habilidades!$B$32), if(C35="Sortudo 3", SUMIF(C35,Habilidades!$A$33,D35) * SUMIF(C35,Habilidades!$A$33,Habilidades!$B$33), if(C35="Protetor 1", SUMIF(C35,Habilidades!$A$34,D35) * SUMIF(C35,Habilidades!$A$34,Habilidades!$B$34), if(C35="Protetor 2", SUMIF(C35,Habilidades!$A$35,D35) * SUMIF(C35,Habilidades!$A$35,Habilidades!$B$35), if(C35="Protetor 3", SUMIF(C35,Habilidades!$A$36,D35) * SUMIF(C35,Habilidades!$A$36,Habilidades!$B$36), if(C35="Engenhoso 1", SUMIF(C35,Habilidades!$A$40,D35) * SUMIF(C35,Habilidades!$A$40,Habilidades!$B$40), if(C35="Engenhoso 2", SUMIF(C35,Habilidades!$A$41,D35) * SUMIF(C35,Habilidades!$A$41,Habilidades!$B$41), if(C35="Engenhoso 3", SUMIF(C35,Habilidades!$A$42,D35) * SUMIF(C35,Habilidades!$A$42,Habilidades!$B$42), if(C35="Reviver 1", SUMIF(C35,Habilidades!$A$43,D35) * SUMIF(C35,Habilidades!$A$43,Habilidades!$B$43), if(C35="Reviver 2", SUMIF(C35,Habilidades!$A$44,D35) * SUMIF(C35,Habilidades!$A$44,Habilidades!$B$44), if(C35="Reviver 3", SUMIF(C35,Habilidades!$A$45,D35) * SUMIF(C35,Habilidades!$A$45,Habilidades!$B$45), if(C35="Catador 1", SUMIF(C35,Habilidades!$A$46,D35) * SUMIF(C35,Habilidades!$A$46,Habilidades!$B$46), if(C35="Catador 2", SUMIF(C35,Habilidades!$A$47,D35) * SUMIF(C35,Habilidades!$A$47,Habilidades!$B$47), if(C35="Catador 3", SUMIF(C35,Habilidades!$A$48,D35) * SUMIF(C35,Habilidades!$A$48,Habilidades!$B$48), if(C35="Fornecedor 1", SUMIF(C35,Habilidades!$A$49,D35) * SUMIF(C35,Habilidades!$A$49,Habilidades!$B$49), if(C35="Fornecedor 2", SUMIF(C35,Habilidades!$A$50,D35) * SUMIF(C35,Habilidades!$A$50,Habilidades!$B$50), if(C35="Fornecedor 3", SUMIF(C35,Habilidades!$A$51,D35) * SUMIF(C35,Habilidades!$A$51,Habilidades!$B$51), if(C35="Suporte 1", SUMIF(C35,Habilidades!$A$52,D35) * SUMIF(C35,Habilidades!$A$52,Habilidades!$B$52), if(C35="Suporte 2", SUMIF(C35,Habilidades!$A$53,D35) * SUMIF(C35,Habilidades!$A$53,Habilidades!$B$53), if(C35="Suporte 3", SUMIF(C35,Habilidades!$A$54,D35) * SUMIF(C35,Habilidades!$A$54,Habilidades!$B$54), if(C35="Caça-tesouros 1", SUMIF(C35,Habilidades!$A$55,D35) * SUMIF(C35,Habilidades!$A$55,Habilidades!$B$55), if(C35="Caça-tesouros 2", SUMIF(C35,Habilidades!$A$56,D35) * SUMIF(C35,Habilidades!$A$56,Habilidades!$B$56), if(C35="Caça-tesouros 3", SUMIF(C35,Habilidades!$A$57,D35) * SUMIF(C35,Habilidades!$A$57,Habilidades!$B$57), if(C35="Velocista 1", SUMIF(C35,Habilidades!$A$77,D35) * SUMIF(C35,Habilidades!$A$77,Habilidades!$B$77), if(C35="Velocista 2", SUMIF(C35,Habilidades!$A$78,D35) * SUMIF(C35,Habilidades!$A$78,Habilidades!$B$78), if(C35="Velocista 3", SUMIF(C35,Habilidades!$A$79,D35) * SUMIF(C35,Habilidades!$A$79,Habilidades!$B$79), "-"))))))))))))))))))))))))))))))))))))))</f>
        <v>50</v>
      </c>
      <c r="F35" s="110"/>
      <c r="G35" s="137"/>
      <c r="H35" s="137"/>
      <c r="I35" s="137"/>
      <c r="J35" s="137"/>
      <c r="K35" s="137"/>
      <c r="L35" s="137"/>
      <c r="M35" s="110"/>
      <c r="N35" s="110"/>
    </row>
    <row r="36">
      <c r="C36" s="142" t="str">
        <f>IFERROR(__xludf.DUMMYFUNCTION("""COMPUTED_VALUE"""),"Reviver 3")</f>
        <v>Reviver 3</v>
      </c>
      <c r="D36" s="129">
        <f t="shared" si="2"/>
        <v>3</v>
      </c>
      <c r="E36" s="130">
        <f>if(C36="Detectar Segredo", SUMIF(C36,Habilidades!$A$11,D36) * SUMIF(C36,Habilidades!$A$11,Habilidades!$B$11), if(C36="Encontrar mágica", SUMIF(C36,Habilidades!$A$12,D36) * SUMIF(C36,Habilidades!$A$12,Habilidades!$B$12), if(C36="Cuidadoso 1", SUMIF(C36,Habilidades!$A$22,D36) * SUMIF(C36,Habilidades!$A$22,Habilidades!$B$22), if(C36="Cuidadoso 2", SUMIF(C36,Habilidades!$A$23,D50) * SUMIF(C36,Habilidades!$A$23,Habilidades!$B$23), if(C36="Cuidadoso 3", SUMIF(C36,Habilidades!$A$24,D36) * SUMIF(C36,Habilidades!$A$24,Habilidades!$B$24), if(C36="Ganancioso 1", SUMIF(C36,Habilidades!$A$25,D36) * SUMIF(C36,Habilidades!$A$25,Habilidades!$B$25), if(C36="Ganancioso 2", SUMIF(C36,Habilidades!$A$26,D36) * SUMIF(C36,Habilidades!$A$26,Habilidades!$B$26), if(C36="Ganancioso 3", SUMIF(C36,Habilidades!$A$27,D36) * SUMIF(C36,Habilidades!$A$27,Habilidades!$B$27), if(C36="Curandeiro 1", SUMIF(C36,Habilidades!$A$28,D36) * SUMIF(C36,Habilidades!$A$28,Habilidades!$B$28), if(C36="Curandeiro 2", SUMIF(C36,Habilidades!$A$29,D36) * SUMIF(C36,Habilidades!$A$29,Habilidades!$B$29), if(C36="Curandeiro 3", SUMIF(C36,Habilidades!$A$30,D36) * SUMIF(C36,Habilidades!$A$30,Habilidades!$B$30), if(C36="Sortudo 1", SUMIF(C36,Habilidades!$A$31,D36) * SUMIF(C36,Habilidades!$A$31,Habilidades!$B$31), if(C36="Sortudo 2", SUMIF(C36,Habilidades!$A$32,D36) * SUMIF(C36,Habilidades!$A$32,Habilidades!$B$32), if(C36="Sortudo 3", SUMIF(C36,Habilidades!$A$33,D36) * SUMIF(C36,Habilidades!$A$33,Habilidades!$B$33), if(C36="Protetor 1", SUMIF(C36,Habilidades!$A$34,D36) * SUMIF(C36,Habilidades!$A$34,Habilidades!$B$34), if(C36="Protetor 2", SUMIF(C36,Habilidades!$A$35,D36) * SUMIF(C36,Habilidades!$A$35,Habilidades!$B$35), if(C36="Protetor 3", SUMIF(C36,Habilidades!$A$36,D36) * SUMIF(C36,Habilidades!$A$36,Habilidades!$B$36), if(C36="Engenhoso 1", SUMIF(C36,Habilidades!$A$40,D36) * SUMIF(C36,Habilidades!$A$40,Habilidades!$B$40), if(C36="Engenhoso 2", SUMIF(C36,Habilidades!$A$41,D36) * SUMIF(C36,Habilidades!$A$41,Habilidades!$B$41), if(C36="Engenhoso 3", SUMIF(C36,Habilidades!$A$42,D36) * SUMIF(C36,Habilidades!$A$42,Habilidades!$B$42), if(C36="Reviver 1", SUMIF(C36,Habilidades!$A$43,D36) * SUMIF(C36,Habilidades!$A$43,Habilidades!$B$43), if(C36="Reviver 2", SUMIF(C36,Habilidades!$A$44,D36) * SUMIF(C36,Habilidades!$A$44,Habilidades!$B$44), if(C36="Reviver 3", SUMIF(C36,Habilidades!$A$45,D36) * SUMIF(C36,Habilidades!$A$45,Habilidades!$B$45), if(C36="Catador 1", SUMIF(C36,Habilidades!$A$46,D36) * SUMIF(C36,Habilidades!$A$46,Habilidades!$B$46), if(C36="Catador 2", SUMIF(C36,Habilidades!$A$47,D36) * SUMIF(C36,Habilidades!$A$47,Habilidades!$B$47), if(C36="Catador 3", SUMIF(C36,Habilidades!$A$48,D36) * SUMIF(C36,Habilidades!$A$48,Habilidades!$B$48), if(C36="Fornecedor 1", SUMIF(C36,Habilidades!$A$49,D36) * SUMIF(C36,Habilidades!$A$49,Habilidades!$B$49), if(C36="Fornecedor 2", SUMIF(C36,Habilidades!$A$50,D36) * SUMIF(C36,Habilidades!$A$50,Habilidades!$B$50), if(C36="Fornecedor 3", SUMIF(C36,Habilidades!$A$51,D36) * SUMIF(C36,Habilidades!$A$51,Habilidades!$B$51), if(C36="Suporte 1", SUMIF(C36,Habilidades!$A$52,D36) * SUMIF(C36,Habilidades!$A$52,Habilidades!$B$52), if(C36="Suporte 2", SUMIF(C36,Habilidades!$A$53,D36) * SUMIF(C36,Habilidades!$A$53,Habilidades!$B$53), if(C36="Suporte 3", SUMIF(C36,Habilidades!$A$54,D36) * SUMIF(C36,Habilidades!$A$54,Habilidades!$B$54), if(C36="Caça-tesouros 1", SUMIF(C36,Habilidades!$A$55,D36) * SUMIF(C36,Habilidades!$A$55,Habilidades!$B$55), if(C36="Caça-tesouros 2", SUMIF(C36,Habilidades!$A$56,D36) * SUMIF(C36,Habilidades!$A$56,Habilidades!$B$56), if(C36="Caça-tesouros 3", SUMIF(C36,Habilidades!$A$57,D36) * SUMIF(C36,Habilidades!$A$57,Habilidades!$B$57), if(C36="Velocista 1", SUMIF(C36,Habilidades!$A$77,D36) * SUMIF(C36,Habilidades!$A$77,Habilidades!$B$77), if(C36="Velocista 2", SUMIF(C36,Habilidades!$A$78,D36) * SUMIF(C36,Habilidades!$A$78,Habilidades!$B$78), if(C36="Velocista 3", SUMIF(C36,Habilidades!$A$79,D36) * SUMIF(C36,Habilidades!$A$79,Habilidades!$B$79), "-"))))))))))))))))))))))))))))))))))))))</f>
        <v>45</v>
      </c>
      <c r="F36" s="110"/>
      <c r="G36" s="137"/>
      <c r="H36" s="137"/>
      <c r="I36" s="137"/>
      <c r="J36" s="137"/>
      <c r="K36" s="137"/>
      <c r="L36" s="137"/>
      <c r="M36" s="110"/>
      <c r="N36" s="110"/>
    </row>
    <row r="37">
      <c r="C37" s="142" t="str">
        <f>IFERROR(__xludf.DUMMYFUNCTION("""COMPUTED_VALUE"""),"Sábio 1")</f>
        <v>Sábio 1</v>
      </c>
      <c r="D37" s="129">
        <f t="shared" si="2"/>
        <v>1</v>
      </c>
      <c r="E37" s="130" t="str">
        <f>if(C37="Detectar Segredo", SUMIF(C37,Habilidades!$A$11,D37) * SUMIF(C37,Habilidades!$A$11,Habilidades!$B$11), if(C37="Encontrar mágica", SUMIF(C37,Habilidades!$A$12,D37) * SUMIF(C37,Habilidades!$A$12,Habilidades!$B$12), if(C37="Cuidadoso 1", SUMIF(C37,Habilidades!$A$22,D37) * SUMIF(C37,Habilidades!$A$22,Habilidades!$B$22), if(C37="Cuidadoso 2", SUMIF(C37,Habilidades!$A$23,D51) * SUMIF(C37,Habilidades!$A$23,Habilidades!$B$23), if(C37="Cuidadoso 3", SUMIF(C37,Habilidades!$A$24,D37) * SUMIF(C37,Habilidades!$A$24,Habilidades!$B$24), if(C37="Ganancioso 1", SUMIF(C37,Habilidades!$A$25,D37) * SUMIF(C37,Habilidades!$A$25,Habilidades!$B$25), if(C37="Ganancioso 2", SUMIF(C37,Habilidades!$A$26,D37) * SUMIF(C37,Habilidades!$A$26,Habilidades!$B$26), if(C37="Ganancioso 3", SUMIF(C37,Habilidades!$A$27,D37) * SUMIF(C37,Habilidades!$A$27,Habilidades!$B$27), if(C37="Curandeiro 1", SUMIF(C37,Habilidades!$A$28,D37) * SUMIF(C37,Habilidades!$A$28,Habilidades!$B$28), if(C37="Curandeiro 2", SUMIF(C37,Habilidades!$A$29,D37) * SUMIF(C37,Habilidades!$A$29,Habilidades!$B$29), if(C37="Curandeiro 3", SUMIF(C37,Habilidades!$A$30,D37) * SUMIF(C37,Habilidades!$A$30,Habilidades!$B$30), if(C37="Sortudo 1", SUMIF(C37,Habilidades!$A$31,D37) * SUMIF(C37,Habilidades!$A$31,Habilidades!$B$31), if(C37="Sortudo 2", SUMIF(C37,Habilidades!$A$32,D37) * SUMIF(C37,Habilidades!$A$32,Habilidades!$B$32), if(C37="Sortudo 3", SUMIF(C37,Habilidades!$A$33,D37) * SUMIF(C37,Habilidades!$A$33,Habilidades!$B$33), if(C37="Protetor 1", SUMIF(C37,Habilidades!$A$34,D37) * SUMIF(C37,Habilidades!$A$34,Habilidades!$B$34), if(C37="Protetor 2", SUMIF(C37,Habilidades!$A$35,D37) * SUMIF(C37,Habilidades!$A$35,Habilidades!$B$35), if(C37="Protetor 3", SUMIF(C37,Habilidades!$A$36,D37) * SUMIF(C37,Habilidades!$A$36,Habilidades!$B$36), if(C37="Engenhoso 1", SUMIF(C37,Habilidades!$A$40,D37) * SUMIF(C37,Habilidades!$A$40,Habilidades!$B$40), if(C37="Engenhoso 2", SUMIF(C37,Habilidades!$A$41,D37) * SUMIF(C37,Habilidades!$A$41,Habilidades!$B$41), if(C37="Engenhoso 3", SUMIF(C37,Habilidades!$A$42,D37) * SUMIF(C37,Habilidades!$A$42,Habilidades!$B$42), if(C37="Reviver 1", SUMIF(C37,Habilidades!$A$43,D37) * SUMIF(C37,Habilidades!$A$43,Habilidades!$B$43), if(C37="Reviver 2", SUMIF(C37,Habilidades!$A$44,D37) * SUMIF(C37,Habilidades!$A$44,Habilidades!$B$44), if(C37="Reviver 3", SUMIF(C37,Habilidades!$A$45,D37) * SUMIF(C37,Habilidades!$A$45,Habilidades!$B$45), if(C37="Catador 1", SUMIF(C37,Habilidades!$A$46,D37) * SUMIF(C37,Habilidades!$A$46,Habilidades!$B$46), if(C37="Catador 2", SUMIF(C37,Habilidades!$A$47,D37) * SUMIF(C37,Habilidades!$A$47,Habilidades!$B$47), if(C37="Catador 3", SUMIF(C37,Habilidades!$A$48,D37) * SUMIF(C37,Habilidades!$A$48,Habilidades!$B$48), if(C37="Fornecedor 1", SUMIF(C37,Habilidades!$A$49,D37) * SUMIF(C37,Habilidades!$A$49,Habilidades!$B$49), if(C37="Fornecedor 2", SUMIF(C37,Habilidades!$A$50,D37) * SUMIF(C37,Habilidades!$A$50,Habilidades!$B$50), if(C37="Fornecedor 3", SUMIF(C37,Habilidades!$A$51,D37) * SUMIF(C37,Habilidades!$A$51,Habilidades!$B$51), if(C37="Suporte 1", SUMIF(C37,Habilidades!$A$52,D37) * SUMIF(C37,Habilidades!$A$52,Habilidades!$B$52), if(C37="Suporte 2", SUMIF(C37,Habilidades!$A$53,D37) * SUMIF(C37,Habilidades!$A$53,Habilidades!$B$53), if(C37="Suporte 3", SUMIF(C37,Habilidades!$A$54,D37) * SUMIF(C37,Habilidades!$A$54,Habilidades!$B$54), if(C37="Caça-tesouros 1", SUMIF(C37,Habilidades!$A$55,D37) * SUMIF(C37,Habilidades!$A$55,Habilidades!$B$55), if(C37="Caça-tesouros 2", SUMIF(C37,Habilidades!$A$56,D37) * SUMIF(C37,Habilidades!$A$56,Habilidades!$B$56), if(C37="Caça-tesouros 3", SUMIF(C37,Habilidades!$A$57,D37) * SUMIF(C37,Habilidades!$A$57,Habilidades!$B$57), if(C37="Velocista 1", SUMIF(C37,Habilidades!$A$77,D37) * SUMIF(C37,Habilidades!$A$77,Habilidades!$B$77), if(C37="Velocista 2", SUMIF(C37,Habilidades!$A$78,D37) * SUMIF(C37,Habilidades!$A$78,Habilidades!$B$78), if(C37="Velocista 3", SUMIF(C37,Habilidades!$A$79,D37) * SUMIF(C37,Habilidades!$A$79,Habilidades!$B$79), "-"))))))))))))))))))))))))))))))))))))))</f>
        <v>-</v>
      </c>
      <c r="F37" s="110"/>
      <c r="G37" s="137"/>
      <c r="H37" s="137"/>
      <c r="I37" s="137"/>
      <c r="J37" s="137"/>
      <c r="K37" s="137"/>
      <c r="L37" s="137"/>
      <c r="M37" s="110"/>
      <c r="N37" s="110"/>
    </row>
    <row r="38">
      <c r="C38" s="142" t="str">
        <f>IFERROR(__xludf.DUMMYFUNCTION("""COMPUTED_VALUE"""),"Sortudo 2")</f>
        <v>Sortudo 2</v>
      </c>
      <c r="D38" s="129">
        <f t="shared" si="2"/>
        <v>1</v>
      </c>
      <c r="E38" s="130">
        <f>if(C38="Detectar Segredo", SUMIF(C38,Habilidades!$A$11,D38) * SUMIF(C38,Habilidades!$A$11,Habilidades!$B$11), if(C38="Encontrar mágica", SUMIF(C38,Habilidades!$A$12,D38) * SUMIF(C38,Habilidades!$A$12,Habilidades!$B$12), if(C38="Cuidadoso 1", SUMIF(C38,Habilidades!$A$22,D38) * SUMIF(C38,Habilidades!$A$22,Habilidades!$B$22), if(C38="Cuidadoso 2", SUMIF(C38,Habilidades!$A$23,D52) * SUMIF(C38,Habilidades!$A$23,Habilidades!$B$23), if(C38="Cuidadoso 3", SUMIF(C38,Habilidades!$A$24,D38) * SUMIF(C38,Habilidades!$A$24,Habilidades!$B$24), if(C38="Ganancioso 1", SUMIF(C38,Habilidades!$A$25,D38) * SUMIF(C38,Habilidades!$A$25,Habilidades!$B$25), if(C38="Ganancioso 2", SUMIF(C38,Habilidades!$A$26,D38) * SUMIF(C38,Habilidades!$A$26,Habilidades!$B$26), if(C38="Ganancioso 3", SUMIF(C38,Habilidades!$A$27,D38) * SUMIF(C38,Habilidades!$A$27,Habilidades!$B$27), if(C38="Curandeiro 1", SUMIF(C38,Habilidades!$A$28,D38) * SUMIF(C38,Habilidades!$A$28,Habilidades!$B$28), if(C38="Curandeiro 2", SUMIF(C38,Habilidades!$A$29,D38) * SUMIF(C38,Habilidades!$A$29,Habilidades!$B$29), if(C38="Curandeiro 3", SUMIF(C38,Habilidades!$A$30,D38) * SUMIF(C38,Habilidades!$A$30,Habilidades!$B$30), if(C38="Sortudo 1", SUMIF(C38,Habilidades!$A$31,D38) * SUMIF(C38,Habilidades!$A$31,Habilidades!$B$31), if(C38="Sortudo 2", SUMIF(C38,Habilidades!$A$32,D38) * SUMIF(C38,Habilidades!$A$32,Habilidades!$B$32), if(C38="Sortudo 3", SUMIF(C38,Habilidades!$A$33,D38) * SUMIF(C38,Habilidades!$A$33,Habilidades!$B$33), if(C38="Protetor 1", SUMIF(C38,Habilidades!$A$34,D38) * SUMIF(C38,Habilidades!$A$34,Habilidades!$B$34), if(C38="Protetor 2", SUMIF(C38,Habilidades!$A$35,D38) * SUMIF(C38,Habilidades!$A$35,Habilidades!$B$35), if(C38="Protetor 3", SUMIF(C38,Habilidades!$A$36,D38) * SUMIF(C38,Habilidades!$A$36,Habilidades!$B$36), if(C38="Engenhoso 1", SUMIF(C38,Habilidades!$A$40,D38) * SUMIF(C38,Habilidades!$A$40,Habilidades!$B$40), if(C38="Engenhoso 2", SUMIF(C38,Habilidades!$A$41,D38) * SUMIF(C38,Habilidades!$A$41,Habilidades!$B$41), if(C38="Engenhoso 3", SUMIF(C38,Habilidades!$A$42,D38) * SUMIF(C38,Habilidades!$A$42,Habilidades!$B$42), if(C38="Reviver 1", SUMIF(C38,Habilidades!$A$43,D38) * SUMIF(C38,Habilidades!$A$43,Habilidades!$B$43), if(C38="Reviver 2", SUMIF(C38,Habilidades!$A$44,D38) * SUMIF(C38,Habilidades!$A$44,Habilidades!$B$44), if(C38="Reviver 3", SUMIF(C38,Habilidades!$A$45,D38) * SUMIF(C38,Habilidades!$A$45,Habilidades!$B$45), if(C38="Catador 1", SUMIF(C38,Habilidades!$A$46,D38) * SUMIF(C38,Habilidades!$A$46,Habilidades!$B$46), if(C38="Catador 2", SUMIF(C38,Habilidades!$A$47,D38) * SUMIF(C38,Habilidades!$A$47,Habilidades!$B$47), if(C38="Catador 3", SUMIF(C38,Habilidades!$A$48,D38) * SUMIF(C38,Habilidades!$A$48,Habilidades!$B$48), if(C38="Fornecedor 1", SUMIF(C38,Habilidades!$A$49,D38) * SUMIF(C38,Habilidades!$A$49,Habilidades!$B$49), if(C38="Fornecedor 2", SUMIF(C38,Habilidades!$A$50,D38) * SUMIF(C38,Habilidades!$A$50,Habilidades!$B$50), if(C38="Fornecedor 3", SUMIF(C38,Habilidades!$A$51,D38) * SUMIF(C38,Habilidades!$A$51,Habilidades!$B$51), if(C38="Suporte 1", SUMIF(C38,Habilidades!$A$52,D38) * SUMIF(C38,Habilidades!$A$52,Habilidades!$B$52), if(C38="Suporte 2", SUMIF(C38,Habilidades!$A$53,D38) * SUMIF(C38,Habilidades!$A$53,Habilidades!$B$53), if(C38="Suporte 3", SUMIF(C38,Habilidades!$A$54,D38) * SUMIF(C38,Habilidades!$A$54,Habilidades!$B$54), if(C38="Caça-tesouros 1", SUMIF(C38,Habilidades!$A$55,D38) * SUMIF(C38,Habilidades!$A$55,Habilidades!$B$55), if(C38="Caça-tesouros 2", SUMIF(C38,Habilidades!$A$56,D38) * SUMIF(C38,Habilidades!$A$56,Habilidades!$B$56), if(C38="Caça-tesouros 3", SUMIF(C38,Habilidades!$A$57,D38) * SUMIF(C38,Habilidades!$A$57,Habilidades!$B$57), if(C38="Velocista 1", SUMIF(C38,Habilidades!$A$77,D38) * SUMIF(C38,Habilidades!$A$77,Habilidades!$B$77), if(C38="Velocista 2", SUMIF(C38,Habilidades!$A$78,D38) * SUMIF(C38,Habilidades!$A$78,Habilidades!$B$78), if(C38="Velocista 3", SUMIF(C38,Habilidades!$A$79,D38) * SUMIF(C38,Habilidades!$A$79,Habilidades!$B$79), "-"))))))))))))))))))))))))))))))))))))))</f>
        <v>20</v>
      </c>
      <c r="F38" s="110"/>
      <c r="G38" s="137"/>
      <c r="H38" s="137"/>
      <c r="I38" s="137"/>
      <c r="J38" s="137"/>
      <c r="K38" s="137"/>
      <c r="L38" s="137"/>
      <c r="M38" s="110"/>
      <c r="N38" s="110"/>
    </row>
    <row r="39">
      <c r="C39" s="142" t="str">
        <f>IFERROR(__xludf.DUMMYFUNCTION("""COMPUTED_VALUE"""),"Velocista 1")</f>
        <v>Velocista 1</v>
      </c>
      <c r="D39" s="129">
        <f t="shared" si="2"/>
        <v>1</v>
      </c>
      <c r="E39" s="130">
        <f>if(C39="Detectar Segredo", SUMIF(C39,Habilidades!$A$11,D39) * SUMIF(C39,Habilidades!$A$11,Habilidades!$B$11), if(C39="Encontrar mágica", SUMIF(C39,Habilidades!$A$12,D39) * SUMIF(C39,Habilidades!$A$12,Habilidades!$B$12), if(C39="Cuidadoso 1", SUMIF(C39,Habilidades!$A$22,D39) * SUMIF(C39,Habilidades!$A$22,Habilidades!$B$22), if(C39="Cuidadoso 2", SUMIF(C39,Habilidades!$A$23,D53) * SUMIF(C39,Habilidades!$A$23,Habilidades!$B$23), if(C39="Cuidadoso 3", SUMIF(C39,Habilidades!$A$24,D39) * SUMIF(C39,Habilidades!$A$24,Habilidades!$B$24), if(C39="Ganancioso 1", SUMIF(C39,Habilidades!$A$25,D39) * SUMIF(C39,Habilidades!$A$25,Habilidades!$B$25), if(C39="Ganancioso 2", SUMIF(C39,Habilidades!$A$26,D39) * SUMIF(C39,Habilidades!$A$26,Habilidades!$B$26), if(C39="Ganancioso 3", SUMIF(C39,Habilidades!$A$27,D39) * SUMIF(C39,Habilidades!$A$27,Habilidades!$B$27), if(C39="Curandeiro 1", SUMIF(C39,Habilidades!$A$28,D39) * SUMIF(C39,Habilidades!$A$28,Habilidades!$B$28), if(C39="Curandeiro 2", SUMIF(C39,Habilidades!$A$29,D39) * SUMIF(C39,Habilidades!$A$29,Habilidades!$B$29), if(C39="Curandeiro 3", SUMIF(C39,Habilidades!$A$30,D39) * SUMIF(C39,Habilidades!$A$30,Habilidades!$B$30), if(C39="Sortudo 1", SUMIF(C39,Habilidades!$A$31,D39) * SUMIF(C39,Habilidades!$A$31,Habilidades!$B$31), if(C39="Sortudo 2", SUMIF(C39,Habilidades!$A$32,D39) * SUMIF(C39,Habilidades!$A$32,Habilidades!$B$32), if(C39="Sortudo 3", SUMIF(C39,Habilidades!$A$33,D39) * SUMIF(C39,Habilidades!$A$33,Habilidades!$B$33), if(C39="Protetor 1", SUMIF(C39,Habilidades!$A$34,D39) * SUMIF(C39,Habilidades!$A$34,Habilidades!$B$34), if(C39="Protetor 2", SUMIF(C39,Habilidades!$A$35,D39) * SUMIF(C39,Habilidades!$A$35,Habilidades!$B$35), if(C39="Protetor 3", SUMIF(C39,Habilidades!$A$36,D39) * SUMIF(C39,Habilidades!$A$36,Habilidades!$B$36), if(C39="Engenhoso 1", SUMIF(C39,Habilidades!$A$40,D39) * SUMIF(C39,Habilidades!$A$40,Habilidades!$B$40), if(C39="Engenhoso 2", SUMIF(C39,Habilidades!$A$41,D39) * SUMIF(C39,Habilidades!$A$41,Habilidades!$B$41), if(C39="Engenhoso 3", SUMIF(C39,Habilidades!$A$42,D39) * SUMIF(C39,Habilidades!$A$42,Habilidades!$B$42), if(C39="Reviver 1", SUMIF(C39,Habilidades!$A$43,D39) * SUMIF(C39,Habilidades!$A$43,Habilidades!$B$43), if(C39="Reviver 2", SUMIF(C39,Habilidades!$A$44,D39) * SUMIF(C39,Habilidades!$A$44,Habilidades!$B$44), if(C39="Reviver 3", SUMIF(C39,Habilidades!$A$45,D39) * SUMIF(C39,Habilidades!$A$45,Habilidades!$B$45), if(C39="Catador 1", SUMIF(C39,Habilidades!$A$46,D39) * SUMIF(C39,Habilidades!$A$46,Habilidades!$B$46), if(C39="Catador 2", SUMIF(C39,Habilidades!$A$47,D39) * SUMIF(C39,Habilidades!$A$47,Habilidades!$B$47), if(C39="Catador 3", SUMIF(C39,Habilidades!$A$48,D39) * SUMIF(C39,Habilidades!$A$48,Habilidades!$B$48), if(C39="Fornecedor 1", SUMIF(C39,Habilidades!$A$49,D39) * SUMIF(C39,Habilidades!$A$49,Habilidades!$B$49), if(C39="Fornecedor 2", SUMIF(C39,Habilidades!$A$50,D39) * SUMIF(C39,Habilidades!$A$50,Habilidades!$B$50), if(C39="Fornecedor 3", SUMIF(C39,Habilidades!$A$51,D39) * SUMIF(C39,Habilidades!$A$51,Habilidades!$B$51), if(C39="Suporte 1", SUMIF(C39,Habilidades!$A$52,D39) * SUMIF(C39,Habilidades!$A$52,Habilidades!$B$52), if(C39="Suporte 2", SUMIF(C39,Habilidades!$A$53,D39) * SUMIF(C39,Habilidades!$A$53,Habilidades!$B$53), if(C39="Suporte 3", SUMIF(C39,Habilidades!$A$54,D39) * SUMIF(C39,Habilidades!$A$54,Habilidades!$B$54), if(C39="Caça-tesouros 1", SUMIF(C39,Habilidades!$A$55,D39) * SUMIF(C39,Habilidades!$A$55,Habilidades!$B$55), if(C39="Caça-tesouros 2", SUMIF(C39,Habilidades!$A$56,D39) * SUMIF(C39,Habilidades!$A$56,Habilidades!$B$56), if(C39="Caça-tesouros 3", SUMIF(C39,Habilidades!$A$57,D39) * SUMIF(C39,Habilidades!$A$57,Habilidades!$B$57), if(C39="Velocista 1", SUMIF(C39,Habilidades!$A$77,D39) * SUMIF(C39,Habilidades!$A$77,Habilidades!$B$77), if(C39="Velocista 2", SUMIF(C39,Habilidades!$A$78,D39) * SUMIF(C39,Habilidades!$A$78,Habilidades!$B$78), if(C39="Velocista 3", SUMIF(C39,Habilidades!$A$79,D39) * SUMIF(C39,Habilidades!$A$79,Habilidades!$B$79), "-"))))))))))))))))))))))))))))))))))))))</f>
        <v>10</v>
      </c>
      <c r="F39" s="110"/>
      <c r="G39" s="137"/>
      <c r="H39" s="137"/>
      <c r="I39" s="137"/>
      <c r="J39" s="137"/>
      <c r="K39" s="137"/>
      <c r="L39" s="137"/>
      <c r="M39" s="110"/>
      <c r="N39" s="110"/>
    </row>
    <row r="40">
      <c r="C40" s="142" t="str">
        <f>IFERROR(__xludf.DUMMYFUNCTION("""COMPUTED_VALUE"""),"Velocista 3")</f>
        <v>Velocista 3</v>
      </c>
      <c r="D40" s="129">
        <f t="shared" si="2"/>
        <v>2</v>
      </c>
      <c r="E40" s="130">
        <f>if(C40="Detectar Segredo", SUMIF(C40,Habilidades!$A$11,D40) * SUMIF(C40,Habilidades!$A$11,Habilidades!$B$11), if(C40="Encontrar mágica", SUMIF(C40,Habilidades!$A$12,D40) * SUMIF(C40,Habilidades!$A$12,Habilidades!$B$12), if(C40="Cuidadoso 1", SUMIF(C40,Habilidades!$A$22,D40) * SUMIF(C40,Habilidades!$A$22,Habilidades!$B$22), if(C40="Cuidadoso 2", SUMIF(C40,Habilidades!$A$23,D54) * SUMIF(C40,Habilidades!$A$23,Habilidades!$B$23), if(C40="Cuidadoso 3", SUMIF(C40,Habilidades!$A$24,D40) * SUMIF(C40,Habilidades!$A$24,Habilidades!$B$24), if(C40="Ganancioso 1", SUMIF(C40,Habilidades!$A$25,D40) * SUMIF(C40,Habilidades!$A$25,Habilidades!$B$25), if(C40="Ganancioso 2", SUMIF(C40,Habilidades!$A$26,D40) * SUMIF(C40,Habilidades!$A$26,Habilidades!$B$26), if(C40="Ganancioso 3", SUMIF(C40,Habilidades!$A$27,D40) * SUMIF(C40,Habilidades!$A$27,Habilidades!$B$27), if(C40="Curandeiro 1", SUMIF(C40,Habilidades!$A$28,D40) * SUMIF(C40,Habilidades!$A$28,Habilidades!$B$28), if(C40="Curandeiro 2", SUMIF(C40,Habilidades!$A$29,D40) * SUMIF(C40,Habilidades!$A$29,Habilidades!$B$29), if(C40="Curandeiro 3", SUMIF(C40,Habilidades!$A$30,D40) * SUMIF(C40,Habilidades!$A$30,Habilidades!$B$30), if(C40="Sortudo 1", SUMIF(C40,Habilidades!$A$31,D40) * SUMIF(C40,Habilidades!$A$31,Habilidades!$B$31), if(C40="Sortudo 2", SUMIF(C40,Habilidades!$A$32,D40) * SUMIF(C40,Habilidades!$A$32,Habilidades!$B$32), if(C40="Sortudo 3", SUMIF(C40,Habilidades!$A$33,D40) * SUMIF(C40,Habilidades!$A$33,Habilidades!$B$33), if(C40="Protetor 1", SUMIF(C40,Habilidades!$A$34,D40) * SUMIF(C40,Habilidades!$A$34,Habilidades!$B$34), if(C40="Protetor 2", SUMIF(C40,Habilidades!$A$35,D40) * SUMIF(C40,Habilidades!$A$35,Habilidades!$B$35), if(C40="Protetor 3", SUMIF(C40,Habilidades!$A$36,D40) * SUMIF(C40,Habilidades!$A$36,Habilidades!$B$36), if(C40="Engenhoso 1", SUMIF(C40,Habilidades!$A$40,D40) * SUMIF(C40,Habilidades!$A$40,Habilidades!$B$40), if(C40="Engenhoso 2", SUMIF(C40,Habilidades!$A$41,D40) * SUMIF(C40,Habilidades!$A$41,Habilidades!$B$41), if(C40="Engenhoso 3", SUMIF(C40,Habilidades!$A$42,D40) * SUMIF(C40,Habilidades!$A$42,Habilidades!$B$42), if(C40="Reviver 1", SUMIF(C40,Habilidades!$A$43,D40) * SUMIF(C40,Habilidades!$A$43,Habilidades!$B$43), if(C40="Reviver 2", SUMIF(C40,Habilidades!$A$44,D40) * SUMIF(C40,Habilidades!$A$44,Habilidades!$B$44), if(C40="Reviver 3", SUMIF(C40,Habilidades!$A$45,D40) * SUMIF(C40,Habilidades!$A$45,Habilidades!$B$45), if(C40="Catador 1", SUMIF(C40,Habilidades!$A$46,D40) * SUMIF(C40,Habilidades!$A$46,Habilidades!$B$46), if(C40="Catador 2", SUMIF(C40,Habilidades!$A$47,D40) * SUMIF(C40,Habilidades!$A$47,Habilidades!$B$47), if(C40="Catador 3", SUMIF(C40,Habilidades!$A$48,D40) * SUMIF(C40,Habilidades!$A$48,Habilidades!$B$48), if(C40="Fornecedor 1", SUMIF(C40,Habilidades!$A$49,D40) * SUMIF(C40,Habilidades!$A$49,Habilidades!$B$49), if(C40="Fornecedor 2", SUMIF(C40,Habilidades!$A$50,D40) * SUMIF(C40,Habilidades!$A$50,Habilidades!$B$50), if(C40="Fornecedor 3", SUMIF(C40,Habilidades!$A$51,D40) * SUMIF(C40,Habilidades!$A$51,Habilidades!$B$51), if(C40="Suporte 1", SUMIF(C40,Habilidades!$A$52,D40) * SUMIF(C40,Habilidades!$A$52,Habilidades!$B$52), if(C40="Suporte 2", SUMIF(C40,Habilidades!$A$53,D40) * SUMIF(C40,Habilidades!$A$53,Habilidades!$B$53), if(C40="Suporte 3", SUMIF(C40,Habilidades!$A$54,D40) * SUMIF(C40,Habilidades!$A$54,Habilidades!$B$54), if(C40="Caça-tesouros 1", SUMIF(C40,Habilidades!$A$55,D40) * SUMIF(C40,Habilidades!$A$55,Habilidades!$B$55), if(C40="Caça-tesouros 2", SUMIF(C40,Habilidades!$A$56,D40) * SUMIF(C40,Habilidades!$A$56,Habilidades!$B$56), if(C40="Caça-tesouros 3", SUMIF(C40,Habilidades!$A$57,D40) * SUMIF(C40,Habilidades!$A$57,Habilidades!$B$57), if(C40="Velocista 1", SUMIF(C40,Habilidades!$A$77,D40) * SUMIF(C40,Habilidades!$A$77,Habilidades!$B$77), if(C40="Velocista 2", SUMIF(C40,Habilidades!$A$78,D40) * SUMIF(C40,Habilidades!$A$78,Habilidades!$B$78), if(C40="Velocista 3", SUMIF(C40,Habilidades!$A$79,D40) * SUMIF(C40,Habilidades!$A$79,Habilidades!$B$79), "-"))))))))))))))))))))))))))))))))))))))</f>
        <v>100</v>
      </c>
      <c r="F40" s="110"/>
      <c r="G40" s="137"/>
      <c r="H40" s="137"/>
      <c r="I40" s="137"/>
      <c r="J40" s="137"/>
      <c r="K40" s="137"/>
      <c r="L40" s="137"/>
      <c r="M40" s="110"/>
      <c r="N40" s="110"/>
    </row>
    <row r="41">
      <c r="C41" s="142" t="b">
        <f>IFERROR(__xludf.DUMMYFUNCTION("""COMPUTED_VALUE"""),FALSE)</f>
        <v>0</v>
      </c>
      <c r="D41" s="129">
        <f t="shared" si="2"/>
        <v>1</v>
      </c>
      <c r="E41" s="130" t="str">
        <f>if(C41="Detectar Segredo", SUMIF(C41,Habilidades!$A$11,D41) * SUMIF(C41,Habilidades!$A$11,Habilidades!$B$11), if(C41="Encontrar mágica", SUMIF(C41,Habilidades!$A$12,D41) * SUMIF(C41,Habilidades!$A$12,Habilidades!$B$12), if(C41="Cuidadoso 1", SUMIF(C41,Habilidades!$A$22,D41) * SUMIF(C41,Habilidades!$A$22,Habilidades!$B$22), if(C41="Cuidadoso 2", SUMIF(C41,Habilidades!$A$23,D55) * SUMIF(C41,Habilidades!$A$23,Habilidades!$B$23), if(C41="Cuidadoso 3", SUMIF(C41,Habilidades!$A$24,D41) * SUMIF(C41,Habilidades!$A$24,Habilidades!$B$24), if(C41="Ganancioso 1", SUMIF(C41,Habilidades!$A$25,D41) * SUMIF(C41,Habilidades!$A$25,Habilidades!$B$25), if(C41="Ganancioso 2", SUMIF(C41,Habilidades!$A$26,D41) * SUMIF(C41,Habilidades!$A$26,Habilidades!$B$26), if(C41="Ganancioso 3", SUMIF(C41,Habilidades!$A$27,D41) * SUMIF(C41,Habilidades!$A$27,Habilidades!$B$27), if(C41="Curandeiro 1", SUMIF(C41,Habilidades!$A$28,D41) * SUMIF(C41,Habilidades!$A$28,Habilidades!$B$28), if(C41="Curandeiro 2", SUMIF(C41,Habilidades!$A$29,D41) * SUMIF(C41,Habilidades!$A$29,Habilidades!$B$29), if(C41="Curandeiro 3", SUMIF(C41,Habilidades!$A$30,D41) * SUMIF(C41,Habilidades!$A$30,Habilidades!$B$30), if(C41="Sortudo 1", SUMIF(C41,Habilidades!$A$31,D41) * SUMIF(C41,Habilidades!$A$31,Habilidades!$B$31), if(C41="Sortudo 2", SUMIF(C41,Habilidades!$A$32,D41) * SUMIF(C41,Habilidades!$A$32,Habilidades!$B$32), if(C41="Sortudo 3", SUMIF(C41,Habilidades!$A$33,D41) * SUMIF(C41,Habilidades!$A$33,Habilidades!$B$33), if(C41="Protetor 1", SUMIF(C41,Habilidades!$A$34,D41) * SUMIF(C41,Habilidades!$A$34,Habilidades!$B$34), if(C41="Protetor 2", SUMIF(C41,Habilidades!$A$35,D41) * SUMIF(C41,Habilidades!$A$35,Habilidades!$B$35), if(C41="Protetor 3", SUMIF(C41,Habilidades!$A$36,D41) * SUMIF(C41,Habilidades!$A$36,Habilidades!$B$36), if(C41="Engenhoso 1", SUMIF(C41,Habilidades!$A$40,D41) * SUMIF(C41,Habilidades!$A$40,Habilidades!$B$40), if(C41="Engenhoso 2", SUMIF(C41,Habilidades!$A$41,D41) * SUMIF(C41,Habilidades!$A$41,Habilidades!$B$41), if(C41="Engenhoso 3", SUMIF(C41,Habilidades!$A$42,D41) * SUMIF(C41,Habilidades!$A$42,Habilidades!$B$42), if(C41="Reviver 1", SUMIF(C41,Habilidades!$A$43,D41) * SUMIF(C41,Habilidades!$A$43,Habilidades!$B$43), if(C41="Reviver 2", SUMIF(C41,Habilidades!$A$44,D41) * SUMIF(C41,Habilidades!$A$44,Habilidades!$B$44), if(C41="Reviver 3", SUMIF(C41,Habilidades!$A$45,D41) * SUMIF(C41,Habilidades!$A$45,Habilidades!$B$45), if(C41="Catador 1", SUMIF(C41,Habilidades!$A$46,D41) * SUMIF(C41,Habilidades!$A$46,Habilidades!$B$46), if(C41="Catador 2", SUMIF(C41,Habilidades!$A$47,D41) * SUMIF(C41,Habilidades!$A$47,Habilidades!$B$47), if(C41="Catador 3", SUMIF(C41,Habilidades!$A$48,D41) * SUMIF(C41,Habilidades!$A$48,Habilidades!$B$48), if(C41="Fornecedor 1", SUMIF(C41,Habilidades!$A$49,D41) * SUMIF(C41,Habilidades!$A$49,Habilidades!$B$49), if(C41="Fornecedor 2", SUMIF(C41,Habilidades!$A$50,D41) * SUMIF(C41,Habilidades!$A$50,Habilidades!$B$50), if(C41="Fornecedor 3", SUMIF(C41,Habilidades!$A$51,D41) * SUMIF(C41,Habilidades!$A$51,Habilidades!$B$51), if(C41="Suporte 1", SUMIF(C41,Habilidades!$A$52,D41) * SUMIF(C41,Habilidades!$A$52,Habilidades!$B$52), if(C41="Suporte 2", SUMIF(C41,Habilidades!$A$53,D41) * SUMIF(C41,Habilidades!$A$53,Habilidades!$B$53), if(C41="Suporte 3", SUMIF(C41,Habilidades!$A$54,D41) * SUMIF(C41,Habilidades!$A$54,Habilidades!$B$54), if(C41="Caça-tesouros 1", SUMIF(C41,Habilidades!$A$55,D41) * SUMIF(C41,Habilidades!$A$55,Habilidades!$B$55), if(C41="Caça-tesouros 2", SUMIF(C41,Habilidades!$A$56,D41) * SUMIF(C41,Habilidades!$A$56,Habilidades!$B$56), if(C41="Caça-tesouros 3", SUMIF(C41,Habilidades!$A$57,D41) * SUMIF(C41,Habilidades!$A$57,Habilidades!$B$57), if(C41="Velocista 1", SUMIF(C41,Habilidades!$A$77,D41) * SUMIF(C41,Habilidades!$A$77,Habilidades!$B$77), if(C41="Velocista 2", SUMIF(C41,Habilidades!$A$78,D41) * SUMIF(C41,Habilidades!$A$78,Habilidades!$B$78), if(C41="Velocista 3", SUMIF(C41,Habilidades!$A$79,D41) * SUMIF(C41,Habilidades!$A$79,Habilidades!$B$79), "-"))))))))))))))))))))))))))))))))))))))</f>
        <v>-</v>
      </c>
      <c r="F41" s="110"/>
      <c r="G41" s="137"/>
      <c r="H41" s="137"/>
      <c r="I41" s="137"/>
      <c r="J41" s="137"/>
      <c r="K41" s="137"/>
      <c r="L41" s="137"/>
      <c r="M41" s="110"/>
      <c r="N41" s="110"/>
    </row>
    <row r="42">
      <c r="C42" s="142"/>
      <c r="D42" s="129">
        <f t="shared" si="2"/>
        <v>0</v>
      </c>
      <c r="E42" s="130" t="str">
        <f>if(C42="Detectar Segredo", SUMIF(C42,Habilidades!$A$11,D42) * SUMIF(C42,Habilidades!$A$11,Habilidades!$B$11), if(C42="Encontrar mágica", SUMIF(C42,Habilidades!$A$12,D42) * SUMIF(C42,Habilidades!$A$12,Habilidades!$B$12), if(C42="Cuidadoso 1", SUMIF(C42,Habilidades!$A$22,D42) * SUMIF(C42,Habilidades!$A$22,Habilidades!$B$22), if(C42="Cuidadoso 2", SUMIF(C42,Habilidades!$A$23,D56) * SUMIF(C42,Habilidades!$A$23,Habilidades!$B$23), if(C42="Cuidadoso 3", SUMIF(C42,Habilidades!$A$24,D42) * SUMIF(C42,Habilidades!$A$24,Habilidades!$B$24), if(C42="Ganancioso 1", SUMIF(C42,Habilidades!$A$25,D42) * SUMIF(C42,Habilidades!$A$25,Habilidades!$B$25), if(C42="Ganancioso 2", SUMIF(C42,Habilidades!$A$26,D42) * SUMIF(C42,Habilidades!$A$26,Habilidades!$B$26), if(C42="Ganancioso 3", SUMIF(C42,Habilidades!$A$27,D42) * SUMIF(C42,Habilidades!$A$27,Habilidades!$B$27), if(C42="Curandeiro 1", SUMIF(C42,Habilidades!$A$28,D42) * SUMIF(C42,Habilidades!$A$28,Habilidades!$B$28), if(C42="Curandeiro 2", SUMIF(C42,Habilidades!$A$29,D42) * SUMIF(C42,Habilidades!$A$29,Habilidades!$B$29), if(C42="Curandeiro 3", SUMIF(C42,Habilidades!$A$30,D42) * SUMIF(C42,Habilidades!$A$30,Habilidades!$B$30), if(C42="Sortudo 1", SUMIF(C42,Habilidades!$A$31,D42) * SUMIF(C42,Habilidades!$A$31,Habilidades!$B$31), if(C42="Sortudo 2", SUMIF(C42,Habilidades!$A$32,D42) * SUMIF(C42,Habilidades!$A$32,Habilidades!$B$32), if(C42="Sortudo 3", SUMIF(C42,Habilidades!$A$33,D42) * SUMIF(C42,Habilidades!$A$33,Habilidades!$B$33), if(C42="Protetor 1", SUMIF(C42,Habilidades!$A$34,D42) * SUMIF(C42,Habilidades!$A$34,Habilidades!$B$34), if(C42="Protetor 2", SUMIF(C42,Habilidades!$A$35,D42) * SUMIF(C42,Habilidades!$A$35,Habilidades!$B$35), if(C42="Protetor 3", SUMIF(C42,Habilidades!$A$36,D42) * SUMIF(C42,Habilidades!$A$36,Habilidades!$B$36), if(C42="Engenhoso 1", SUMIF(C42,Habilidades!$A$40,D42) * SUMIF(C42,Habilidades!$A$40,Habilidades!$B$40), if(C42="Engenhoso 2", SUMIF(C42,Habilidades!$A$41,D42) * SUMIF(C42,Habilidades!$A$41,Habilidades!$B$41), if(C42="Engenhoso 3", SUMIF(C42,Habilidades!$A$42,D42) * SUMIF(C42,Habilidades!$A$42,Habilidades!$B$42), if(C42="Reviver 1", SUMIF(C42,Habilidades!$A$43,D42) * SUMIF(C42,Habilidades!$A$43,Habilidades!$B$43), if(C42="Reviver 2", SUMIF(C42,Habilidades!$A$44,D42) * SUMIF(C42,Habilidades!$A$44,Habilidades!$B$44), if(C42="Reviver 3", SUMIF(C42,Habilidades!$A$45,D42) * SUMIF(C42,Habilidades!$A$45,Habilidades!$B$45), if(C42="Catador 1", SUMIF(C42,Habilidades!$A$46,D42) * SUMIF(C42,Habilidades!$A$46,Habilidades!$B$46), if(C42="Catador 2", SUMIF(C42,Habilidades!$A$47,D42) * SUMIF(C42,Habilidades!$A$47,Habilidades!$B$47), if(C42="Catador 3", SUMIF(C42,Habilidades!$A$48,D42) * SUMIF(C42,Habilidades!$A$48,Habilidades!$B$48), if(C42="Fornecedor 1", SUMIF(C42,Habilidades!$A$49,D42) * SUMIF(C42,Habilidades!$A$49,Habilidades!$B$49), if(C42="Fornecedor 2", SUMIF(C42,Habilidades!$A$50,D42) * SUMIF(C42,Habilidades!$A$50,Habilidades!$B$50), if(C42="Fornecedor 3", SUMIF(C42,Habilidades!$A$51,D42) * SUMIF(C42,Habilidades!$A$51,Habilidades!$B$51), if(C42="Suporte 1", SUMIF(C42,Habilidades!$A$52,D42) * SUMIF(C42,Habilidades!$A$52,Habilidades!$B$52), if(C42="Suporte 2", SUMIF(C42,Habilidades!$A$53,D42) * SUMIF(C42,Habilidades!$A$53,Habilidades!$B$53), if(C42="Suporte 3", SUMIF(C42,Habilidades!$A$54,D42) * SUMIF(C42,Habilidades!$A$54,Habilidades!$B$54), if(C42="Caça-tesouros 1", SUMIF(C42,Habilidades!$A$55,D42) * SUMIF(C42,Habilidades!$A$55,Habilidades!$B$55), if(C42="Caça-tesouros 2", SUMIF(C42,Habilidades!$A$56,D42) * SUMIF(C42,Habilidades!$A$56,Habilidades!$B$56), if(C42="Caça-tesouros 3", SUMIF(C42,Habilidades!$A$57,D42) * SUMIF(C42,Habilidades!$A$57,Habilidades!$B$57), if(C42="Velocista 1", SUMIF(C42,Habilidades!$A$77,D42) * SUMIF(C42,Habilidades!$A$77,Habilidades!$B$77), if(C42="Velocista 2", SUMIF(C42,Habilidades!$A$78,D42) * SUMIF(C42,Habilidades!$A$78,Habilidades!$B$78), if(C42="Velocista 3", SUMIF(C42,Habilidades!$A$79,D42) * SUMIF(C42,Habilidades!$A$79,Habilidades!$B$79), "-"))))))))))))))))))))))))))))))))))))))</f>
        <v>-</v>
      </c>
      <c r="F42" s="110"/>
      <c r="G42" s="137"/>
      <c r="H42" s="137"/>
      <c r="I42" s="137"/>
      <c r="J42" s="137"/>
      <c r="K42" s="137"/>
      <c r="L42" s="137"/>
      <c r="M42" s="110"/>
      <c r="N42" s="110"/>
    </row>
    <row r="43">
      <c r="C43" s="142"/>
      <c r="D43" s="129">
        <f t="shared" si="2"/>
        <v>0</v>
      </c>
      <c r="E43" s="130" t="str">
        <f>if(C43="Detectar Segredo", SUMIF(C43,Habilidades!$A$11,D43) * SUMIF(C43,Habilidades!$A$11,Habilidades!$B$11), if(C43="Encontrar mágica", SUMIF(C43,Habilidades!$A$12,D43) * SUMIF(C43,Habilidades!$A$12,Habilidades!$B$12), if(C43="Cuidadoso 1", SUMIF(C43,Habilidades!$A$22,D43) * SUMIF(C43,Habilidades!$A$22,Habilidades!$B$22), if(C43="Cuidadoso 2", SUMIF(C43,Habilidades!$A$23,D57) * SUMIF(C43,Habilidades!$A$23,Habilidades!$B$23), if(C43="Cuidadoso 3", SUMIF(C43,Habilidades!$A$24,D43) * SUMIF(C43,Habilidades!$A$24,Habilidades!$B$24), if(C43="Ganancioso 1", SUMIF(C43,Habilidades!$A$25,D43) * SUMIF(C43,Habilidades!$A$25,Habilidades!$B$25), if(C43="Ganancioso 2", SUMIF(C43,Habilidades!$A$26,D43) * SUMIF(C43,Habilidades!$A$26,Habilidades!$B$26), if(C43="Ganancioso 3", SUMIF(C43,Habilidades!$A$27,D43) * SUMIF(C43,Habilidades!$A$27,Habilidades!$B$27), if(C43="Curandeiro 1", SUMIF(C43,Habilidades!$A$28,D43) * SUMIF(C43,Habilidades!$A$28,Habilidades!$B$28), if(C43="Curandeiro 2", SUMIF(C43,Habilidades!$A$29,D43) * SUMIF(C43,Habilidades!$A$29,Habilidades!$B$29), if(C43="Curandeiro 3", SUMIF(C43,Habilidades!$A$30,D43) * SUMIF(C43,Habilidades!$A$30,Habilidades!$B$30), if(C43="Sortudo 1", SUMIF(C43,Habilidades!$A$31,D43) * SUMIF(C43,Habilidades!$A$31,Habilidades!$B$31), if(C43="Sortudo 2", SUMIF(C43,Habilidades!$A$32,D43) * SUMIF(C43,Habilidades!$A$32,Habilidades!$B$32), if(C43="Sortudo 3", SUMIF(C43,Habilidades!$A$33,D43) * SUMIF(C43,Habilidades!$A$33,Habilidades!$B$33), if(C43="Protetor 1", SUMIF(C43,Habilidades!$A$34,D43) * SUMIF(C43,Habilidades!$A$34,Habilidades!$B$34), if(C43="Protetor 2", SUMIF(C43,Habilidades!$A$35,D43) * SUMIF(C43,Habilidades!$A$35,Habilidades!$B$35), if(C43="Protetor 3", SUMIF(C43,Habilidades!$A$36,D43) * SUMIF(C43,Habilidades!$A$36,Habilidades!$B$36), if(C43="Engenhoso 1", SUMIF(C43,Habilidades!$A$40,D43) * SUMIF(C43,Habilidades!$A$40,Habilidades!$B$40), if(C43="Engenhoso 2", SUMIF(C43,Habilidades!$A$41,D43) * SUMIF(C43,Habilidades!$A$41,Habilidades!$B$41), if(C43="Engenhoso 3", SUMIF(C43,Habilidades!$A$42,D43) * SUMIF(C43,Habilidades!$A$42,Habilidades!$B$42), if(C43="Reviver 1", SUMIF(C43,Habilidades!$A$43,D43) * SUMIF(C43,Habilidades!$A$43,Habilidades!$B$43), if(C43="Reviver 2", SUMIF(C43,Habilidades!$A$44,D43) * SUMIF(C43,Habilidades!$A$44,Habilidades!$B$44), if(C43="Reviver 3", SUMIF(C43,Habilidades!$A$45,D43) * SUMIF(C43,Habilidades!$A$45,Habilidades!$B$45), if(C43="Catador 1", SUMIF(C43,Habilidades!$A$46,D43) * SUMIF(C43,Habilidades!$A$46,Habilidades!$B$46), if(C43="Catador 2", SUMIF(C43,Habilidades!$A$47,D43) * SUMIF(C43,Habilidades!$A$47,Habilidades!$B$47), if(C43="Catador 3", SUMIF(C43,Habilidades!$A$48,D43) * SUMIF(C43,Habilidades!$A$48,Habilidades!$B$48), if(C43="Fornecedor 1", SUMIF(C43,Habilidades!$A$49,D43) * SUMIF(C43,Habilidades!$A$49,Habilidades!$B$49), if(C43="Fornecedor 2", SUMIF(C43,Habilidades!$A$50,D43) * SUMIF(C43,Habilidades!$A$50,Habilidades!$B$50), if(C43="Fornecedor 3", SUMIF(C43,Habilidades!$A$51,D43) * SUMIF(C43,Habilidades!$A$51,Habilidades!$B$51), if(C43="Suporte 1", SUMIF(C43,Habilidades!$A$52,D43) * SUMIF(C43,Habilidades!$A$52,Habilidades!$B$52), if(C43="Suporte 2", SUMIF(C43,Habilidades!$A$53,D43) * SUMIF(C43,Habilidades!$A$53,Habilidades!$B$53), if(C43="Suporte 3", SUMIF(C43,Habilidades!$A$54,D43) * SUMIF(C43,Habilidades!$A$54,Habilidades!$B$54), if(C43="Caça-tesouros 1", SUMIF(C43,Habilidades!$A$55,D43) * SUMIF(C43,Habilidades!$A$55,Habilidades!$B$55), if(C43="Caça-tesouros 2", SUMIF(C43,Habilidades!$A$56,D43) * SUMIF(C43,Habilidades!$A$56,Habilidades!$B$56), if(C43="Caça-tesouros 3", SUMIF(C43,Habilidades!$A$57,D43) * SUMIF(C43,Habilidades!$A$57,Habilidades!$B$57), if(C43="Velocista 1", SUMIF(C43,Habilidades!$A$77,D43) * SUMIF(C43,Habilidades!$A$77,Habilidades!$B$77), if(C43="Velocista 2", SUMIF(C43,Habilidades!$A$78,D43) * SUMIF(C43,Habilidades!$A$78,Habilidades!$B$78), if(C43="Velocista 3", SUMIF(C43,Habilidades!$A$79,D43) * SUMIF(C43,Habilidades!$A$79,Habilidades!$B$79), "-"))))))))))))))))))))))))))))))))))))))</f>
        <v>-</v>
      </c>
      <c r="F43" s="110"/>
      <c r="G43" s="137"/>
      <c r="H43" s="137"/>
      <c r="I43" s="137"/>
      <c r="J43" s="137"/>
      <c r="K43" s="137"/>
      <c r="L43" s="137"/>
      <c r="M43" s="110"/>
      <c r="N43" s="110"/>
    </row>
    <row r="44">
      <c r="C44" s="142"/>
      <c r="D44" s="129">
        <f t="shared" si="2"/>
        <v>0</v>
      </c>
      <c r="E44" s="130" t="str">
        <f>if(C44="Detectar Segredo", SUMIF(C44,Habilidades!$A$11,D44) * SUMIF(C44,Habilidades!$A$11,Habilidades!$B$11), if(C44="Encontrar mágica", SUMIF(C44,Habilidades!$A$12,D44) * SUMIF(C44,Habilidades!$A$12,Habilidades!$B$12), if(C44="Cuidadoso 1", SUMIF(C44,Habilidades!$A$22,D44) * SUMIF(C44,Habilidades!$A$22,Habilidades!$B$22), if(C44="Cuidadoso 2", SUMIF(C44,Habilidades!$A$23,D58) * SUMIF(C44,Habilidades!$A$23,Habilidades!$B$23), if(C44="Cuidadoso 3", SUMIF(C44,Habilidades!$A$24,D44) * SUMIF(C44,Habilidades!$A$24,Habilidades!$B$24), if(C44="Ganancioso 1", SUMIF(C44,Habilidades!$A$25,D44) * SUMIF(C44,Habilidades!$A$25,Habilidades!$B$25), if(C44="Ganancioso 2", SUMIF(C44,Habilidades!$A$26,D44) * SUMIF(C44,Habilidades!$A$26,Habilidades!$B$26), if(C44="Ganancioso 3", SUMIF(C44,Habilidades!$A$27,D44) * SUMIF(C44,Habilidades!$A$27,Habilidades!$B$27), if(C44="Curandeiro 1", SUMIF(C44,Habilidades!$A$28,D44) * SUMIF(C44,Habilidades!$A$28,Habilidades!$B$28), if(C44="Curandeiro 2", SUMIF(C44,Habilidades!$A$29,D44) * SUMIF(C44,Habilidades!$A$29,Habilidades!$B$29), if(C44="Curandeiro 3", SUMIF(C44,Habilidades!$A$30,D44) * SUMIF(C44,Habilidades!$A$30,Habilidades!$B$30), if(C44="Sortudo 1", SUMIF(C44,Habilidades!$A$31,D44) * SUMIF(C44,Habilidades!$A$31,Habilidades!$B$31), if(C44="Sortudo 2", SUMIF(C44,Habilidades!$A$32,D44) * SUMIF(C44,Habilidades!$A$32,Habilidades!$B$32), if(C44="Sortudo 3", SUMIF(C44,Habilidades!$A$33,D44) * SUMIF(C44,Habilidades!$A$33,Habilidades!$B$33), if(C44="Protetor 1", SUMIF(C44,Habilidades!$A$34,D44) * SUMIF(C44,Habilidades!$A$34,Habilidades!$B$34), if(C44="Protetor 2", SUMIF(C44,Habilidades!$A$35,D44) * SUMIF(C44,Habilidades!$A$35,Habilidades!$B$35), if(C44="Protetor 3", SUMIF(C44,Habilidades!$A$36,D44) * SUMIF(C44,Habilidades!$A$36,Habilidades!$B$36), if(C44="Engenhoso 1", SUMIF(C44,Habilidades!$A$40,D44) * SUMIF(C44,Habilidades!$A$40,Habilidades!$B$40), if(C44="Engenhoso 2", SUMIF(C44,Habilidades!$A$41,D44) * SUMIF(C44,Habilidades!$A$41,Habilidades!$B$41), if(C44="Engenhoso 3", SUMIF(C44,Habilidades!$A$42,D44) * SUMIF(C44,Habilidades!$A$42,Habilidades!$B$42), if(C44="Reviver 1", SUMIF(C44,Habilidades!$A$43,D44) * SUMIF(C44,Habilidades!$A$43,Habilidades!$B$43), if(C44="Reviver 2", SUMIF(C44,Habilidades!$A$44,D44) * SUMIF(C44,Habilidades!$A$44,Habilidades!$B$44), if(C44="Reviver 3", SUMIF(C44,Habilidades!$A$45,D44) * SUMIF(C44,Habilidades!$A$45,Habilidades!$B$45), if(C44="Catador 1", SUMIF(C44,Habilidades!$A$46,D44) * SUMIF(C44,Habilidades!$A$46,Habilidades!$B$46), if(C44="Catador 2", SUMIF(C44,Habilidades!$A$47,D44) * SUMIF(C44,Habilidades!$A$47,Habilidades!$B$47), if(C44="Catador 3", SUMIF(C44,Habilidades!$A$48,D44) * SUMIF(C44,Habilidades!$A$48,Habilidades!$B$48), if(C44="Fornecedor 1", SUMIF(C44,Habilidades!$A$49,D44) * SUMIF(C44,Habilidades!$A$49,Habilidades!$B$49), if(C44="Fornecedor 2", SUMIF(C44,Habilidades!$A$50,D44) * SUMIF(C44,Habilidades!$A$50,Habilidades!$B$50), if(C44="Fornecedor 3", SUMIF(C44,Habilidades!$A$51,D44) * SUMIF(C44,Habilidades!$A$51,Habilidades!$B$51), if(C44="Suporte 1", SUMIF(C44,Habilidades!$A$52,D44) * SUMIF(C44,Habilidades!$A$52,Habilidades!$B$52), if(C44="Suporte 2", SUMIF(C44,Habilidades!$A$53,D44) * SUMIF(C44,Habilidades!$A$53,Habilidades!$B$53), if(C44="Suporte 3", SUMIF(C44,Habilidades!$A$54,D44) * SUMIF(C44,Habilidades!$A$54,Habilidades!$B$54), if(C44="Caça-tesouros 1", SUMIF(C44,Habilidades!$A$55,D44) * SUMIF(C44,Habilidades!$A$55,Habilidades!$B$55), if(C44="Caça-tesouros 2", SUMIF(C44,Habilidades!$A$56,D44) * SUMIF(C44,Habilidades!$A$56,Habilidades!$B$56), if(C44="Caça-tesouros 3", SUMIF(C44,Habilidades!$A$57,D44) * SUMIF(C44,Habilidades!$A$57,Habilidades!$B$57), if(C44="Velocista 1", SUMIF(C44,Habilidades!$A$77,D44) * SUMIF(C44,Habilidades!$A$77,Habilidades!$B$77), if(C44="Velocista 2", SUMIF(C44,Habilidades!$A$78,D44) * SUMIF(C44,Habilidades!$A$78,Habilidades!$B$78), if(C44="Velocista 3", SUMIF(C44,Habilidades!$A$79,D44) * SUMIF(C44,Habilidades!$A$79,Habilidades!$B$79), "-"))))))))))))))))))))))))))))))))))))))</f>
        <v>-</v>
      </c>
      <c r="F44" s="110"/>
      <c r="G44" s="110"/>
      <c r="H44" s="110"/>
      <c r="I44" s="110"/>
      <c r="J44" s="110"/>
      <c r="K44" s="110"/>
      <c r="L44" s="110"/>
      <c r="M44" s="110"/>
      <c r="N44" s="110"/>
    </row>
    <row r="45">
      <c r="C45" s="142"/>
      <c r="D45" s="129">
        <f t="shared" si="2"/>
        <v>0</v>
      </c>
      <c r="E45" s="130" t="str">
        <f>if(C45="Detectar Segredo", SUMIF(C45,Habilidades!$A$11,D45) * SUMIF(C45,Habilidades!$A$11,Habilidades!$B$11), if(C45="Encontrar mágica", SUMIF(C45,Habilidades!$A$12,D45) * SUMIF(C45,Habilidades!$A$12,Habilidades!$B$12), if(C45="Cuidadoso 1", SUMIF(C45,Habilidades!$A$22,D45) * SUMIF(C45,Habilidades!$A$22,Habilidades!$B$22), if(C45="Cuidadoso 2", SUMIF(C45,Habilidades!$A$23,D59) * SUMIF(C45,Habilidades!$A$23,Habilidades!$B$23), if(C45="Cuidadoso 3", SUMIF(C45,Habilidades!$A$24,D45) * SUMIF(C45,Habilidades!$A$24,Habilidades!$B$24), if(C45="Ganancioso 1", SUMIF(C45,Habilidades!$A$25,D45) * SUMIF(C45,Habilidades!$A$25,Habilidades!$B$25), if(C45="Ganancioso 2", SUMIF(C45,Habilidades!$A$26,D45) * SUMIF(C45,Habilidades!$A$26,Habilidades!$B$26), if(C45="Ganancioso 3", SUMIF(C45,Habilidades!$A$27,D45) * SUMIF(C45,Habilidades!$A$27,Habilidades!$B$27), if(C45="Curandeiro 1", SUMIF(C45,Habilidades!$A$28,D45) * SUMIF(C45,Habilidades!$A$28,Habilidades!$B$28), if(C45="Curandeiro 2", SUMIF(C45,Habilidades!$A$29,D45) * SUMIF(C45,Habilidades!$A$29,Habilidades!$B$29), if(C45="Curandeiro 3", SUMIF(C45,Habilidades!$A$30,D45) * SUMIF(C45,Habilidades!$A$30,Habilidades!$B$30), if(C45="Sortudo 1", SUMIF(C45,Habilidades!$A$31,D45) * SUMIF(C45,Habilidades!$A$31,Habilidades!$B$31), if(C45="Sortudo 2", SUMIF(C45,Habilidades!$A$32,D45) * SUMIF(C45,Habilidades!$A$32,Habilidades!$B$32), if(C45="Sortudo 3", SUMIF(C45,Habilidades!$A$33,D45) * SUMIF(C45,Habilidades!$A$33,Habilidades!$B$33), if(C45="Protetor 1", SUMIF(C45,Habilidades!$A$34,D45) * SUMIF(C45,Habilidades!$A$34,Habilidades!$B$34), if(C45="Protetor 2", SUMIF(C45,Habilidades!$A$35,D45) * SUMIF(C45,Habilidades!$A$35,Habilidades!$B$35), if(C45="Protetor 3", SUMIF(C45,Habilidades!$A$36,D45) * SUMIF(C45,Habilidades!$A$36,Habilidades!$B$36), if(C45="Engenhoso 1", SUMIF(C45,Habilidades!$A$40,D45) * SUMIF(C45,Habilidades!$A$40,Habilidades!$B$40), if(C45="Engenhoso 2", SUMIF(C45,Habilidades!$A$41,D45) * SUMIF(C45,Habilidades!$A$41,Habilidades!$B$41), if(C45="Engenhoso 3", SUMIF(C45,Habilidades!$A$42,D45) * SUMIF(C45,Habilidades!$A$42,Habilidades!$B$42), if(C45="Reviver 1", SUMIF(C45,Habilidades!$A$43,D45) * SUMIF(C45,Habilidades!$A$43,Habilidades!$B$43), if(C45="Reviver 2", SUMIF(C45,Habilidades!$A$44,D45) * SUMIF(C45,Habilidades!$A$44,Habilidades!$B$44), if(C45="Reviver 3", SUMIF(C45,Habilidades!$A$45,D45) * SUMIF(C45,Habilidades!$A$45,Habilidades!$B$45), if(C45="Catador 1", SUMIF(C45,Habilidades!$A$46,D45) * SUMIF(C45,Habilidades!$A$46,Habilidades!$B$46), if(C45="Catador 2", SUMIF(C45,Habilidades!$A$47,D45) * SUMIF(C45,Habilidades!$A$47,Habilidades!$B$47), if(C45="Catador 3", SUMIF(C45,Habilidades!$A$48,D45) * SUMIF(C45,Habilidades!$A$48,Habilidades!$B$48), if(C45="Fornecedor 1", SUMIF(C45,Habilidades!$A$49,D45) * SUMIF(C45,Habilidades!$A$49,Habilidades!$B$49), if(C45="Fornecedor 2", SUMIF(C45,Habilidades!$A$50,D45) * SUMIF(C45,Habilidades!$A$50,Habilidades!$B$50), if(C45="Fornecedor 3", SUMIF(C45,Habilidades!$A$51,D45) * SUMIF(C45,Habilidades!$A$51,Habilidades!$B$51), if(C45="Suporte 1", SUMIF(C45,Habilidades!$A$52,D45) * SUMIF(C45,Habilidades!$A$52,Habilidades!$B$52), if(C45="Suporte 2", SUMIF(C45,Habilidades!$A$53,D45) * SUMIF(C45,Habilidades!$A$53,Habilidades!$B$53), if(C45="Suporte 3", SUMIF(C45,Habilidades!$A$54,D45) * SUMIF(C45,Habilidades!$A$54,Habilidades!$B$54), if(C45="Caça-tesouros 1", SUMIF(C45,Habilidades!$A$55,D45) * SUMIF(C45,Habilidades!$A$55,Habilidades!$B$55), if(C45="Caça-tesouros 2", SUMIF(C45,Habilidades!$A$56,D45) * SUMIF(C45,Habilidades!$A$56,Habilidades!$B$56), if(C45="Caça-tesouros 3", SUMIF(C45,Habilidades!$A$57,D45) * SUMIF(C45,Habilidades!$A$57,Habilidades!$B$57), if(C45="Velocista 1", SUMIF(C45,Habilidades!$A$77,D45) * SUMIF(C45,Habilidades!$A$77,Habilidades!$B$77), if(C45="Velocista 2", SUMIF(C45,Habilidades!$A$78,D45) * SUMIF(C45,Habilidades!$A$78,Habilidades!$B$78), if(C45="Velocista 3", SUMIF(C45,Habilidades!$A$79,D45) * SUMIF(C45,Habilidades!$A$79,Habilidades!$B$79), "-"))))))))))))))))))))))))))))))))))))))</f>
        <v>-</v>
      </c>
      <c r="F45" s="110"/>
      <c r="G45" s="110"/>
      <c r="H45" s="110"/>
      <c r="I45" s="110"/>
      <c r="J45" s="110"/>
      <c r="K45" s="110"/>
      <c r="L45" s="110"/>
      <c r="M45" s="110"/>
      <c r="N45" s="110"/>
    </row>
    <row r="46">
      <c r="C46" s="142"/>
      <c r="D46" s="129">
        <f t="shared" si="2"/>
        <v>0</v>
      </c>
      <c r="E46" s="130" t="str">
        <f>if(C46="Detectar Segredo", SUMIF(C46,Habilidades!$A$11,D46) * SUMIF(C46,Habilidades!$A$11,Habilidades!$B$11), if(C46="Encontrar mágica", SUMIF(C46,Habilidades!$A$12,D46) * SUMIF(C46,Habilidades!$A$12,Habilidades!$B$12), if(C46="Cuidadoso 1", SUMIF(C46,Habilidades!$A$22,D46) * SUMIF(C46,Habilidades!$A$22,Habilidades!$B$22), if(C46="Cuidadoso 2", SUMIF(C46,Habilidades!$A$23,D60) * SUMIF(C46,Habilidades!$A$23,Habilidades!$B$23), if(C46="Cuidadoso 3", SUMIF(C46,Habilidades!$A$24,D46) * SUMIF(C46,Habilidades!$A$24,Habilidades!$B$24), if(C46="Ganancioso 1", SUMIF(C46,Habilidades!$A$25,D46) * SUMIF(C46,Habilidades!$A$25,Habilidades!$B$25), if(C46="Ganancioso 2", SUMIF(C46,Habilidades!$A$26,D46) * SUMIF(C46,Habilidades!$A$26,Habilidades!$B$26), if(C46="Ganancioso 3", SUMIF(C46,Habilidades!$A$27,D46) * SUMIF(C46,Habilidades!$A$27,Habilidades!$B$27), if(C46="Curandeiro 1", SUMIF(C46,Habilidades!$A$28,D46) * SUMIF(C46,Habilidades!$A$28,Habilidades!$B$28), if(C46="Curandeiro 2", SUMIF(C46,Habilidades!$A$29,D46) * SUMIF(C46,Habilidades!$A$29,Habilidades!$B$29), if(C46="Curandeiro 3", SUMIF(C46,Habilidades!$A$30,D46) * SUMIF(C46,Habilidades!$A$30,Habilidades!$B$30), if(C46="Sortudo 1", SUMIF(C46,Habilidades!$A$31,D46) * SUMIF(C46,Habilidades!$A$31,Habilidades!$B$31), if(C46="Sortudo 2", SUMIF(C46,Habilidades!$A$32,D46) * SUMIF(C46,Habilidades!$A$32,Habilidades!$B$32), if(C46="Sortudo 3", SUMIF(C46,Habilidades!$A$33,D46) * SUMIF(C46,Habilidades!$A$33,Habilidades!$B$33), if(C46="Protetor 1", SUMIF(C46,Habilidades!$A$34,D46) * SUMIF(C46,Habilidades!$A$34,Habilidades!$B$34), if(C46="Protetor 2", SUMIF(C46,Habilidades!$A$35,D46) * SUMIF(C46,Habilidades!$A$35,Habilidades!$B$35), if(C46="Protetor 3", SUMIF(C46,Habilidades!$A$36,D46) * SUMIF(C46,Habilidades!$A$36,Habilidades!$B$36), if(C46="Engenhoso 1", SUMIF(C46,Habilidades!$A$40,D46) * SUMIF(C46,Habilidades!$A$40,Habilidades!$B$40), if(C46="Engenhoso 2", SUMIF(C46,Habilidades!$A$41,D46) * SUMIF(C46,Habilidades!$A$41,Habilidades!$B$41), if(C46="Engenhoso 3", SUMIF(C46,Habilidades!$A$42,D46) * SUMIF(C46,Habilidades!$A$42,Habilidades!$B$42), if(C46="Reviver 1", SUMIF(C46,Habilidades!$A$43,D46) * SUMIF(C46,Habilidades!$A$43,Habilidades!$B$43), if(C46="Reviver 2", SUMIF(C46,Habilidades!$A$44,D46) * SUMIF(C46,Habilidades!$A$44,Habilidades!$B$44), if(C46="Reviver 3", SUMIF(C46,Habilidades!$A$45,D46) * SUMIF(C46,Habilidades!$A$45,Habilidades!$B$45), if(C46="Catador 1", SUMIF(C46,Habilidades!$A$46,D46) * SUMIF(C46,Habilidades!$A$46,Habilidades!$B$46), if(C46="Catador 2", SUMIF(C46,Habilidades!$A$47,D46) * SUMIF(C46,Habilidades!$A$47,Habilidades!$B$47), if(C46="Catador 3", SUMIF(C46,Habilidades!$A$48,D46) * SUMIF(C46,Habilidades!$A$48,Habilidades!$B$48), if(C46="Fornecedor 1", SUMIF(C46,Habilidades!$A$49,D46) * SUMIF(C46,Habilidades!$A$49,Habilidades!$B$49), if(C46="Fornecedor 2", SUMIF(C46,Habilidades!$A$50,D46) * SUMIF(C46,Habilidades!$A$50,Habilidades!$B$50), if(C46="Fornecedor 3", SUMIF(C46,Habilidades!$A$51,D46) * SUMIF(C46,Habilidades!$A$51,Habilidades!$B$51), if(C46="Suporte 1", SUMIF(C46,Habilidades!$A$52,D46) * SUMIF(C46,Habilidades!$A$52,Habilidades!$B$52), if(C46="Suporte 2", SUMIF(C46,Habilidades!$A$53,D46) * SUMIF(C46,Habilidades!$A$53,Habilidades!$B$53), if(C46="Suporte 3", SUMIF(C46,Habilidades!$A$54,D46) * SUMIF(C46,Habilidades!$A$54,Habilidades!$B$54), if(C46="Caça-tesouros 1", SUMIF(C46,Habilidades!$A$55,D46) * SUMIF(C46,Habilidades!$A$55,Habilidades!$B$55), if(C46="Caça-tesouros 2", SUMIF(C46,Habilidades!$A$56,D46) * SUMIF(C46,Habilidades!$A$56,Habilidades!$B$56), if(C46="Caça-tesouros 3", SUMIF(C46,Habilidades!$A$57,D46) * SUMIF(C46,Habilidades!$A$57,Habilidades!$B$57), if(C46="Velocista 1", SUMIF(C46,Habilidades!$A$77,D46) * SUMIF(C46,Habilidades!$A$77,Habilidades!$B$77), if(C46="Velocista 2", SUMIF(C46,Habilidades!$A$78,D46) * SUMIF(C46,Habilidades!$A$78,Habilidades!$B$78), if(C46="Velocista 3", SUMIF(C46,Habilidades!$A$79,D46) * SUMIF(C46,Habilidades!$A$79,Habilidades!$B$79), "-"))))))))))))))))))))))))))))))))))))))</f>
        <v>-</v>
      </c>
      <c r="F46" s="110"/>
      <c r="G46" s="110"/>
      <c r="H46" s="110"/>
      <c r="I46" s="110"/>
      <c r="J46" s="110"/>
      <c r="K46" s="110"/>
      <c r="L46" s="110"/>
      <c r="M46" s="110"/>
      <c r="N46" s="110"/>
    </row>
    <row r="47">
      <c r="C47" s="142"/>
      <c r="D47" s="129">
        <f t="shared" si="2"/>
        <v>0</v>
      </c>
      <c r="E47" s="130" t="str">
        <f>if(C47="Detectar Segredo", SUMIF(C47,Habilidades!$A$11,D47) * SUMIF(C47,Habilidades!$A$11,Habilidades!$B$11), if(C47="Encontrar mágica", SUMIF(C47,Habilidades!$A$12,D47) * SUMIF(C47,Habilidades!$A$12,Habilidades!$B$12), if(C47="Cuidadoso 1", SUMIF(C47,Habilidades!$A$22,D47) * SUMIF(C47,Habilidades!$A$22,Habilidades!$B$22), if(C47="Cuidadoso 2", SUMIF(C47,Habilidades!$A$23,D61) * SUMIF(C47,Habilidades!$A$23,Habilidades!$B$23), if(C47="Cuidadoso 3", SUMIF(C47,Habilidades!$A$24,D47) * SUMIF(C47,Habilidades!$A$24,Habilidades!$B$24), if(C47="Ganancioso 1", SUMIF(C47,Habilidades!$A$25,D47) * SUMIF(C47,Habilidades!$A$25,Habilidades!$B$25), if(C47="Ganancioso 2", SUMIF(C47,Habilidades!$A$26,D47) * SUMIF(C47,Habilidades!$A$26,Habilidades!$B$26), if(C47="Ganancioso 3", SUMIF(C47,Habilidades!$A$27,D47) * SUMIF(C47,Habilidades!$A$27,Habilidades!$B$27), if(C47="Curandeiro 1", SUMIF(C47,Habilidades!$A$28,D47) * SUMIF(C47,Habilidades!$A$28,Habilidades!$B$28), if(C47="Curandeiro 2", SUMIF(C47,Habilidades!$A$29,D47) * SUMIF(C47,Habilidades!$A$29,Habilidades!$B$29), if(C47="Curandeiro 3", SUMIF(C47,Habilidades!$A$30,D47) * SUMIF(C47,Habilidades!$A$30,Habilidades!$B$30), if(C47="Sortudo 1", SUMIF(C47,Habilidades!$A$31,D47) * SUMIF(C47,Habilidades!$A$31,Habilidades!$B$31), if(C47="Sortudo 2", SUMIF(C47,Habilidades!$A$32,D47) * SUMIF(C47,Habilidades!$A$32,Habilidades!$B$32), if(C47="Sortudo 3", SUMIF(C47,Habilidades!$A$33,D47) * SUMIF(C47,Habilidades!$A$33,Habilidades!$B$33), if(C47="Protetor 1", SUMIF(C47,Habilidades!$A$34,D47) * SUMIF(C47,Habilidades!$A$34,Habilidades!$B$34), if(C47="Protetor 2", SUMIF(C47,Habilidades!$A$35,D47) * SUMIF(C47,Habilidades!$A$35,Habilidades!$B$35), if(C47="Protetor 3", SUMIF(C47,Habilidades!$A$36,D47) * SUMIF(C47,Habilidades!$A$36,Habilidades!$B$36), if(C47="Engenhoso 1", SUMIF(C47,Habilidades!$A$40,D47) * SUMIF(C47,Habilidades!$A$40,Habilidades!$B$40), if(C47="Engenhoso 2", SUMIF(C47,Habilidades!$A$41,D47) * SUMIF(C47,Habilidades!$A$41,Habilidades!$B$41), if(C47="Engenhoso 3", SUMIF(C47,Habilidades!$A$42,D47) * SUMIF(C47,Habilidades!$A$42,Habilidades!$B$42), if(C47="Reviver 1", SUMIF(C47,Habilidades!$A$43,D47) * SUMIF(C47,Habilidades!$A$43,Habilidades!$B$43), if(C47="Reviver 2", SUMIF(C47,Habilidades!$A$44,D47) * SUMIF(C47,Habilidades!$A$44,Habilidades!$B$44), if(C47="Reviver 3", SUMIF(C47,Habilidades!$A$45,D47) * SUMIF(C47,Habilidades!$A$45,Habilidades!$B$45), if(C47="Catador 1", SUMIF(C47,Habilidades!$A$46,D47) * SUMIF(C47,Habilidades!$A$46,Habilidades!$B$46), if(C47="Catador 2", SUMIF(C47,Habilidades!$A$47,D47) * SUMIF(C47,Habilidades!$A$47,Habilidades!$B$47), if(C47="Catador 3", SUMIF(C47,Habilidades!$A$48,D47) * SUMIF(C47,Habilidades!$A$48,Habilidades!$B$48), if(C47="Fornecedor 1", SUMIF(C47,Habilidades!$A$49,D47) * SUMIF(C47,Habilidades!$A$49,Habilidades!$B$49), if(C47="Fornecedor 2", SUMIF(C47,Habilidades!$A$50,D47) * SUMIF(C47,Habilidades!$A$50,Habilidades!$B$50), if(C47="Fornecedor 3", SUMIF(C47,Habilidades!$A$51,D47) * SUMIF(C47,Habilidades!$A$51,Habilidades!$B$51), if(C47="Suporte 1", SUMIF(C47,Habilidades!$A$52,D47) * SUMIF(C47,Habilidades!$A$52,Habilidades!$B$52), if(C47="Suporte 2", SUMIF(C47,Habilidades!$A$53,D47) * SUMIF(C47,Habilidades!$A$53,Habilidades!$B$53), if(C47="Suporte 3", SUMIF(C47,Habilidades!$A$54,D47) * SUMIF(C47,Habilidades!$A$54,Habilidades!$B$54), if(C47="Caça-tesouros 1", SUMIF(C47,Habilidades!$A$55,D47) * SUMIF(C47,Habilidades!$A$55,Habilidades!$B$55), if(C47="Caça-tesouros 2", SUMIF(C47,Habilidades!$A$56,D47) * SUMIF(C47,Habilidades!$A$56,Habilidades!$B$56), if(C47="Caça-tesouros 3", SUMIF(C47,Habilidades!$A$57,D47) * SUMIF(C47,Habilidades!$A$57,Habilidades!$B$57), if(C47="Velocista 1", SUMIF(C47,Habilidades!$A$77,D47) * SUMIF(C47,Habilidades!$A$77,Habilidades!$B$77), if(C47="Velocista 2", SUMIF(C47,Habilidades!$A$78,D47) * SUMIF(C47,Habilidades!$A$78,Habilidades!$B$78), if(C47="Velocista 3", SUMIF(C47,Habilidades!$A$79,D47) * SUMIF(C47,Habilidades!$A$79,Habilidades!$B$79), "-"))))))))))))))))))))))))))))))))))))))</f>
        <v>-</v>
      </c>
      <c r="F47" s="110"/>
      <c r="G47" s="110"/>
      <c r="H47" s="110"/>
      <c r="I47" s="110"/>
      <c r="J47" s="110"/>
      <c r="K47" s="110"/>
      <c r="L47" s="110"/>
      <c r="M47" s="110"/>
      <c r="N47" s="110"/>
    </row>
    <row r="48">
      <c r="C48" s="142"/>
      <c r="D48" s="129">
        <f t="shared" si="2"/>
        <v>0</v>
      </c>
      <c r="E48" s="130" t="str">
        <f>if(C48="Detectar Segredo", SUMIF(C48,Habilidades!$A$11,D48) * SUMIF(C48,Habilidades!$A$11,Habilidades!$B$11), if(C48="Encontrar mágica", SUMIF(C48,Habilidades!$A$12,D48) * SUMIF(C48,Habilidades!$A$12,Habilidades!$B$12), if(C48="Cuidadoso 1", SUMIF(C48,Habilidades!$A$22,D48) * SUMIF(C48,Habilidades!$A$22,Habilidades!$B$22), if(C48="Cuidadoso 2", SUMIF(C48,Habilidades!$A$23,D62) * SUMIF(C48,Habilidades!$A$23,Habilidades!$B$23), if(C48="Cuidadoso 3", SUMIF(C48,Habilidades!$A$24,D48) * SUMIF(C48,Habilidades!$A$24,Habilidades!$B$24), if(C48="Ganancioso 1", SUMIF(C48,Habilidades!$A$25,D48) * SUMIF(C48,Habilidades!$A$25,Habilidades!$B$25), if(C48="Ganancioso 2", SUMIF(C48,Habilidades!$A$26,D48) * SUMIF(C48,Habilidades!$A$26,Habilidades!$B$26), if(C48="Ganancioso 3", SUMIF(C48,Habilidades!$A$27,D48) * SUMIF(C48,Habilidades!$A$27,Habilidades!$B$27), if(C48="Curandeiro 1", SUMIF(C48,Habilidades!$A$28,D48) * SUMIF(C48,Habilidades!$A$28,Habilidades!$B$28), if(C48="Curandeiro 2", SUMIF(C48,Habilidades!$A$29,D48) * SUMIF(C48,Habilidades!$A$29,Habilidades!$B$29), if(C48="Curandeiro 3", SUMIF(C48,Habilidades!$A$30,D48) * SUMIF(C48,Habilidades!$A$30,Habilidades!$B$30), if(C48="Sortudo 1", SUMIF(C48,Habilidades!$A$31,D48) * SUMIF(C48,Habilidades!$A$31,Habilidades!$B$31), if(C48="Sortudo 2", SUMIF(C48,Habilidades!$A$32,D48) * SUMIF(C48,Habilidades!$A$32,Habilidades!$B$32), if(C48="Sortudo 3", SUMIF(C48,Habilidades!$A$33,D48) * SUMIF(C48,Habilidades!$A$33,Habilidades!$B$33), if(C48="Protetor 1", SUMIF(C48,Habilidades!$A$34,D48) * SUMIF(C48,Habilidades!$A$34,Habilidades!$B$34), if(C48="Protetor 2", SUMIF(C48,Habilidades!$A$35,D48) * SUMIF(C48,Habilidades!$A$35,Habilidades!$B$35), if(C48="Protetor 3", SUMIF(C48,Habilidades!$A$36,D48) * SUMIF(C48,Habilidades!$A$36,Habilidades!$B$36), if(C48="Engenhoso 1", SUMIF(C48,Habilidades!$A$40,D48) * SUMIF(C48,Habilidades!$A$40,Habilidades!$B$40), if(C48="Engenhoso 2", SUMIF(C48,Habilidades!$A$41,D48) * SUMIF(C48,Habilidades!$A$41,Habilidades!$B$41), if(C48="Engenhoso 3", SUMIF(C48,Habilidades!$A$42,D48) * SUMIF(C48,Habilidades!$A$42,Habilidades!$B$42), if(C48="Reviver 1", SUMIF(C48,Habilidades!$A$43,D48) * SUMIF(C48,Habilidades!$A$43,Habilidades!$B$43), if(C48="Reviver 2", SUMIF(C48,Habilidades!$A$44,D48) * SUMIF(C48,Habilidades!$A$44,Habilidades!$B$44), if(C48="Reviver 3", SUMIF(C48,Habilidades!$A$45,D48) * SUMIF(C48,Habilidades!$A$45,Habilidades!$B$45), if(C48="Catador 1", SUMIF(C48,Habilidades!$A$46,D48) * SUMIF(C48,Habilidades!$A$46,Habilidades!$B$46), if(C48="Catador 2", SUMIF(C48,Habilidades!$A$47,D48) * SUMIF(C48,Habilidades!$A$47,Habilidades!$B$47), if(C48="Catador 3", SUMIF(C48,Habilidades!$A$48,D48) * SUMIF(C48,Habilidades!$A$48,Habilidades!$B$48), if(C48="Fornecedor 1", SUMIF(C48,Habilidades!$A$49,D48) * SUMIF(C48,Habilidades!$A$49,Habilidades!$B$49), if(C48="Fornecedor 2", SUMIF(C48,Habilidades!$A$50,D48) * SUMIF(C48,Habilidades!$A$50,Habilidades!$B$50), if(C48="Fornecedor 3", SUMIF(C48,Habilidades!$A$51,D48) * SUMIF(C48,Habilidades!$A$51,Habilidades!$B$51), if(C48="Suporte 1", SUMIF(C48,Habilidades!$A$52,D48) * SUMIF(C48,Habilidades!$A$52,Habilidades!$B$52), if(C48="Suporte 2", SUMIF(C48,Habilidades!$A$53,D48) * SUMIF(C48,Habilidades!$A$53,Habilidades!$B$53), if(C48="Suporte 3", SUMIF(C48,Habilidades!$A$54,D48) * SUMIF(C48,Habilidades!$A$54,Habilidades!$B$54), if(C48="Caça-tesouros 1", SUMIF(C48,Habilidades!$A$55,D48) * SUMIF(C48,Habilidades!$A$55,Habilidades!$B$55), if(C48="Caça-tesouros 2", SUMIF(C48,Habilidades!$A$56,D48) * SUMIF(C48,Habilidades!$A$56,Habilidades!$B$56), if(C48="Caça-tesouros 3", SUMIF(C48,Habilidades!$A$57,D48) * SUMIF(C48,Habilidades!$A$57,Habilidades!$B$57), if(C48="Velocista 1", SUMIF(C48,Habilidades!$A$77,D48) * SUMIF(C48,Habilidades!$A$77,Habilidades!$B$77), if(C48="Velocista 2", SUMIF(C48,Habilidades!$A$78,D48) * SUMIF(C48,Habilidades!$A$78,Habilidades!$B$78), if(C48="Velocista 3", SUMIF(C48,Habilidades!$A$79,D48) * SUMIF(C48,Habilidades!$A$79,Habilidades!$B$79), "-"))))))))))))))))))))))))))))))))))))))</f>
        <v>-</v>
      </c>
      <c r="F48" s="110"/>
      <c r="G48" s="110"/>
      <c r="H48" s="110"/>
      <c r="I48" s="110"/>
      <c r="J48" s="110"/>
      <c r="K48" s="110"/>
      <c r="L48" s="110"/>
      <c r="M48" s="110"/>
      <c r="N48" s="110"/>
    </row>
    <row r="49">
      <c r="C49" s="142"/>
      <c r="D49" s="129">
        <f t="shared" si="2"/>
        <v>0</v>
      </c>
      <c r="E49" s="130" t="str">
        <f>if(C49="Detectar Segredo", SUMIF(C49,Habilidades!$A$11,D49) * SUMIF(C49,Habilidades!$A$11,Habilidades!$B$11), if(C49="Encontrar mágica", SUMIF(C49,Habilidades!$A$12,D49) * SUMIF(C49,Habilidades!$A$12,Habilidades!$B$12), if(C49="Cuidadoso 1", SUMIF(C49,Habilidades!$A$22,D49) * SUMIF(C49,Habilidades!$A$22,Habilidades!$B$22), if(C49="Cuidadoso 2", SUMIF(C49,Habilidades!$A$23,D63) * SUMIF(C49,Habilidades!$A$23,Habilidades!$B$23), if(C49="Cuidadoso 3", SUMIF(C49,Habilidades!$A$24,D49) * SUMIF(C49,Habilidades!$A$24,Habilidades!$B$24), if(C49="Ganancioso 1", SUMIF(C49,Habilidades!$A$25,D49) * SUMIF(C49,Habilidades!$A$25,Habilidades!$B$25), if(C49="Ganancioso 2", SUMIF(C49,Habilidades!$A$26,D49) * SUMIF(C49,Habilidades!$A$26,Habilidades!$B$26), if(C49="Ganancioso 3", SUMIF(C49,Habilidades!$A$27,D49) * SUMIF(C49,Habilidades!$A$27,Habilidades!$B$27), if(C49="Curandeiro 1", SUMIF(C49,Habilidades!$A$28,D49) * SUMIF(C49,Habilidades!$A$28,Habilidades!$B$28), if(C49="Curandeiro 2", SUMIF(C49,Habilidades!$A$29,D49) * SUMIF(C49,Habilidades!$A$29,Habilidades!$B$29), if(C49="Curandeiro 3", SUMIF(C49,Habilidades!$A$30,D49) * SUMIF(C49,Habilidades!$A$30,Habilidades!$B$30), if(C49="Sortudo 1", SUMIF(C49,Habilidades!$A$31,D49) * SUMIF(C49,Habilidades!$A$31,Habilidades!$B$31), if(C49="Sortudo 2", SUMIF(C49,Habilidades!$A$32,D49) * SUMIF(C49,Habilidades!$A$32,Habilidades!$B$32), if(C49="Sortudo 3", SUMIF(C49,Habilidades!$A$33,D49) * SUMIF(C49,Habilidades!$A$33,Habilidades!$B$33), if(C49="Protetor 1", SUMIF(C49,Habilidades!$A$34,D49) * SUMIF(C49,Habilidades!$A$34,Habilidades!$B$34), if(C49="Protetor 2", SUMIF(C49,Habilidades!$A$35,D49) * SUMIF(C49,Habilidades!$A$35,Habilidades!$B$35), if(C49="Protetor 3", SUMIF(C49,Habilidades!$A$36,D49) * SUMIF(C49,Habilidades!$A$36,Habilidades!$B$36), if(C49="Engenhoso 1", SUMIF(C49,Habilidades!$A$40,D49) * SUMIF(C49,Habilidades!$A$40,Habilidades!$B$40), if(C49="Engenhoso 2", SUMIF(C49,Habilidades!$A$41,D49) * SUMIF(C49,Habilidades!$A$41,Habilidades!$B$41), if(C49="Engenhoso 3", SUMIF(C49,Habilidades!$A$42,D49) * SUMIF(C49,Habilidades!$A$42,Habilidades!$B$42), if(C49="Reviver 1", SUMIF(C49,Habilidades!$A$43,D49) * SUMIF(C49,Habilidades!$A$43,Habilidades!$B$43), if(C49="Reviver 2", SUMIF(C49,Habilidades!$A$44,D49) * SUMIF(C49,Habilidades!$A$44,Habilidades!$B$44), if(C49="Reviver 3", SUMIF(C49,Habilidades!$A$45,D49) * SUMIF(C49,Habilidades!$A$45,Habilidades!$B$45), if(C49="Catador 1", SUMIF(C49,Habilidades!$A$46,D49) * SUMIF(C49,Habilidades!$A$46,Habilidades!$B$46), if(C49="Catador 2", SUMIF(C49,Habilidades!$A$47,D49) * SUMIF(C49,Habilidades!$A$47,Habilidades!$B$47), if(C49="Catador 3", SUMIF(C49,Habilidades!$A$48,D49) * SUMIF(C49,Habilidades!$A$48,Habilidades!$B$48), if(C49="Fornecedor 1", SUMIF(C49,Habilidades!$A$49,D49) * SUMIF(C49,Habilidades!$A$49,Habilidades!$B$49), if(C49="Fornecedor 2", SUMIF(C49,Habilidades!$A$50,D49) * SUMIF(C49,Habilidades!$A$50,Habilidades!$B$50), if(C49="Fornecedor 3", SUMIF(C49,Habilidades!$A$51,D49) * SUMIF(C49,Habilidades!$A$51,Habilidades!$B$51), if(C49="Suporte 1", SUMIF(C49,Habilidades!$A$52,D49) * SUMIF(C49,Habilidades!$A$52,Habilidades!$B$52), if(C49="Suporte 2", SUMIF(C49,Habilidades!$A$53,D49) * SUMIF(C49,Habilidades!$A$53,Habilidades!$B$53), if(C49="Suporte 3", SUMIF(C49,Habilidades!$A$54,D49) * SUMIF(C49,Habilidades!$A$54,Habilidades!$B$54), if(C49="Caça-tesouros 1", SUMIF(C49,Habilidades!$A$55,D49) * SUMIF(C49,Habilidades!$A$55,Habilidades!$B$55), if(C49="Caça-tesouros 2", SUMIF(C49,Habilidades!$A$56,D49) * SUMIF(C49,Habilidades!$A$56,Habilidades!$B$56), if(C49="Caça-tesouros 3", SUMIF(C49,Habilidades!$A$57,D49) * SUMIF(C49,Habilidades!$A$57,Habilidades!$B$57), if(C49="Velocista 1", SUMIF(C49,Habilidades!$A$77,D49) * SUMIF(C49,Habilidades!$A$77,Habilidades!$B$77), if(C49="Velocista 2", SUMIF(C49,Habilidades!$A$78,D49) * SUMIF(C49,Habilidades!$A$78,Habilidades!$B$78), if(C49="Velocista 3", SUMIF(C49,Habilidades!$A$79,D49) * SUMIF(C49,Habilidades!$A$79,Habilidades!$B$79), "-"))))))))))))))))))))))))))))))))))))))</f>
        <v>-</v>
      </c>
      <c r="F49" s="110"/>
      <c r="G49" s="110"/>
      <c r="H49" s="110"/>
      <c r="I49" s="110"/>
      <c r="J49" s="110"/>
      <c r="K49" s="110"/>
      <c r="L49" s="110"/>
      <c r="M49" s="110"/>
      <c r="N49" s="110"/>
    </row>
    <row r="50">
      <c r="C50" s="142"/>
      <c r="D50" s="129">
        <f t="shared" si="2"/>
        <v>0</v>
      </c>
      <c r="E50" s="130" t="str">
        <f>if(C50="Detectar Segredo", SUMIF(C50,Habilidades!$A$11,D50) * SUMIF(C50,Habilidades!$A$11,Habilidades!$B$11), if(C50="Encontrar mágica", SUMIF(C50,Habilidades!$A$12,D50) * SUMIF(C50,Habilidades!$A$12,Habilidades!$B$12), if(C50="Cuidadoso 1", SUMIF(C50,Habilidades!$A$22,D50) * SUMIF(C50,Habilidades!$A$22,Habilidades!$B$22), if(C50="Cuidadoso 2", SUMIF(C50,Habilidades!$A$23,D64) * SUMIF(C50,Habilidades!$A$23,Habilidades!$B$23), if(C50="Cuidadoso 3", SUMIF(C50,Habilidades!$A$24,D50) * SUMIF(C50,Habilidades!$A$24,Habilidades!$B$24), if(C50="Ganancioso 1", SUMIF(C50,Habilidades!$A$25,D50) * SUMIF(C50,Habilidades!$A$25,Habilidades!$B$25), if(C50="Ganancioso 2", SUMIF(C50,Habilidades!$A$26,D50) * SUMIF(C50,Habilidades!$A$26,Habilidades!$B$26), if(C50="Ganancioso 3", SUMIF(C50,Habilidades!$A$27,D50) * SUMIF(C50,Habilidades!$A$27,Habilidades!$B$27), if(C50="Curandeiro 1", SUMIF(C50,Habilidades!$A$28,D50) * SUMIF(C50,Habilidades!$A$28,Habilidades!$B$28), if(C50="Curandeiro 2", SUMIF(C50,Habilidades!$A$29,D50) * SUMIF(C50,Habilidades!$A$29,Habilidades!$B$29), if(C50="Curandeiro 3", SUMIF(C50,Habilidades!$A$30,D50) * SUMIF(C50,Habilidades!$A$30,Habilidades!$B$30), if(C50="Sortudo 1", SUMIF(C50,Habilidades!$A$31,D50) * SUMIF(C50,Habilidades!$A$31,Habilidades!$B$31), if(C50="Sortudo 2", SUMIF(C50,Habilidades!$A$32,D50) * SUMIF(C50,Habilidades!$A$32,Habilidades!$B$32), if(C50="Sortudo 3", SUMIF(C50,Habilidades!$A$33,D50) * SUMIF(C50,Habilidades!$A$33,Habilidades!$B$33), if(C50="Protetor 1", SUMIF(C50,Habilidades!$A$34,D50) * SUMIF(C50,Habilidades!$A$34,Habilidades!$B$34), if(C50="Protetor 2", SUMIF(C50,Habilidades!$A$35,D50) * SUMIF(C50,Habilidades!$A$35,Habilidades!$B$35), if(C50="Protetor 3", SUMIF(C50,Habilidades!$A$36,D50) * SUMIF(C50,Habilidades!$A$36,Habilidades!$B$36), if(C50="Engenhoso 1", SUMIF(C50,Habilidades!$A$40,D50) * SUMIF(C50,Habilidades!$A$40,Habilidades!$B$40), if(C50="Engenhoso 2", SUMIF(C50,Habilidades!$A$41,D50) * SUMIF(C50,Habilidades!$A$41,Habilidades!$B$41), if(C50="Engenhoso 3", SUMIF(C50,Habilidades!$A$42,D50) * SUMIF(C50,Habilidades!$A$42,Habilidades!$B$42), if(C50="Reviver 1", SUMIF(C50,Habilidades!$A$43,D50) * SUMIF(C50,Habilidades!$A$43,Habilidades!$B$43), if(C50="Reviver 2", SUMIF(C50,Habilidades!$A$44,D50) * SUMIF(C50,Habilidades!$A$44,Habilidades!$B$44), if(C50="Reviver 3", SUMIF(C50,Habilidades!$A$45,D50) * SUMIF(C50,Habilidades!$A$45,Habilidades!$B$45), if(C50="Catador 1", SUMIF(C50,Habilidades!$A$46,D50) * SUMIF(C50,Habilidades!$A$46,Habilidades!$B$46), if(C50="Catador 2", SUMIF(C50,Habilidades!$A$47,D50) * SUMIF(C50,Habilidades!$A$47,Habilidades!$B$47), if(C50="Catador 3", SUMIF(C50,Habilidades!$A$48,D50) * SUMIF(C50,Habilidades!$A$48,Habilidades!$B$48), if(C50="Fornecedor 1", SUMIF(C50,Habilidades!$A$49,D50) * SUMIF(C50,Habilidades!$A$49,Habilidades!$B$49), if(C50="Fornecedor 2", SUMIF(C50,Habilidades!$A$50,D50) * SUMIF(C50,Habilidades!$A$50,Habilidades!$B$50), if(C50="Fornecedor 3", SUMIF(C50,Habilidades!$A$51,D50) * SUMIF(C50,Habilidades!$A$51,Habilidades!$B$51), if(C50="Suporte 1", SUMIF(C50,Habilidades!$A$52,D50) * SUMIF(C50,Habilidades!$A$52,Habilidades!$B$52), if(C50="Suporte 2", SUMIF(C50,Habilidades!$A$53,D50) * SUMIF(C50,Habilidades!$A$53,Habilidades!$B$53), if(C50="Suporte 3", SUMIF(C50,Habilidades!$A$54,D50) * SUMIF(C50,Habilidades!$A$54,Habilidades!$B$54), if(C50="Caça-tesouros 1", SUMIF(C50,Habilidades!$A$55,D50) * SUMIF(C50,Habilidades!$A$55,Habilidades!$B$55), if(C50="Caça-tesouros 2", SUMIF(C50,Habilidades!$A$56,D50) * SUMIF(C50,Habilidades!$A$56,Habilidades!$B$56), if(C50="Caça-tesouros 3", SUMIF(C50,Habilidades!$A$57,D50) * SUMIF(C50,Habilidades!$A$57,Habilidades!$B$57), if(C50="Velocista 1", SUMIF(C50,Habilidades!$A$77,D50) * SUMIF(C50,Habilidades!$A$77,Habilidades!$B$77), if(C50="Velocista 2", SUMIF(C50,Habilidades!$A$78,D50) * SUMIF(C50,Habilidades!$A$78,Habilidades!$B$78), if(C50="Velocista 3", SUMIF(C50,Habilidades!$A$79,D50) * SUMIF(C50,Habilidades!$A$79,Habilidades!$B$79), "-"))))))))))))))))))))))))))))))))))))))</f>
        <v>-</v>
      </c>
      <c r="F50" s="110"/>
      <c r="G50" s="110"/>
      <c r="H50" s="110"/>
      <c r="I50" s="110"/>
      <c r="J50" s="110"/>
      <c r="K50" s="110"/>
      <c r="L50" s="110"/>
      <c r="M50" s="110"/>
      <c r="N50" s="110"/>
    </row>
    <row r="51">
      <c r="C51" s="142"/>
      <c r="D51" s="129">
        <f t="shared" si="2"/>
        <v>0</v>
      </c>
      <c r="E51" s="130" t="str">
        <f>if(C51="Detectar Segredo", SUMIF(C51,Habilidades!$A$11,D51) * SUMIF(C51,Habilidades!$A$11,Habilidades!$B$11), if(C51="Encontrar mágica", SUMIF(C51,Habilidades!$A$12,D51) * SUMIF(C51,Habilidades!$A$12,Habilidades!$B$12), if(C51="Cuidadoso 1", SUMIF(C51,Habilidades!$A$22,D51) * SUMIF(C51,Habilidades!$A$22,Habilidades!$B$22), if(C51="Cuidadoso 2", SUMIF(C51,Habilidades!$A$23,D65) * SUMIF(C51,Habilidades!$A$23,Habilidades!$B$23), if(C51="Cuidadoso 3", SUMIF(C51,Habilidades!$A$24,D51) * SUMIF(C51,Habilidades!$A$24,Habilidades!$B$24), if(C51="Ganancioso 1", SUMIF(C51,Habilidades!$A$25,D51) * SUMIF(C51,Habilidades!$A$25,Habilidades!$B$25), if(C51="Ganancioso 2", SUMIF(C51,Habilidades!$A$26,D51) * SUMIF(C51,Habilidades!$A$26,Habilidades!$B$26), if(C51="Ganancioso 3", SUMIF(C51,Habilidades!$A$27,D51) * SUMIF(C51,Habilidades!$A$27,Habilidades!$B$27), if(C51="Curandeiro 1", SUMIF(C51,Habilidades!$A$28,D51) * SUMIF(C51,Habilidades!$A$28,Habilidades!$B$28), if(C51="Curandeiro 2", SUMIF(C51,Habilidades!$A$29,D51) * SUMIF(C51,Habilidades!$A$29,Habilidades!$B$29), if(C51="Curandeiro 3", SUMIF(C51,Habilidades!$A$30,D51) * SUMIF(C51,Habilidades!$A$30,Habilidades!$B$30), if(C51="Sortudo 1", SUMIF(C51,Habilidades!$A$31,D51) * SUMIF(C51,Habilidades!$A$31,Habilidades!$B$31), if(C51="Sortudo 2", SUMIF(C51,Habilidades!$A$32,D51) * SUMIF(C51,Habilidades!$A$32,Habilidades!$B$32), if(C51="Sortudo 3", SUMIF(C51,Habilidades!$A$33,D51) * SUMIF(C51,Habilidades!$A$33,Habilidades!$B$33), if(C51="Protetor 1", SUMIF(C51,Habilidades!$A$34,D51) * SUMIF(C51,Habilidades!$A$34,Habilidades!$B$34), if(C51="Protetor 2", SUMIF(C51,Habilidades!$A$35,D51) * SUMIF(C51,Habilidades!$A$35,Habilidades!$B$35), if(C51="Protetor 3", SUMIF(C51,Habilidades!$A$36,D51) * SUMIF(C51,Habilidades!$A$36,Habilidades!$B$36), if(C51="Engenhoso 1", SUMIF(C51,Habilidades!$A$40,D51) * SUMIF(C51,Habilidades!$A$40,Habilidades!$B$40), if(C51="Engenhoso 2", SUMIF(C51,Habilidades!$A$41,D51) * SUMIF(C51,Habilidades!$A$41,Habilidades!$B$41), if(C51="Engenhoso 3", SUMIF(C51,Habilidades!$A$42,D51) * SUMIF(C51,Habilidades!$A$42,Habilidades!$B$42), if(C51="Reviver 1", SUMIF(C51,Habilidades!$A$43,D51) * SUMIF(C51,Habilidades!$A$43,Habilidades!$B$43), if(C51="Reviver 2", SUMIF(C51,Habilidades!$A$44,D51) * SUMIF(C51,Habilidades!$A$44,Habilidades!$B$44), if(C51="Reviver 3", SUMIF(C51,Habilidades!$A$45,D51) * SUMIF(C51,Habilidades!$A$45,Habilidades!$B$45), if(C51="Catador 1", SUMIF(C51,Habilidades!$A$46,D51) * SUMIF(C51,Habilidades!$A$46,Habilidades!$B$46), if(C51="Catador 2", SUMIF(C51,Habilidades!$A$47,D51) * SUMIF(C51,Habilidades!$A$47,Habilidades!$B$47), if(C51="Catador 3", SUMIF(C51,Habilidades!$A$48,D51) * SUMIF(C51,Habilidades!$A$48,Habilidades!$B$48), if(C51="Fornecedor 1", SUMIF(C51,Habilidades!$A$49,D51) * SUMIF(C51,Habilidades!$A$49,Habilidades!$B$49), if(C51="Fornecedor 2", SUMIF(C51,Habilidades!$A$50,D51) * SUMIF(C51,Habilidades!$A$50,Habilidades!$B$50), if(C51="Fornecedor 3", SUMIF(C51,Habilidades!$A$51,D51) * SUMIF(C51,Habilidades!$A$51,Habilidades!$B$51), if(C51="Suporte 1", SUMIF(C51,Habilidades!$A$52,D51) * SUMIF(C51,Habilidades!$A$52,Habilidades!$B$52), if(C51="Suporte 2", SUMIF(C51,Habilidades!$A$53,D51) * SUMIF(C51,Habilidades!$A$53,Habilidades!$B$53), if(C51="Suporte 3", SUMIF(C51,Habilidades!$A$54,D51) * SUMIF(C51,Habilidades!$A$54,Habilidades!$B$54), if(C51="Caça-tesouros 1", SUMIF(C51,Habilidades!$A$55,D51) * SUMIF(C51,Habilidades!$A$55,Habilidades!$B$55), if(C51="Caça-tesouros 2", SUMIF(C51,Habilidades!$A$56,D51) * SUMIF(C51,Habilidades!$A$56,Habilidades!$B$56), if(C51="Caça-tesouros 3", SUMIF(C51,Habilidades!$A$57,D51) * SUMIF(C51,Habilidades!$A$57,Habilidades!$B$57), if(C51="Velocista 1", SUMIF(C51,Habilidades!$A$77,D51) * SUMIF(C51,Habilidades!$A$77,Habilidades!$B$77), if(C51="Velocista 2", SUMIF(C51,Habilidades!$A$78,D51) * SUMIF(C51,Habilidades!$A$78,Habilidades!$B$78), if(C51="Velocista 3", SUMIF(C51,Habilidades!$A$79,D51) * SUMIF(C51,Habilidades!$A$79,Habilidades!$B$79), "-"))))))))))))))))))))))))))))))))))))))</f>
        <v>-</v>
      </c>
      <c r="F51" s="110"/>
      <c r="G51" s="110"/>
      <c r="H51" s="110"/>
      <c r="I51" s="110"/>
      <c r="J51" s="110"/>
      <c r="K51" s="110"/>
      <c r="L51" s="110"/>
      <c r="M51" s="110"/>
      <c r="N51" s="110"/>
    </row>
    <row r="52">
      <c r="C52" s="142"/>
      <c r="D52" s="129">
        <f t="shared" si="2"/>
        <v>0</v>
      </c>
      <c r="E52" s="130" t="str">
        <f>if(C52="Detectar Segredo", SUMIF(C52,Habilidades!$A$11,D52) * SUMIF(C52,Habilidades!$A$11,Habilidades!$B$11), if(C52="Encontrar mágica", SUMIF(C52,Habilidades!$A$12,D52) * SUMIF(C52,Habilidades!$A$12,Habilidades!$B$12), if(C52="Cuidadoso 1", SUMIF(C52,Habilidades!$A$22,D52) * SUMIF(C52,Habilidades!$A$22,Habilidades!$B$22), if(C52="Cuidadoso 2", SUMIF(C52,Habilidades!$A$23,D66) * SUMIF(C52,Habilidades!$A$23,Habilidades!$B$23), if(C52="Cuidadoso 3", SUMIF(C52,Habilidades!$A$24,D52) * SUMIF(C52,Habilidades!$A$24,Habilidades!$B$24), if(C52="Ganancioso 1", SUMIF(C52,Habilidades!$A$25,D52) * SUMIF(C52,Habilidades!$A$25,Habilidades!$B$25), if(C52="Ganancioso 2", SUMIF(C52,Habilidades!$A$26,D52) * SUMIF(C52,Habilidades!$A$26,Habilidades!$B$26), if(C52="Ganancioso 3", SUMIF(C52,Habilidades!$A$27,D52) * SUMIF(C52,Habilidades!$A$27,Habilidades!$B$27), if(C52="Curandeiro 1", SUMIF(C52,Habilidades!$A$28,D52) * SUMIF(C52,Habilidades!$A$28,Habilidades!$B$28), if(C52="Curandeiro 2", SUMIF(C52,Habilidades!$A$29,D52) * SUMIF(C52,Habilidades!$A$29,Habilidades!$B$29), if(C52="Curandeiro 3", SUMIF(C52,Habilidades!$A$30,D52) * SUMIF(C52,Habilidades!$A$30,Habilidades!$B$30), if(C52="Sortudo 1", SUMIF(C52,Habilidades!$A$31,D52) * SUMIF(C52,Habilidades!$A$31,Habilidades!$B$31), if(C52="Sortudo 2", SUMIF(C52,Habilidades!$A$32,D52) * SUMIF(C52,Habilidades!$A$32,Habilidades!$B$32), if(C52="Sortudo 3", SUMIF(C52,Habilidades!$A$33,D52) * SUMIF(C52,Habilidades!$A$33,Habilidades!$B$33), if(C52="Protetor 1", SUMIF(C52,Habilidades!$A$34,D52) * SUMIF(C52,Habilidades!$A$34,Habilidades!$B$34), if(C52="Protetor 2", SUMIF(C52,Habilidades!$A$35,D52) * SUMIF(C52,Habilidades!$A$35,Habilidades!$B$35), if(C52="Protetor 3", SUMIF(C52,Habilidades!$A$36,D52) * SUMIF(C52,Habilidades!$A$36,Habilidades!$B$36), if(C52="Engenhoso 1", SUMIF(C52,Habilidades!$A$40,D52) * SUMIF(C52,Habilidades!$A$40,Habilidades!$B$40), if(C52="Engenhoso 2", SUMIF(C52,Habilidades!$A$41,D52) * SUMIF(C52,Habilidades!$A$41,Habilidades!$B$41), if(C52="Engenhoso 3", SUMIF(C52,Habilidades!$A$42,D52) * SUMIF(C52,Habilidades!$A$42,Habilidades!$B$42), if(C52="Reviver 1", SUMIF(C52,Habilidades!$A$43,D52) * SUMIF(C52,Habilidades!$A$43,Habilidades!$B$43), if(C52="Reviver 2", SUMIF(C52,Habilidades!$A$44,D52) * SUMIF(C52,Habilidades!$A$44,Habilidades!$B$44), if(C52="Reviver 3", SUMIF(C52,Habilidades!$A$45,D52) * SUMIF(C52,Habilidades!$A$45,Habilidades!$B$45), if(C52="Catador 1", SUMIF(C52,Habilidades!$A$46,D52) * SUMIF(C52,Habilidades!$A$46,Habilidades!$B$46), if(C52="Catador 2", SUMIF(C52,Habilidades!$A$47,D52) * SUMIF(C52,Habilidades!$A$47,Habilidades!$B$47), if(C52="Catador 3", SUMIF(C52,Habilidades!$A$48,D52) * SUMIF(C52,Habilidades!$A$48,Habilidades!$B$48), if(C52="Fornecedor 1", SUMIF(C52,Habilidades!$A$49,D52) * SUMIF(C52,Habilidades!$A$49,Habilidades!$B$49), if(C52="Fornecedor 2", SUMIF(C52,Habilidades!$A$50,D52) * SUMIF(C52,Habilidades!$A$50,Habilidades!$B$50), if(C52="Fornecedor 3", SUMIF(C52,Habilidades!$A$51,D52) * SUMIF(C52,Habilidades!$A$51,Habilidades!$B$51), if(C52="Suporte 1", SUMIF(C52,Habilidades!$A$52,D52) * SUMIF(C52,Habilidades!$A$52,Habilidades!$B$52), if(C52="Suporte 2", SUMIF(C52,Habilidades!$A$53,D52) * SUMIF(C52,Habilidades!$A$53,Habilidades!$B$53), if(C52="Suporte 3", SUMIF(C52,Habilidades!$A$54,D52) * SUMIF(C52,Habilidades!$A$54,Habilidades!$B$54), if(C52="Caça-tesouros 1", SUMIF(C52,Habilidades!$A$55,D52) * SUMIF(C52,Habilidades!$A$55,Habilidades!$B$55), if(C52="Caça-tesouros 2", SUMIF(C52,Habilidades!$A$56,D52) * SUMIF(C52,Habilidades!$A$56,Habilidades!$B$56), if(C52="Caça-tesouros 3", SUMIF(C52,Habilidades!$A$57,D52) * SUMIF(C52,Habilidades!$A$57,Habilidades!$B$57), if(C52="Velocista 1", SUMIF(C52,Habilidades!$A$77,D52) * SUMIF(C52,Habilidades!$A$77,Habilidades!$B$77), if(C52="Velocista 2", SUMIF(C52,Habilidades!$A$78,D52) * SUMIF(C52,Habilidades!$A$78,Habilidades!$B$78), if(C52="Velocista 3", SUMIF(C52,Habilidades!$A$79,D52) * SUMIF(C52,Habilidades!$A$79,Habilidades!$B$79), "-"))))))))))))))))))))))))))))))))))))))</f>
        <v>-</v>
      </c>
      <c r="F52" s="110"/>
      <c r="G52" s="110"/>
      <c r="H52" s="110"/>
      <c r="I52" s="110"/>
      <c r="J52" s="110"/>
      <c r="K52" s="110"/>
      <c r="L52" s="110"/>
      <c r="M52" s="110"/>
      <c r="N52" s="110"/>
    </row>
    <row r="53">
      <c r="C53" s="142"/>
      <c r="D53" s="129">
        <f t="shared" si="2"/>
        <v>0</v>
      </c>
      <c r="E53" s="130" t="str">
        <f>if(C53="Detectar Segredo", SUMIF(C53,Habilidades!$A$11,D53) * SUMIF(C53,Habilidades!$A$11,Habilidades!$B$11), if(C53="Encontrar mágica", SUMIF(C53,Habilidades!$A$12,D53) * SUMIF(C53,Habilidades!$A$12,Habilidades!$B$12), if(C53="Cuidadoso 1", SUMIF(C53,Habilidades!$A$22,D53) * SUMIF(C53,Habilidades!$A$22,Habilidades!$B$22), if(C53="Cuidadoso 2", SUMIF(C53,Habilidades!$A$23,D67) * SUMIF(C53,Habilidades!$A$23,Habilidades!$B$23), if(C53="Cuidadoso 3", SUMIF(C53,Habilidades!$A$24,D53) * SUMIF(C53,Habilidades!$A$24,Habilidades!$B$24), if(C53="Ganancioso 1", SUMIF(C53,Habilidades!$A$25,D53) * SUMIF(C53,Habilidades!$A$25,Habilidades!$B$25), if(C53="Ganancioso 2", SUMIF(C53,Habilidades!$A$26,D53) * SUMIF(C53,Habilidades!$A$26,Habilidades!$B$26), if(C53="Ganancioso 3", SUMIF(C53,Habilidades!$A$27,D53) * SUMIF(C53,Habilidades!$A$27,Habilidades!$B$27), if(C53="Curandeiro 1", SUMIF(C53,Habilidades!$A$28,D53) * SUMIF(C53,Habilidades!$A$28,Habilidades!$B$28), if(C53="Curandeiro 2", SUMIF(C53,Habilidades!$A$29,D53) * SUMIF(C53,Habilidades!$A$29,Habilidades!$B$29), if(C53="Curandeiro 3", SUMIF(C53,Habilidades!$A$30,D53) * SUMIF(C53,Habilidades!$A$30,Habilidades!$B$30), if(C53="Sortudo 1", SUMIF(C53,Habilidades!$A$31,D53) * SUMIF(C53,Habilidades!$A$31,Habilidades!$B$31), if(C53="Sortudo 2", SUMIF(C53,Habilidades!$A$32,D53) * SUMIF(C53,Habilidades!$A$32,Habilidades!$B$32), if(C53="Sortudo 3", SUMIF(C53,Habilidades!$A$33,D53) * SUMIF(C53,Habilidades!$A$33,Habilidades!$B$33), if(C53="Protetor 1", SUMIF(C53,Habilidades!$A$34,D53) * SUMIF(C53,Habilidades!$A$34,Habilidades!$B$34), if(C53="Protetor 2", SUMIF(C53,Habilidades!$A$35,D53) * SUMIF(C53,Habilidades!$A$35,Habilidades!$B$35), if(C53="Protetor 3", SUMIF(C53,Habilidades!$A$36,D53) * SUMIF(C53,Habilidades!$A$36,Habilidades!$B$36), if(C53="Engenhoso 1", SUMIF(C53,Habilidades!$A$40,D53) * SUMIF(C53,Habilidades!$A$40,Habilidades!$B$40), if(C53="Engenhoso 2", SUMIF(C53,Habilidades!$A$41,D53) * SUMIF(C53,Habilidades!$A$41,Habilidades!$B$41), if(C53="Engenhoso 3", SUMIF(C53,Habilidades!$A$42,D53) * SUMIF(C53,Habilidades!$A$42,Habilidades!$B$42), if(C53="Reviver 1", SUMIF(C53,Habilidades!$A$43,D53) * SUMIF(C53,Habilidades!$A$43,Habilidades!$B$43), if(C53="Reviver 2", SUMIF(C53,Habilidades!$A$44,D53) * SUMIF(C53,Habilidades!$A$44,Habilidades!$B$44), if(C53="Reviver 3", SUMIF(C53,Habilidades!$A$45,D53) * SUMIF(C53,Habilidades!$A$45,Habilidades!$B$45), if(C53="Catador 1", SUMIF(C53,Habilidades!$A$46,D53) * SUMIF(C53,Habilidades!$A$46,Habilidades!$B$46), if(C53="Catador 2", SUMIF(C53,Habilidades!$A$47,D53) * SUMIF(C53,Habilidades!$A$47,Habilidades!$B$47), if(C53="Catador 3", SUMIF(C53,Habilidades!$A$48,D53) * SUMIF(C53,Habilidades!$A$48,Habilidades!$B$48), if(C53="Fornecedor 1", SUMIF(C53,Habilidades!$A$49,D53) * SUMIF(C53,Habilidades!$A$49,Habilidades!$B$49), if(C53="Fornecedor 2", SUMIF(C53,Habilidades!$A$50,D53) * SUMIF(C53,Habilidades!$A$50,Habilidades!$B$50), if(C53="Fornecedor 3", SUMIF(C53,Habilidades!$A$51,D53) * SUMIF(C53,Habilidades!$A$51,Habilidades!$B$51), if(C53="Suporte 1", SUMIF(C53,Habilidades!$A$52,D53) * SUMIF(C53,Habilidades!$A$52,Habilidades!$B$52), if(C53="Suporte 2", SUMIF(C53,Habilidades!$A$53,D53) * SUMIF(C53,Habilidades!$A$53,Habilidades!$B$53), if(C53="Suporte 3", SUMIF(C53,Habilidades!$A$54,D53) * SUMIF(C53,Habilidades!$A$54,Habilidades!$B$54), if(C53="Caça-tesouros 1", SUMIF(C53,Habilidades!$A$55,D53) * SUMIF(C53,Habilidades!$A$55,Habilidades!$B$55), if(C53="Caça-tesouros 2", SUMIF(C53,Habilidades!$A$56,D53) * SUMIF(C53,Habilidades!$A$56,Habilidades!$B$56), if(C53="Caça-tesouros 3", SUMIF(C53,Habilidades!$A$57,D53) * SUMIF(C53,Habilidades!$A$57,Habilidades!$B$57), if(C53="Velocista 1", SUMIF(C53,Habilidades!$A$77,D53) * SUMIF(C53,Habilidades!$A$77,Habilidades!$B$77), if(C53="Velocista 2", SUMIF(C53,Habilidades!$A$78,D53) * SUMIF(C53,Habilidades!$A$78,Habilidades!$B$78), if(C53="Velocista 3", SUMIF(C53,Habilidades!$A$79,D53) * SUMIF(C53,Habilidades!$A$79,Habilidades!$B$79), "-"))))))))))))))))))))))))))))))))))))))</f>
        <v>-</v>
      </c>
      <c r="F53" s="110"/>
      <c r="G53" s="110"/>
      <c r="H53" s="110"/>
      <c r="I53" s="110"/>
      <c r="J53" s="110"/>
      <c r="K53" s="110"/>
      <c r="L53" s="110"/>
      <c r="M53" s="110"/>
      <c r="N53" s="110"/>
    </row>
    <row r="54">
      <c r="C54" s="142"/>
      <c r="D54" s="129">
        <f t="shared" si="2"/>
        <v>0</v>
      </c>
      <c r="E54" s="130" t="str">
        <f>if(C54="Detectar Segredo", SUMIF(C54,Habilidades!$A$11,D54) * SUMIF(C54,Habilidades!$A$11,Habilidades!$B$11), if(C54="Encontrar mágica", SUMIF(C54,Habilidades!$A$12,D54) * SUMIF(C54,Habilidades!$A$12,Habilidades!$B$12), if(C54="Cuidadoso 1", SUMIF(C54,Habilidades!$A$22,D54) * SUMIF(C54,Habilidades!$A$22,Habilidades!$B$22), if(C54="Cuidadoso 2", SUMIF(C54,Habilidades!$A$23,D68) * SUMIF(C54,Habilidades!$A$23,Habilidades!$B$23), if(C54="Cuidadoso 3", SUMIF(C54,Habilidades!$A$24,D54) * SUMIF(C54,Habilidades!$A$24,Habilidades!$B$24), if(C54="Ganancioso 1", SUMIF(C54,Habilidades!$A$25,D54) * SUMIF(C54,Habilidades!$A$25,Habilidades!$B$25), if(C54="Ganancioso 2", SUMIF(C54,Habilidades!$A$26,D54) * SUMIF(C54,Habilidades!$A$26,Habilidades!$B$26), if(C54="Ganancioso 3", SUMIF(C54,Habilidades!$A$27,D54) * SUMIF(C54,Habilidades!$A$27,Habilidades!$B$27), if(C54="Curandeiro 1", SUMIF(C54,Habilidades!$A$28,D54) * SUMIF(C54,Habilidades!$A$28,Habilidades!$B$28), if(C54="Curandeiro 2", SUMIF(C54,Habilidades!$A$29,D54) * SUMIF(C54,Habilidades!$A$29,Habilidades!$B$29), if(C54="Curandeiro 3", SUMIF(C54,Habilidades!$A$30,D54) * SUMIF(C54,Habilidades!$A$30,Habilidades!$B$30), if(C54="Sortudo 1", SUMIF(C54,Habilidades!$A$31,D54) * SUMIF(C54,Habilidades!$A$31,Habilidades!$B$31), if(C54="Sortudo 2", SUMIF(C54,Habilidades!$A$32,D54) * SUMIF(C54,Habilidades!$A$32,Habilidades!$B$32), if(C54="Sortudo 3", SUMIF(C54,Habilidades!$A$33,D54) * SUMIF(C54,Habilidades!$A$33,Habilidades!$B$33), if(C54="Protetor 1", SUMIF(C54,Habilidades!$A$34,D54) * SUMIF(C54,Habilidades!$A$34,Habilidades!$B$34), if(C54="Protetor 2", SUMIF(C54,Habilidades!$A$35,D54) * SUMIF(C54,Habilidades!$A$35,Habilidades!$B$35), if(C54="Protetor 3", SUMIF(C54,Habilidades!$A$36,D54) * SUMIF(C54,Habilidades!$A$36,Habilidades!$B$36), if(C54="Engenhoso 1", SUMIF(C54,Habilidades!$A$40,D54) * SUMIF(C54,Habilidades!$A$40,Habilidades!$B$40), if(C54="Engenhoso 2", SUMIF(C54,Habilidades!$A$41,D54) * SUMIF(C54,Habilidades!$A$41,Habilidades!$B$41), if(C54="Engenhoso 3", SUMIF(C54,Habilidades!$A$42,D54) * SUMIF(C54,Habilidades!$A$42,Habilidades!$B$42), if(C54="Reviver 1", SUMIF(C54,Habilidades!$A$43,D54) * SUMIF(C54,Habilidades!$A$43,Habilidades!$B$43), if(C54="Reviver 2", SUMIF(C54,Habilidades!$A$44,D54) * SUMIF(C54,Habilidades!$A$44,Habilidades!$B$44), if(C54="Reviver 3", SUMIF(C54,Habilidades!$A$45,D54) * SUMIF(C54,Habilidades!$A$45,Habilidades!$B$45), if(C54="Catador 1", SUMIF(C54,Habilidades!$A$46,D54) * SUMIF(C54,Habilidades!$A$46,Habilidades!$B$46), if(C54="Catador 2", SUMIF(C54,Habilidades!$A$47,D54) * SUMIF(C54,Habilidades!$A$47,Habilidades!$B$47), if(C54="Catador 3", SUMIF(C54,Habilidades!$A$48,D54) * SUMIF(C54,Habilidades!$A$48,Habilidades!$B$48), if(C54="Fornecedor 1", SUMIF(C54,Habilidades!$A$49,D54) * SUMIF(C54,Habilidades!$A$49,Habilidades!$B$49), if(C54="Fornecedor 2", SUMIF(C54,Habilidades!$A$50,D54) * SUMIF(C54,Habilidades!$A$50,Habilidades!$B$50), if(C54="Fornecedor 3", SUMIF(C54,Habilidades!$A$51,D54) * SUMIF(C54,Habilidades!$A$51,Habilidades!$B$51), if(C54="Suporte 1", SUMIF(C54,Habilidades!$A$52,D54) * SUMIF(C54,Habilidades!$A$52,Habilidades!$B$52), if(C54="Suporte 2", SUMIF(C54,Habilidades!$A$53,D54) * SUMIF(C54,Habilidades!$A$53,Habilidades!$B$53), if(C54="Suporte 3", SUMIF(C54,Habilidades!$A$54,D54) * SUMIF(C54,Habilidades!$A$54,Habilidades!$B$54), if(C54="Caça-tesouros 1", SUMIF(C54,Habilidades!$A$55,D54) * SUMIF(C54,Habilidades!$A$55,Habilidades!$B$55), if(C54="Caça-tesouros 2", SUMIF(C54,Habilidades!$A$56,D54) * SUMIF(C54,Habilidades!$A$56,Habilidades!$B$56), if(C54="Caça-tesouros 3", SUMIF(C54,Habilidades!$A$57,D54) * SUMIF(C54,Habilidades!$A$57,Habilidades!$B$57), if(C54="Velocista 1", SUMIF(C54,Habilidades!$A$77,D54) * SUMIF(C54,Habilidades!$A$77,Habilidades!$B$77), if(C54="Velocista 2", SUMIF(C54,Habilidades!$A$78,D54) * SUMIF(C54,Habilidades!$A$78,Habilidades!$B$78), if(C54="Velocista 3", SUMIF(C54,Habilidades!$A$79,D54) * SUMIF(C54,Habilidades!$A$79,Habilidades!$B$79), "-"))))))))))))))))))))))))))))))))))))))</f>
        <v>-</v>
      </c>
      <c r="F54" s="110"/>
      <c r="G54" s="110"/>
      <c r="H54" s="110"/>
      <c r="I54" s="110"/>
      <c r="J54" s="110"/>
      <c r="K54" s="110"/>
      <c r="L54" s="110"/>
      <c r="M54" s="110"/>
      <c r="N54" s="110"/>
    </row>
    <row r="55">
      <c r="C55" s="142"/>
      <c r="D55" s="129">
        <f t="shared" si="2"/>
        <v>0</v>
      </c>
      <c r="E55" s="130" t="str">
        <f>if(C55="Detectar Segredo", SUMIF(C55,Habilidades!$A$11,D55) * SUMIF(C55,Habilidades!$A$11,Habilidades!$B$11), if(C55="Encontrar mágica", SUMIF(C55,Habilidades!$A$12,D55) * SUMIF(C55,Habilidades!$A$12,Habilidades!$B$12), if(C55="Cuidadoso 1", SUMIF(C55,Habilidades!$A$22,D55) * SUMIF(C55,Habilidades!$A$22,Habilidades!$B$22), if(C55="Cuidadoso 2", SUMIF(C55,Habilidades!$A$23,D69) * SUMIF(C55,Habilidades!$A$23,Habilidades!$B$23), if(C55="Cuidadoso 3", SUMIF(C55,Habilidades!$A$24,D55) * SUMIF(C55,Habilidades!$A$24,Habilidades!$B$24), if(C55="Ganancioso 1", SUMIF(C55,Habilidades!$A$25,D55) * SUMIF(C55,Habilidades!$A$25,Habilidades!$B$25), if(C55="Ganancioso 2", SUMIF(C55,Habilidades!$A$26,D55) * SUMIF(C55,Habilidades!$A$26,Habilidades!$B$26), if(C55="Ganancioso 3", SUMIF(C55,Habilidades!$A$27,D55) * SUMIF(C55,Habilidades!$A$27,Habilidades!$B$27), if(C55="Curandeiro 1", SUMIF(C55,Habilidades!$A$28,D55) * SUMIF(C55,Habilidades!$A$28,Habilidades!$B$28), if(C55="Curandeiro 2", SUMIF(C55,Habilidades!$A$29,D55) * SUMIF(C55,Habilidades!$A$29,Habilidades!$B$29), if(C55="Curandeiro 3", SUMIF(C55,Habilidades!$A$30,D55) * SUMIF(C55,Habilidades!$A$30,Habilidades!$B$30), if(C55="Sortudo 1", SUMIF(C55,Habilidades!$A$31,D55) * SUMIF(C55,Habilidades!$A$31,Habilidades!$B$31), if(C55="Sortudo 2", SUMIF(C55,Habilidades!$A$32,D55) * SUMIF(C55,Habilidades!$A$32,Habilidades!$B$32), if(C55="Sortudo 3", SUMIF(C55,Habilidades!$A$33,D55) * SUMIF(C55,Habilidades!$A$33,Habilidades!$B$33), if(C55="Protetor 1", SUMIF(C55,Habilidades!$A$34,D55) * SUMIF(C55,Habilidades!$A$34,Habilidades!$B$34), if(C55="Protetor 2", SUMIF(C55,Habilidades!$A$35,D55) * SUMIF(C55,Habilidades!$A$35,Habilidades!$B$35), if(C55="Protetor 3", SUMIF(C55,Habilidades!$A$36,D55) * SUMIF(C55,Habilidades!$A$36,Habilidades!$B$36), if(C55="Engenhoso 1", SUMIF(C55,Habilidades!$A$40,D55) * SUMIF(C55,Habilidades!$A$40,Habilidades!$B$40), if(C55="Engenhoso 2", SUMIF(C55,Habilidades!$A$41,D55) * SUMIF(C55,Habilidades!$A$41,Habilidades!$B$41), if(C55="Engenhoso 3", SUMIF(C55,Habilidades!$A$42,D55) * SUMIF(C55,Habilidades!$A$42,Habilidades!$B$42), if(C55="Reviver 1", SUMIF(C55,Habilidades!$A$43,D55) * SUMIF(C55,Habilidades!$A$43,Habilidades!$B$43), if(C55="Reviver 2", SUMIF(C55,Habilidades!$A$44,D55) * SUMIF(C55,Habilidades!$A$44,Habilidades!$B$44), if(C55="Reviver 3", SUMIF(C55,Habilidades!$A$45,D55) * SUMIF(C55,Habilidades!$A$45,Habilidades!$B$45), if(C55="Catador 1", SUMIF(C55,Habilidades!$A$46,D55) * SUMIF(C55,Habilidades!$A$46,Habilidades!$B$46), if(C55="Catador 2", SUMIF(C55,Habilidades!$A$47,D55) * SUMIF(C55,Habilidades!$A$47,Habilidades!$B$47), if(C55="Catador 3", SUMIF(C55,Habilidades!$A$48,D55) * SUMIF(C55,Habilidades!$A$48,Habilidades!$B$48), if(C55="Fornecedor 1", SUMIF(C55,Habilidades!$A$49,D55) * SUMIF(C55,Habilidades!$A$49,Habilidades!$B$49), if(C55="Fornecedor 2", SUMIF(C55,Habilidades!$A$50,D55) * SUMIF(C55,Habilidades!$A$50,Habilidades!$B$50), if(C55="Fornecedor 3", SUMIF(C55,Habilidades!$A$51,D55) * SUMIF(C55,Habilidades!$A$51,Habilidades!$B$51), if(C55="Suporte 1", SUMIF(C55,Habilidades!$A$52,D55) * SUMIF(C55,Habilidades!$A$52,Habilidades!$B$52), if(C55="Suporte 2", SUMIF(C55,Habilidades!$A$53,D55) * SUMIF(C55,Habilidades!$A$53,Habilidades!$B$53), if(C55="Suporte 3", SUMIF(C55,Habilidades!$A$54,D55) * SUMIF(C55,Habilidades!$A$54,Habilidades!$B$54), if(C55="Caça-tesouros 1", SUMIF(C55,Habilidades!$A$55,D55) * SUMIF(C55,Habilidades!$A$55,Habilidades!$B$55), if(C55="Caça-tesouros 2", SUMIF(C55,Habilidades!$A$56,D55) * SUMIF(C55,Habilidades!$A$56,Habilidades!$B$56), if(C55="Caça-tesouros 3", SUMIF(C55,Habilidades!$A$57,D55) * SUMIF(C55,Habilidades!$A$57,Habilidades!$B$57), if(C55="Velocista 1", SUMIF(C55,Habilidades!$A$77,D55) * SUMIF(C55,Habilidades!$A$77,Habilidades!$B$77), if(C55="Velocista 2", SUMIF(C55,Habilidades!$A$78,D55) * SUMIF(C55,Habilidades!$A$78,Habilidades!$B$78), if(C55="Velocista 3", SUMIF(C55,Habilidades!$A$79,D55) * SUMIF(C55,Habilidades!$A$79,Habilidades!$B$79), "-"))))))))))))))))))))))))))))))))))))))</f>
        <v>-</v>
      </c>
      <c r="F55" s="110"/>
      <c r="G55" s="110"/>
      <c r="H55" s="110"/>
      <c r="I55" s="110"/>
      <c r="J55" s="110"/>
      <c r="K55" s="110"/>
      <c r="L55" s="110"/>
      <c r="M55" s="110"/>
      <c r="N55" s="110"/>
    </row>
    <row r="56">
      <c r="C56" s="142"/>
      <c r="D56" s="129">
        <f t="shared" si="2"/>
        <v>0</v>
      </c>
      <c r="E56" s="130" t="str">
        <f>if(C56="Detectar Segredo", SUMIF(C56,Habilidades!$A$11,D56) * SUMIF(C56,Habilidades!$A$11,Habilidades!$B$11), if(C56="Encontrar mágica", SUMIF(C56,Habilidades!$A$12,D56) * SUMIF(C56,Habilidades!$A$12,Habilidades!$B$12), if(C56="Cuidadoso 1", SUMIF(C56,Habilidades!$A$22,D56) * SUMIF(C56,Habilidades!$A$22,Habilidades!$B$22), if(C56="Cuidadoso 2", SUMIF(C56,Habilidades!$A$23,D70) * SUMIF(C56,Habilidades!$A$23,Habilidades!$B$23), if(C56="Cuidadoso 3", SUMIF(C56,Habilidades!$A$24,D56) * SUMIF(C56,Habilidades!$A$24,Habilidades!$B$24), if(C56="Ganancioso 1", SUMIF(C56,Habilidades!$A$25,D56) * SUMIF(C56,Habilidades!$A$25,Habilidades!$B$25), if(C56="Ganancioso 2", SUMIF(C56,Habilidades!$A$26,D56) * SUMIF(C56,Habilidades!$A$26,Habilidades!$B$26), if(C56="Ganancioso 3", SUMIF(C56,Habilidades!$A$27,D56) * SUMIF(C56,Habilidades!$A$27,Habilidades!$B$27), if(C56="Curandeiro 1", SUMIF(C56,Habilidades!$A$28,D56) * SUMIF(C56,Habilidades!$A$28,Habilidades!$B$28), if(C56="Curandeiro 2", SUMIF(C56,Habilidades!$A$29,D56) * SUMIF(C56,Habilidades!$A$29,Habilidades!$B$29), if(C56="Curandeiro 3", SUMIF(C56,Habilidades!$A$30,D56) * SUMIF(C56,Habilidades!$A$30,Habilidades!$B$30), if(C56="Sortudo 1", SUMIF(C56,Habilidades!$A$31,D56) * SUMIF(C56,Habilidades!$A$31,Habilidades!$B$31), if(C56="Sortudo 2", SUMIF(C56,Habilidades!$A$32,D56) * SUMIF(C56,Habilidades!$A$32,Habilidades!$B$32), if(C56="Sortudo 3", SUMIF(C56,Habilidades!$A$33,D56) * SUMIF(C56,Habilidades!$A$33,Habilidades!$B$33), if(C56="Protetor 1", SUMIF(C56,Habilidades!$A$34,D56) * SUMIF(C56,Habilidades!$A$34,Habilidades!$B$34), if(C56="Protetor 2", SUMIF(C56,Habilidades!$A$35,D56) * SUMIF(C56,Habilidades!$A$35,Habilidades!$B$35), if(C56="Protetor 3", SUMIF(C56,Habilidades!$A$36,D56) * SUMIF(C56,Habilidades!$A$36,Habilidades!$B$36), if(C56="Engenhoso 1", SUMIF(C56,Habilidades!$A$40,D56) * SUMIF(C56,Habilidades!$A$40,Habilidades!$B$40), if(C56="Engenhoso 2", SUMIF(C56,Habilidades!$A$41,D56) * SUMIF(C56,Habilidades!$A$41,Habilidades!$B$41), if(C56="Engenhoso 3", SUMIF(C56,Habilidades!$A$42,D56) * SUMIF(C56,Habilidades!$A$42,Habilidades!$B$42), if(C56="Reviver 1", SUMIF(C56,Habilidades!$A$43,D56) * SUMIF(C56,Habilidades!$A$43,Habilidades!$B$43), if(C56="Reviver 2", SUMIF(C56,Habilidades!$A$44,D56) * SUMIF(C56,Habilidades!$A$44,Habilidades!$B$44), if(C56="Reviver 3", SUMIF(C56,Habilidades!$A$45,D56) * SUMIF(C56,Habilidades!$A$45,Habilidades!$B$45), if(C56="Catador 1", SUMIF(C56,Habilidades!$A$46,D56) * SUMIF(C56,Habilidades!$A$46,Habilidades!$B$46), if(C56="Catador 2", SUMIF(C56,Habilidades!$A$47,D56) * SUMIF(C56,Habilidades!$A$47,Habilidades!$B$47), if(C56="Catador 3", SUMIF(C56,Habilidades!$A$48,D56) * SUMIF(C56,Habilidades!$A$48,Habilidades!$B$48), if(C56="Fornecedor 1", SUMIF(C56,Habilidades!$A$49,D56) * SUMIF(C56,Habilidades!$A$49,Habilidades!$B$49), if(C56="Fornecedor 2", SUMIF(C56,Habilidades!$A$50,D56) * SUMIF(C56,Habilidades!$A$50,Habilidades!$B$50), if(C56="Fornecedor 3", SUMIF(C56,Habilidades!$A$51,D56) * SUMIF(C56,Habilidades!$A$51,Habilidades!$B$51), if(C56="Suporte 1", SUMIF(C56,Habilidades!$A$52,D56) * SUMIF(C56,Habilidades!$A$52,Habilidades!$B$52), if(C56="Suporte 2", SUMIF(C56,Habilidades!$A$53,D56) * SUMIF(C56,Habilidades!$A$53,Habilidades!$B$53), if(C56="Suporte 3", SUMIF(C56,Habilidades!$A$54,D56) * SUMIF(C56,Habilidades!$A$54,Habilidades!$B$54), if(C56="Caça-tesouros 1", SUMIF(C56,Habilidades!$A$55,D56) * SUMIF(C56,Habilidades!$A$55,Habilidades!$B$55), if(C56="Caça-tesouros 2", SUMIF(C56,Habilidades!$A$56,D56) * SUMIF(C56,Habilidades!$A$56,Habilidades!$B$56), if(C56="Caça-tesouros 3", SUMIF(C56,Habilidades!$A$57,D56) * SUMIF(C56,Habilidades!$A$57,Habilidades!$B$57), if(C56="Velocista 1", SUMIF(C56,Habilidades!$A$77,D56) * SUMIF(C56,Habilidades!$A$77,Habilidades!$B$77), if(C56="Velocista 2", SUMIF(C56,Habilidades!$A$78,D56) * SUMIF(C56,Habilidades!$A$78,Habilidades!$B$78), if(C56="Velocista 3", SUMIF(C56,Habilidades!$A$79,D56) * SUMIF(C56,Habilidades!$A$79,Habilidades!$B$79), "-"))))))))))))))))))))))))))))))))))))))</f>
        <v>-</v>
      </c>
      <c r="F56" s="110"/>
      <c r="G56" s="110"/>
      <c r="H56" s="110"/>
      <c r="I56" s="110"/>
      <c r="J56" s="110"/>
      <c r="K56" s="110"/>
      <c r="L56" s="110"/>
      <c r="M56" s="110"/>
      <c r="N56" s="110"/>
    </row>
    <row r="57">
      <c r="C57" s="142"/>
      <c r="D57" s="129">
        <f t="shared" si="2"/>
        <v>0</v>
      </c>
      <c r="E57" s="130" t="str">
        <f>if(C57="Detectar Segredo", SUMIF(C57,Habilidades!$A$11,D57) * SUMIF(C57,Habilidades!$A$11,Habilidades!$B$11), if(C57="Encontrar mágica", SUMIF(C57,Habilidades!$A$12,D57) * SUMIF(C57,Habilidades!$A$12,Habilidades!$B$12), if(C57="Cuidadoso 1", SUMIF(C57,Habilidades!$A$22,D57) * SUMIF(C57,Habilidades!$A$22,Habilidades!$B$22), if(C57="Cuidadoso 2", SUMIF(C57,Habilidades!$A$23,#REF!) * SUMIF(C57,Habilidades!$A$23,Habilidades!$B$23), if(C57="Cuidadoso 3", SUMIF(C57,Habilidades!$A$24,D57) * SUMIF(C57,Habilidades!$A$24,Habilidades!$B$24), if(C57="Ganancioso 1", SUMIF(C57,Habilidades!$A$25,D57) * SUMIF(C57,Habilidades!$A$25,Habilidades!$B$25), if(C57="Ganancioso 2", SUMIF(C57,Habilidades!$A$26,D57) * SUMIF(C57,Habilidades!$A$26,Habilidades!$B$26), if(C57="Ganancioso 3", SUMIF(C57,Habilidades!$A$27,D57) * SUMIF(C57,Habilidades!$A$27,Habilidades!$B$27), if(C57="Curandeiro 1", SUMIF(C57,Habilidades!$A$28,D57) * SUMIF(C57,Habilidades!$A$28,Habilidades!$B$28), if(C57="Curandeiro 2", SUMIF(C57,Habilidades!$A$29,D57) * SUMIF(C57,Habilidades!$A$29,Habilidades!$B$29), if(C57="Curandeiro 3", SUMIF(C57,Habilidades!$A$30,D57) * SUMIF(C57,Habilidades!$A$30,Habilidades!$B$30), if(C57="Sortudo 1", SUMIF(C57,Habilidades!$A$31,D57) * SUMIF(C57,Habilidades!$A$31,Habilidades!$B$31), if(C57="Sortudo 2", SUMIF(C57,Habilidades!$A$32,D57) * SUMIF(C57,Habilidades!$A$32,Habilidades!$B$32), if(C57="Sortudo 3", SUMIF(C57,Habilidades!$A$33,D57) * SUMIF(C57,Habilidades!$A$33,Habilidades!$B$33), if(C57="Protetor 1", SUMIF(C57,Habilidades!$A$34,D57) * SUMIF(C57,Habilidades!$A$34,Habilidades!$B$34), if(C57="Protetor 2", SUMIF(C57,Habilidades!$A$35,D57) * SUMIF(C57,Habilidades!$A$35,Habilidades!$B$35), if(C57="Protetor 3", SUMIF(C57,Habilidades!$A$36,D57) * SUMIF(C57,Habilidades!$A$36,Habilidades!$B$36), if(C57="Engenhoso 1", SUMIF(C57,Habilidades!$A$40,D57) * SUMIF(C57,Habilidades!$A$40,Habilidades!$B$40), if(C57="Engenhoso 2", SUMIF(C57,Habilidades!$A$41,D57) * SUMIF(C57,Habilidades!$A$41,Habilidades!$B$41), if(C57="Engenhoso 3", SUMIF(C57,Habilidades!$A$42,D57) * SUMIF(C57,Habilidades!$A$42,Habilidades!$B$42), if(C57="Reviver 1", SUMIF(C57,Habilidades!$A$43,D57) * SUMIF(C57,Habilidades!$A$43,Habilidades!$B$43), if(C57="Reviver 2", SUMIF(C57,Habilidades!$A$44,D57) * SUMIF(C57,Habilidades!$A$44,Habilidades!$B$44), if(C57="Reviver 3", SUMIF(C57,Habilidades!$A$45,D57) * SUMIF(C57,Habilidades!$A$45,Habilidades!$B$45), if(C57="Catador 1", SUMIF(C57,Habilidades!$A$46,D57) * SUMIF(C57,Habilidades!$A$46,Habilidades!$B$46), if(C57="Catador 2", SUMIF(C57,Habilidades!$A$47,D57) * SUMIF(C57,Habilidades!$A$47,Habilidades!$B$47), if(C57="Catador 3", SUMIF(C57,Habilidades!$A$48,D57) * SUMIF(C57,Habilidades!$A$48,Habilidades!$B$48), if(C57="Fornecedor 1", SUMIF(C57,Habilidades!$A$49,D57) * SUMIF(C57,Habilidades!$A$49,Habilidades!$B$49), if(C57="Fornecedor 2", SUMIF(C57,Habilidades!$A$50,D57) * SUMIF(C57,Habilidades!$A$50,Habilidades!$B$50), if(C57="Fornecedor 3", SUMIF(C57,Habilidades!$A$51,D57) * SUMIF(C57,Habilidades!$A$51,Habilidades!$B$51), if(C57="Suporte 1", SUMIF(C57,Habilidades!$A$52,D57) * SUMIF(C57,Habilidades!$A$52,Habilidades!$B$52), if(C57="Suporte 2", SUMIF(C57,Habilidades!$A$53,D57) * SUMIF(C57,Habilidades!$A$53,Habilidades!$B$53), if(C57="Suporte 3", SUMIF(C57,Habilidades!$A$54,D57) * SUMIF(C57,Habilidades!$A$54,Habilidades!$B$54), if(C57="Caça-tesouros 1", SUMIF(C57,Habilidades!$A$55,D57) * SUMIF(C57,Habilidades!$A$55,Habilidades!$B$55), if(C57="Caça-tesouros 2", SUMIF(C57,Habilidades!$A$56,D57) * SUMIF(C57,Habilidades!$A$56,Habilidades!$B$56), if(C57="Caça-tesouros 3", SUMIF(C57,Habilidades!$A$57,D57) * SUMIF(C57,Habilidades!$A$57,Habilidades!$B$57), if(C57="Velocista 1", SUMIF(C57,Habilidades!$A$77,D57) * SUMIF(C57,Habilidades!$A$77,Habilidades!$B$77), if(C57="Velocista 2", SUMIF(C57,Habilidades!$A$78,D57) * SUMIF(C57,Habilidades!$A$78,Habilidades!$B$78), if(C57="Velocista 3", SUMIF(C57,Habilidades!$A$79,D57) * SUMIF(C57,Habilidades!$A$79,Habilidades!$B$79), "-"))))))))))))))))))))))))))))))))))))))</f>
        <v>-</v>
      </c>
      <c r="F57" s="110"/>
      <c r="G57" s="110"/>
      <c r="H57" s="110"/>
      <c r="I57" s="110"/>
      <c r="J57" s="110"/>
      <c r="K57" s="110"/>
      <c r="L57" s="110"/>
      <c r="M57" s="110"/>
      <c r="N57" s="110"/>
    </row>
    <row r="58">
      <c r="C58" s="142"/>
      <c r="D58" s="129">
        <f t="shared" si="2"/>
        <v>0</v>
      </c>
      <c r="E58" s="130" t="str">
        <f>if(C58="Detectar Segredo", SUMIF(C58,Habilidades!$A$11,D58) * SUMIF(C58,Habilidades!$A$11,Habilidades!$B$11), if(C58="Encontrar mágica", SUMIF(C58,Habilidades!$A$12,D58) * SUMIF(C58,Habilidades!$A$12,Habilidades!$B$12), if(C58="Cuidadoso 1", SUMIF(C58,Habilidades!$A$22,D58) * SUMIF(C58,Habilidades!$A$22,Habilidades!$B$22), if(C58="Cuidadoso 2", SUMIF(C58,Habilidades!$A$23,#REF!) * SUMIF(C58,Habilidades!$A$23,Habilidades!$B$23), if(C58="Cuidadoso 3", SUMIF(C58,Habilidades!$A$24,D58) * SUMIF(C58,Habilidades!$A$24,Habilidades!$B$24), if(C58="Ganancioso 1", SUMIF(C58,Habilidades!$A$25,D58) * SUMIF(C58,Habilidades!$A$25,Habilidades!$B$25), if(C58="Ganancioso 2", SUMIF(C58,Habilidades!$A$26,D58) * SUMIF(C58,Habilidades!$A$26,Habilidades!$B$26), if(C58="Ganancioso 3", SUMIF(C58,Habilidades!$A$27,D58) * SUMIF(C58,Habilidades!$A$27,Habilidades!$B$27), if(C58="Curandeiro 1", SUMIF(C58,Habilidades!$A$28,D58) * SUMIF(C58,Habilidades!$A$28,Habilidades!$B$28), if(C58="Curandeiro 2", SUMIF(C58,Habilidades!$A$29,D58) * SUMIF(C58,Habilidades!$A$29,Habilidades!$B$29), if(C58="Curandeiro 3", SUMIF(C58,Habilidades!$A$30,D58) * SUMIF(C58,Habilidades!$A$30,Habilidades!$B$30), if(C58="Sortudo 1", SUMIF(C58,Habilidades!$A$31,D58) * SUMIF(C58,Habilidades!$A$31,Habilidades!$B$31), if(C58="Sortudo 2", SUMIF(C58,Habilidades!$A$32,D58) * SUMIF(C58,Habilidades!$A$32,Habilidades!$B$32), if(C58="Sortudo 3", SUMIF(C58,Habilidades!$A$33,D58) * SUMIF(C58,Habilidades!$A$33,Habilidades!$B$33), if(C58="Protetor 1", SUMIF(C58,Habilidades!$A$34,D58) * SUMIF(C58,Habilidades!$A$34,Habilidades!$B$34), if(C58="Protetor 2", SUMIF(C58,Habilidades!$A$35,D58) * SUMIF(C58,Habilidades!$A$35,Habilidades!$B$35), if(C58="Protetor 3", SUMIF(C58,Habilidades!$A$36,D58) * SUMIF(C58,Habilidades!$A$36,Habilidades!$B$36), if(C58="Engenhoso 1", SUMIF(C58,Habilidades!$A$40,D58) * SUMIF(C58,Habilidades!$A$40,Habilidades!$B$40), if(C58="Engenhoso 2", SUMIF(C58,Habilidades!$A$41,D58) * SUMIF(C58,Habilidades!$A$41,Habilidades!$B$41), if(C58="Engenhoso 3", SUMIF(C58,Habilidades!$A$42,D58) * SUMIF(C58,Habilidades!$A$42,Habilidades!$B$42), if(C58="Reviver 1", SUMIF(C58,Habilidades!$A$43,D58) * SUMIF(C58,Habilidades!$A$43,Habilidades!$B$43), if(C58="Reviver 2", SUMIF(C58,Habilidades!$A$44,D58) * SUMIF(C58,Habilidades!$A$44,Habilidades!$B$44), if(C58="Reviver 3", SUMIF(C58,Habilidades!$A$45,D58) * SUMIF(C58,Habilidades!$A$45,Habilidades!$B$45), if(C58="Catador 1", SUMIF(C58,Habilidades!$A$46,D58) * SUMIF(C58,Habilidades!$A$46,Habilidades!$B$46), if(C58="Catador 2", SUMIF(C58,Habilidades!$A$47,D58) * SUMIF(C58,Habilidades!$A$47,Habilidades!$B$47), if(C58="Catador 3", SUMIF(C58,Habilidades!$A$48,D58) * SUMIF(C58,Habilidades!$A$48,Habilidades!$B$48), if(C58="Fornecedor 1", SUMIF(C58,Habilidades!$A$49,D58) * SUMIF(C58,Habilidades!$A$49,Habilidades!$B$49), if(C58="Fornecedor 2", SUMIF(C58,Habilidades!$A$50,D58) * SUMIF(C58,Habilidades!$A$50,Habilidades!$B$50), if(C58="Fornecedor 3", SUMIF(C58,Habilidades!$A$51,D58) * SUMIF(C58,Habilidades!$A$51,Habilidades!$B$51), if(C58="Suporte 1", SUMIF(C58,Habilidades!$A$52,D58) * SUMIF(C58,Habilidades!$A$52,Habilidades!$B$52), if(C58="Suporte 2", SUMIF(C58,Habilidades!$A$53,D58) * SUMIF(C58,Habilidades!$A$53,Habilidades!$B$53), if(C58="Suporte 3", SUMIF(C58,Habilidades!$A$54,D58) * SUMIF(C58,Habilidades!$A$54,Habilidades!$B$54), if(C58="Caça-tesouros 1", SUMIF(C58,Habilidades!$A$55,D58) * SUMIF(C58,Habilidades!$A$55,Habilidades!$B$55), if(C58="Caça-tesouros 2", SUMIF(C58,Habilidades!$A$56,D58) * SUMIF(C58,Habilidades!$A$56,Habilidades!$B$56), if(C58="Caça-tesouros 3", SUMIF(C58,Habilidades!$A$57,D58) * SUMIF(C58,Habilidades!$A$57,Habilidades!$B$57), if(C58="Velocista 1", SUMIF(C58,Habilidades!$A$77,D58) * SUMIF(C58,Habilidades!$A$77,Habilidades!$B$77), if(C58="Velocista 2", SUMIF(C58,Habilidades!$A$78,D58) * SUMIF(C58,Habilidades!$A$78,Habilidades!$B$78), if(C58="Velocista 3", SUMIF(C58,Habilidades!$A$79,D58) * SUMIF(C58,Habilidades!$A$79,Habilidades!$B$79), "-"))))))))))))))))))))))))))))))))))))))</f>
        <v>-</v>
      </c>
      <c r="F58" s="110"/>
      <c r="G58" s="110"/>
      <c r="H58" s="110"/>
      <c r="I58" s="110"/>
      <c r="J58" s="110"/>
      <c r="K58" s="110"/>
      <c r="L58" s="110"/>
      <c r="M58" s="110"/>
      <c r="N58" s="110"/>
    </row>
    <row r="59">
      <c r="C59" s="142"/>
      <c r="D59" s="129">
        <f t="shared" si="2"/>
        <v>0</v>
      </c>
      <c r="E59" s="130" t="str">
        <f>if(C59="Detectar Segredo", SUMIF(C59,Habilidades!$A$11,D59) * SUMIF(C59,Habilidades!$A$11,Habilidades!$B$11), if(C59="Encontrar mágica", SUMIF(C59,Habilidades!$A$12,D59) * SUMIF(C59,Habilidades!$A$12,Habilidades!$B$12), if(C59="Cuidadoso 1", SUMIF(C59,Habilidades!$A$22,D59) * SUMIF(C59,Habilidades!$A$22,Habilidades!$B$22), if(C59="Cuidadoso 2", SUMIF(C59,Habilidades!$A$23,#REF!) * SUMIF(C59,Habilidades!$A$23,Habilidades!$B$23), if(C59="Cuidadoso 3", SUMIF(C59,Habilidades!$A$24,D59) * SUMIF(C59,Habilidades!$A$24,Habilidades!$B$24), if(C59="Ganancioso 1", SUMIF(C59,Habilidades!$A$25,D59) * SUMIF(C59,Habilidades!$A$25,Habilidades!$B$25), if(C59="Ganancioso 2", SUMIF(C59,Habilidades!$A$26,D59) * SUMIF(C59,Habilidades!$A$26,Habilidades!$B$26), if(C59="Ganancioso 3", SUMIF(C59,Habilidades!$A$27,D59) * SUMIF(C59,Habilidades!$A$27,Habilidades!$B$27), if(C59="Curandeiro 1", SUMIF(C59,Habilidades!$A$28,D59) * SUMIF(C59,Habilidades!$A$28,Habilidades!$B$28), if(C59="Curandeiro 2", SUMIF(C59,Habilidades!$A$29,D59) * SUMIF(C59,Habilidades!$A$29,Habilidades!$B$29), if(C59="Curandeiro 3", SUMIF(C59,Habilidades!$A$30,D59) * SUMIF(C59,Habilidades!$A$30,Habilidades!$B$30), if(C59="Sortudo 1", SUMIF(C59,Habilidades!$A$31,D59) * SUMIF(C59,Habilidades!$A$31,Habilidades!$B$31), if(C59="Sortudo 2", SUMIF(C59,Habilidades!$A$32,D59) * SUMIF(C59,Habilidades!$A$32,Habilidades!$B$32), if(C59="Sortudo 3", SUMIF(C59,Habilidades!$A$33,D59) * SUMIF(C59,Habilidades!$A$33,Habilidades!$B$33), if(C59="Protetor 1", SUMIF(C59,Habilidades!$A$34,D59) * SUMIF(C59,Habilidades!$A$34,Habilidades!$B$34), if(C59="Protetor 2", SUMIF(C59,Habilidades!$A$35,D59) * SUMIF(C59,Habilidades!$A$35,Habilidades!$B$35), if(C59="Protetor 3", SUMIF(C59,Habilidades!$A$36,D59) * SUMIF(C59,Habilidades!$A$36,Habilidades!$B$36), if(C59="Engenhoso 1", SUMIF(C59,Habilidades!$A$40,D59) * SUMIF(C59,Habilidades!$A$40,Habilidades!$B$40), if(C59="Engenhoso 2", SUMIF(C59,Habilidades!$A$41,D59) * SUMIF(C59,Habilidades!$A$41,Habilidades!$B$41), if(C59="Engenhoso 3", SUMIF(C59,Habilidades!$A$42,D59) * SUMIF(C59,Habilidades!$A$42,Habilidades!$B$42), if(C59="Reviver 1", SUMIF(C59,Habilidades!$A$43,D59) * SUMIF(C59,Habilidades!$A$43,Habilidades!$B$43), if(C59="Reviver 2", SUMIF(C59,Habilidades!$A$44,D59) * SUMIF(C59,Habilidades!$A$44,Habilidades!$B$44), if(C59="Reviver 3", SUMIF(C59,Habilidades!$A$45,D59) * SUMIF(C59,Habilidades!$A$45,Habilidades!$B$45), if(C59="Catador 1", SUMIF(C59,Habilidades!$A$46,D59) * SUMIF(C59,Habilidades!$A$46,Habilidades!$B$46), if(C59="Catador 2", SUMIF(C59,Habilidades!$A$47,D59) * SUMIF(C59,Habilidades!$A$47,Habilidades!$B$47), if(C59="Catador 3", SUMIF(C59,Habilidades!$A$48,D59) * SUMIF(C59,Habilidades!$A$48,Habilidades!$B$48), if(C59="Fornecedor 1", SUMIF(C59,Habilidades!$A$49,D59) * SUMIF(C59,Habilidades!$A$49,Habilidades!$B$49), if(C59="Fornecedor 2", SUMIF(C59,Habilidades!$A$50,D59) * SUMIF(C59,Habilidades!$A$50,Habilidades!$B$50), if(C59="Fornecedor 3", SUMIF(C59,Habilidades!$A$51,D59) * SUMIF(C59,Habilidades!$A$51,Habilidades!$B$51), if(C59="Suporte 1", SUMIF(C59,Habilidades!$A$52,D59) * SUMIF(C59,Habilidades!$A$52,Habilidades!$B$52), if(C59="Suporte 2", SUMIF(C59,Habilidades!$A$53,D59) * SUMIF(C59,Habilidades!$A$53,Habilidades!$B$53), if(C59="Suporte 3", SUMIF(C59,Habilidades!$A$54,D59) * SUMIF(C59,Habilidades!$A$54,Habilidades!$B$54), if(C59="Caça-tesouros 1", SUMIF(C59,Habilidades!$A$55,D59) * SUMIF(C59,Habilidades!$A$55,Habilidades!$B$55), if(C59="Caça-tesouros 2", SUMIF(C59,Habilidades!$A$56,D59) * SUMIF(C59,Habilidades!$A$56,Habilidades!$B$56), if(C59="Caça-tesouros 3", SUMIF(C59,Habilidades!$A$57,D59) * SUMIF(C59,Habilidades!$A$57,Habilidades!$B$57), if(C59="Velocista 1", SUMIF(C59,Habilidades!$A$77,D59) * SUMIF(C59,Habilidades!$A$77,Habilidades!$B$77), if(C59="Velocista 2", SUMIF(C59,Habilidades!$A$78,D59) * SUMIF(C59,Habilidades!$A$78,Habilidades!$B$78), if(C59="Velocista 3", SUMIF(C59,Habilidades!$A$79,D59) * SUMIF(C59,Habilidades!$A$79,Habilidades!$B$79), "-"))))))))))))))))))))))))))))))))))))))</f>
        <v>-</v>
      </c>
      <c r="F59" s="110"/>
      <c r="G59" s="110"/>
      <c r="H59" s="110"/>
      <c r="I59" s="110"/>
      <c r="J59" s="110"/>
      <c r="K59" s="110"/>
      <c r="L59" s="110"/>
      <c r="M59" s="110"/>
      <c r="N59" s="110"/>
    </row>
    <row r="60">
      <c r="C60" s="142"/>
      <c r="D60" s="129">
        <f t="shared" si="2"/>
        <v>0</v>
      </c>
      <c r="E60" s="130" t="str">
        <f>if(C60="Detectar Segredo", SUMIF(C60,Habilidades!$A$11,D60) * SUMIF(C60,Habilidades!$A$11,Habilidades!$B$11), if(C60="Encontrar mágica", SUMIF(C60,Habilidades!$A$12,D60) * SUMIF(C60,Habilidades!$A$12,Habilidades!$B$12), if(C60="Cuidadoso 1", SUMIF(C60,Habilidades!$A$22,D60) * SUMIF(C60,Habilidades!$A$22,Habilidades!$B$22), if(C60="Cuidadoso 2", SUMIF(C60,Habilidades!$A$23,#REF!) * SUMIF(C60,Habilidades!$A$23,Habilidades!$B$23), if(C60="Cuidadoso 3", SUMIF(C60,Habilidades!$A$24,D60) * SUMIF(C60,Habilidades!$A$24,Habilidades!$B$24), if(C60="Ganancioso 1", SUMIF(C60,Habilidades!$A$25,D60) * SUMIF(C60,Habilidades!$A$25,Habilidades!$B$25), if(C60="Ganancioso 2", SUMIF(C60,Habilidades!$A$26,D60) * SUMIF(C60,Habilidades!$A$26,Habilidades!$B$26), if(C60="Ganancioso 3", SUMIF(C60,Habilidades!$A$27,D60) * SUMIF(C60,Habilidades!$A$27,Habilidades!$B$27), if(C60="Curandeiro 1", SUMIF(C60,Habilidades!$A$28,D60) * SUMIF(C60,Habilidades!$A$28,Habilidades!$B$28), if(C60="Curandeiro 2", SUMIF(C60,Habilidades!$A$29,D60) * SUMIF(C60,Habilidades!$A$29,Habilidades!$B$29), if(C60="Curandeiro 3", SUMIF(C60,Habilidades!$A$30,D60) * SUMIF(C60,Habilidades!$A$30,Habilidades!$B$30), if(C60="Sortudo 1", SUMIF(C60,Habilidades!$A$31,D60) * SUMIF(C60,Habilidades!$A$31,Habilidades!$B$31), if(C60="Sortudo 2", SUMIF(C60,Habilidades!$A$32,D60) * SUMIF(C60,Habilidades!$A$32,Habilidades!$B$32), if(C60="Sortudo 3", SUMIF(C60,Habilidades!$A$33,D60) * SUMIF(C60,Habilidades!$A$33,Habilidades!$B$33), if(C60="Protetor 1", SUMIF(C60,Habilidades!$A$34,D60) * SUMIF(C60,Habilidades!$A$34,Habilidades!$B$34), if(C60="Protetor 2", SUMIF(C60,Habilidades!$A$35,D60) * SUMIF(C60,Habilidades!$A$35,Habilidades!$B$35), if(C60="Protetor 3", SUMIF(C60,Habilidades!$A$36,D60) * SUMIF(C60,Habilidades!$A$36,Habilidades!$B$36), if(C60="Engenhoso 1", SUMIF(C60,Habilidades!$A$40,D60) * SUMIF(C60,Habilidades!$A$40,Habilidades!$B$40), if(C60="Engenhoso 2", SUMIF(C60,Habilidades!$A$41,D60) * SUMIF(C60,Habilidades!$A$41,Habilidades!$B$41), if(C60="Engenhoso 3", SUMIF(C60,Habilidades!$A$42,D60) * SUMIF(C60,Habilidades!$A$42,Habilidades!$B$42), if(C60="Reviver 1", SUMIF(C60,Habilidades!$A$43,D60) * SUMIF(C60,Habilidades!$A$43,Habilidades!$B$43), if(C60="Reviver 2", SUMIF(C60,Habilidades!$A$44,D60) * SUMIF(C60,Habilidades!$A$44,Habilidades!$B$44), if(C60="Reviver 3", SUMIF(C60,Habilidades!$A$45,D60) * SUMIF(C60,Habilidades!$A$45,Habilidades!$B$45), if(C60="Catador 1", SUMIF(C60,Habilidades!$A$46,D60) * SUMIF(C60,Habilidades!$A$46,Habilidades!$B$46), if(C60="Catador 2", SUMIF(C60,Habilidades!$A$47,D60) * SUMIF(C60,Habilidades!$A$47,Habilidades!$B$47), if(C60="Catador 3", SUMIF(C60,Habilidades!$A$48,D60) * SUMIF(C60,Habilidades!$A$48,Habilidades!$B$48), if(C60="Fornecedor 1", SUMIF(C60,Habilidades!$A$49,D60) * SUMIF(C60,Habilidades!$A$49,Habilidades!$B$49), if(C60="Fornecedor 2", SUMIF(C60,Habilidades!$A$50,D60) * SUMIF(C60,Habilidades!$A$50,Habilidades!$B$50), if(C60="Fornecedor 3", SUMIF(C60,Habilidades!$A$51,D60) * SUMIF(C60,Habilidades!$A$51,Habilidades!$B$51), if(C60="Suporte 1", SUMIF(C60,Habilidades!$A$52,D60) * SUMIF(C60,Habilidades!$A$52,Habilidades!$B$52), if(C60="Suporte 2", SUMIF(C60,Habilidades!$A$53,D60) * SUMIF(C60,Habilidades!$A$53,Habilidades!$B$53), if(C60="Suporte 3", SUMIF(C60,Habilidades!$A$54,D60) * SUMIF(C60,Habilidades!$A$54,Habilidades!$B$54), if(C60="Caça-tesouros 1", SUMIF(C60,Habilidades!$A$55,D60) * SUMIF(C60,Habilidades!$A$55,Habilidades!$B$55), if(C60="Caça-tesouros 2", SUMIF(C60,Habilidades!$A$56,D60) * SUMIF(C60,Habilidades!$A$56,Habilidades!$B$56), if(C60="Caça-tesouros 3", SUMIF(C60,Habilidades!$A$57,D60) * SUMIF(C60,Habilidades!$A$57,Habilidades!$B$57), if(C60="Velocista 1", SUMIF(C60,Habilidades!$A$77,D60) * SUMIF(C60,Habilidades!$A$77,Habilidades!$B$77), if(C60="Velocista 2", SUMIF(C60,Habilidades!$A$78,D60) * SUMIF(C60,Habilidades!$A$78,Habilidades!$B$78), if(C60="Velocista 3", SUMIF(C60,Habilidades!$A$79,D60) * SUMIF(C60,Habilidades!$A$79,Habilidades!$B$79), "-"))))))))))))))))))))))))))))))))))))))</f>
        <v>-</v>
      </c>
      <c r="F60" s="110"/>
      <c r="G60" s="110"/>
      <c r="H60" s="110"/>
      <c r="I60" s="110"/>
      <c r="J60" s="110"/>
      <c r="K60" s="110"/>
      <c r="L60" s="110"/>
      <c r="M60" s="110"/>
      <c r="N60" s="110"/>
    </row>
    <row r="61"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</row>
    <row r="62"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</row>
    <row r="63"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</row>
    <row r="64"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</row>
    <row r="65"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</row>
    <row r="66"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</row>
    <row r="67"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</row>
    <row r="68"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</row>
    <row r="69"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</row>
    <row r="70"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</row>
  </sheetData>
  <mergeCells count="6">
    <mergeCell ref="A1:B70"/>
    <mergeCell ref="C10:M10"/>
    <mergeCell ref="K19:L19"/>
    <mergeCell ref="K20:L20"/>
    <mergeCell ref="H22:I22"/>
    <mergeCell ref="H23:I23"/>
  </mergeCells>
  <conditionalFormatting sqref="H20">
    <cfRule type="cellIs" dxfId="6" priority="1" operator="greaterThan">
      <formula>100</formula>
    </cfRule>
  </conditionalFormatting>
  <conditionalFormatting sqref="H20">
    <cfRule type="cellIs" dxfId="7" priority="2" operator="lessThanOrEqual">
      <formula>100</formula>
    </cfRule>
  </conditionalFormatting>
  <conditionalFormatting sqref="H20:I20">
    <cfRule type="cellIs" dxfId="9" priority="3" operator="greaterThan">
      <formula>100</formula>
    </cfRule>
  </conditionalFormatting>
  <conditionalFormatting sqref="H20:I20">
    <cfRule type="cellIs" dxfId="8" priority="4" operator="lessThanOrEqual">
      <formula>100</formula>
    </cfRule>
  </conditionalFormatting>
  <conditionalFormatting sqref="I20">
    <cfRule type="cellIs" dxfId="10" priority="5" operator="greaterThan">
      <formula>100</formula>
    </cfRule>
  </conditionalFormatting>
  <conditionalFormatting sqref="I20">
    <cfRule type="cellIs" dxfId="8" priority="6" operator="lessThanOrEqual">
      <formula>100</formula>
    </cfRule>
  </conditionalFormatting>
  <dataValidations>
    <dataValidation type="list" allowBlank="1" showErrorMessage="1" sqref="E7">
      <formula1>Listas5!$U$1:$U$200</formula1>
    </dataValidation>
    <dataValidation type="list" allowBlank="1" showErrorMessage="1" sqref="G7">
      <formula1>Listas5!$I$598:$I$796</formula1>
    </dataValidation>
    <dataValidation type="list" allowBlank="1" showErrorMessage="1" sqref="F3">
      <formula1>Listas5!$Y$1:$Y$200</formula1>
    </dataValidation>
    <dataValidation type="list" allowBlank="1" showErrorMessage="1" sqref="F4">
      <formula1>Listas5!$AA$1:$AA$200</formula1>
    </dataValidation>
    <dataValidation type="list" allowBlank="1" showErrorMessage="1" sqref="E8">
      <formula1>Listas5!$W$1:$W$200</formula1>
    </dataValidation>
    <dataValidation type="list" allowBlank="1" showErrorMessage="1" sqref="D6">
      <formula1>Listas5!$G$1:$G$200</formula1>
    </dataValidation>
    <dataValidation type="list" allowBlank="1" showErrorMessage="1" sqref="G8">
      <formula1>Listas5!$K$598:$K$796</formula1>
    </dataValidation>
    <dataValidation type="list" allowBlank="1" showErrorMessage="1" sqref="H4">
      <formula1>Listas5!$O$598:$O$796</formula1>
    </dataValidation>
    <dataValidation type="list" allowBlank="1" showErrorMessage="1" sqref="F5">
      <formula1>Listas5!$AC$1:$AC$200</formula1>
    </dataValidation>
    <dataValidation type="list" allowBlank="1" showErrorMessage="1" sqref="H6">
      <formula1>Listas5!$S$598:$S$796</formula1>
    </dataValidation>
    <dataValidation type="list" allowBlank="1" showErrorMessage="1" sqref="I3">
      <formula1>Listas5!$Y$598:$Y$796</formula1>
    </dataValidation>
    <dataValidation type="list" allowBlank="1" showErrorMessage="1" sqref="E4">
      <formula1>Listas5!$O$1:$O$200</formula1>
    </dataValidation>
    <dataValidation type="list" allowBlank="1" showErrorMessage="1" sqref="I4">
      <formula1>Listas5!$AA$598:$AA$796</formula1>
    </dataValidation>
    <dataValidation type="list" allowBlank="1" showErrorMessage="1" sqref="E5">
      <formula1>Listas5!$Q$1:$Q$200</formula1>
    </dataValidation>
    <dataValidation type="list" allowBlank="1" showErrorMessage="1" sqref="D5">
      <formula1>Listas5!E1:E200</formula1>
    </dataValidation>
    <dataValidation type="list" allowBlank="1" showErrorMessage="1" sqref="D7">
      <formula1>Listas5!$I$1:$I$200</formula1>
    </dataValidation>
    <dataValidation type="list" allowBlank="1" showErrorMessage="1" sqref="H3">
      <formula1>Listas5!$M$598:$M$796</formula1>
    </dataValidation>
    <dataValidation type="list" allowBlank="1" showErrorMessage="1" sqref="J3">
      <formula1>Listas5!$A$1389:$A$1587</formula1>
    </dataValidation>
    <dataValidation type="list" allowBlank="1" showErrorMessage="1" sqref="J4">
      <formula1>Listas5!$C$1389:$C$1587</formula1>
    </dataValidation>
    <dataValidation type="list" allowBlank="1" showErrorMessage="1" sqref="G5">
      <formula1>Listas5!$E$598:$E$796</formula1>
    </dataValidation>
    <dataValidation type="list" allowBlank="1" showErrorMessage="1" sqref="J5">
      <formula1>Listas5!$E$1389:$E$1587</formula1>
    </dataValidation>
    <dataValidation type="list" allowBlank="1" showErrorMessage="1" sqref="I6">
      <formula1>Listas5!$AE$598:$AE$796</formula1>
    </dataValidation>
    <dataValidation type="list" allowBlank="1" showErrorMessage="1" sqref="J8">
      <formula1>Listas5!$K$1389:$K$1587</formula1>
    </dataValidation>
    <dataValidation type="list" allowBlank="1" showErrorMessage="1" sqref="D4">
      <formula1>Listas5!$C$1:$C$200</formula1>
    </dataValidation>
    <dataValidation type="list" allowBlank="1" showErrorMessage="1" sqref="I5">
      <formula1>Listas5!$AC$598:$AC$796</formula1>
    </dataValidation>
    <dataValidation type="list" allowBlank="1" showErrorMessage="1" sqref="G6">
      <formula1>Listas5!$G$598:$G$796</formula1>
    </dataValidation>
    <dataValidation type="list" allowBlank="1" showErrorMessage="1" sqref="E3">
      <formula1>Listas5!$M$1:$M$200</formula1>
    </dataValidation>
    <dataValidation type="list" allowBlank="1" showErrorMessage="1" sqref="D8">
      <formula1>Listas5!$K$1:$K$200</formula1>
    </dataValidation>
    <dataValidation type="list" allowBlank="1" showErrorMessage="1" sqref="H5">
      <formula1>Listas5!$Q$598:$Q$796</formula1>
    </dataValidation>
    <dataValidation type="list" allowBlank="1" showErrorMessage="1" sqref="G3">
      <formula1>Listas5!$A$598:$A$796</formula1>
    </dataValidation>
    <dataValidation type="list" allowBlank="1" showErrorMessage="1" sqref="D3">
      <formula1>Listas5!$A$1:$A$200</formula1>
    </dataValidation>
    <dataValidation type="list" allowBlank="1" showErrorMessage="1" sqref="G4">
      <formula1>Listas5!$C$598:$C$796</formula1>
    </dataValidation>
    <dataValidation type="list" allowBlank="1" showErrorMessage="1" sqref="J6">
      <formula1>Listas5!$G$1389:$G$1587</formula1>
    </dataValidation>
    <dataValidation type="list" allowBlank="1" showErrorMessage="1" sqref="I7">
      <formula1>Listas5!$AG$598:$AG$796</formula1>
    </dataValidation>
    <dataValidation type="list" allowBlank="1" showErrorMessage="1" sqref="J7">
      <formula1>Listas5!$I$1389:$I$1587</formula1>
    </dataValidation>
    <dataValidation type="list" allowBlank="1" showErrorMessage="1" sqref="F8">
      <formula1>Listas5!$AI$1:$AI$200</formula1>
    </dataValidation>
    <dataValidation type="list" allowBlank="1" showErrorMessage="1" sqref="I8">
      <formula1>Listas5!$AI$598:$AI$796</formula1>
    </dataValidation>
    <dataValidation type="list" allowBlank="1" showErrorMessage="1" sqref="F7">
      <formula1>Listas5!$AG$1:$AG$200</formula1>
    </dataValidation>
    <dataValidation type="list" allowBlank="1" showErrorMessage="1" sqref="E6">
      <formula1>Listas5!$S$1:$S$200</formula1>
    </dataValidation>
    <dataValidation type="list" allowBlank="1" showErrorMessage="1" sqref="H8">
      <formula1>Listas5!$W$598:$W$796</formula1>
    </dataValidation>
    <dataValidation type="list" allowBlank="1" showErrorMessage="1" sqref="H7">
      <formula1>Listas5!$U$598:$U$796</formula1>
    </dataValidation>
    <dataValidation type="list" allowBlank="1" showErrorMessage="1" sqref="C3:C8">
      <formula1>Personagem!$B$1:$AC$1</formula1>
    </dataValidation>
    <dataValidation type="list" allowBlank="1" showErrorMessage="1" sqref="F6">
      <formula1>Listas5!$AE$1:$AE$200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5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8.38"/>
    <col customWidth="1" min="3" max="3" width="23.88"/>
    <col customWidth="1" min="4" max="4" width="40.75"/>
    <col customWidth="1" min="5" max="5" width="6.13"/>
    <col customWidth="1" min="6" max="6" width="4.13"/>
    <col customWidth="1" min="7" max="7" width="24.0"/>
    <col customWidth="1" min="8" max="8" width="6.63"/>
    <col customWidth="1" min="9" max="9" width="23.88"/>
    <col customWidth="1" min="10" max="10" width="21.75"/>
    <col customWidth="1" min="11" max="11" width="4.75"/>
  </cols>
  <sheetData>
    <row r="1" ht="33.0" customHeight="1">
      <c r="A1" s="159" t="s">
        <v>817</v>
      </c>
      <c r="B1" s="160" t="s">
        <v>818</v>
      </c>
      <c r="C1" s="160" t="s">
        <v>819</v>
      </c>
      <c r="D1" s="161" t="s">
        <v>820</v>
      </c>
      <c r="E1" s="162" t="s">
        <v>821</v>
      </c>
      <c r="F1" s="163"/>
      <c r="G1" s="54" t="s">
        <v>822</v>
      </c>
      <c r="J1" s="54" t="s">
        <v>823</v>
      </c>
      <c r="K1" s="163"/>
    </row>
    <row r="2">
      <c r="A2" s="164" t="s">
        <v>824</v>
      </c>
      <c r="B2" s="165">
        <v>0.01</v>
      </c>
      <c r="C2" s="166" t="s">
        <v>825</v>
      </c>
      <c r="D2" s="167" t="s">
        <v>826</v>
      </c>
      <c r="E2" s="168" t="b">
        <v>0</v>
      </c>
      <c r="F2" s="169"/>
      <c r="G2" s="170" t="s">
        <v>827</v>
      </c>
      <c r="H2" s="123"/>
      <c r="I2" s="124"/>
      <c r="J2" s="171" t="s">
        <v>828</v>
      </c>
      <c r="K2" s="169"/>
    </row>
    <row r="3">
      <c r="A3" s="164" t="s">
        <v>829</v>
      </c>
      <c r="B3" s="165">
        <v>0.01</v>
      </c>
      <c r="C3" s="166" t="s">
        <v>825</v>
      </c>
      <c r="D3" s="167" t="s">
        <v>830</v>
      </c>
      <c r="E3" s="168" t="b">
        <v>0</v>
      </c>
      <c r="F3" s="169"/>
      <c r="G3" s="172" t="s">
        <v>831</v>
      </c>
      <c r="H3" s="173">
        <v>0.05</v>
      </c>
      <c r="I3" s="172" t="s">
        <v>832</v>
      </c>
      <c r="J3" s="20"/>
      <c r="K3" s="169"/>
    </row>
    <row r="4">
      <c r="A4" s="164" t="s">
        <v>833</v>
      </c>
      <c r="B4" s="165">
        <v>0.01</v>
      </c>
      <c r="C4" s="166" t="s">
        <v>825</v>
      </c>
      <c r="D4" s="167" t="s">
        <v>834</v>
      </c>
      <c r="E4" s="168" t="b">
        <v>0</v>
      </c>
      <c r="F4" s="174"/>
      <c r="G4" s="169"/>
      <c r="H4" s="169"/>
      <c r="I4" s="169"/>
      <c r="J4" s="175"/>
      <c r="K4" s="169"/>
    </row>
    <row r="5">
      <c r="A5" s="164" t="s">
        <v>835</v>
      </c>
      <c r="B5" s="165">
        <v>0.02</v>
      </c>
      <c r="C5" s="166" t="s">
        <v>825</v>
      </c>
      <c r="D5" s="167" t="s">
        <v>836</v>
      </c>
      <c r="E5" s="168" t="b">
        <v>0</v>
      </c>
      <c r="F5" s="169"/>
      <c r="G5" s="176" t="s">
        <v>837</v>
      </c>
      <c r="H5" s="123"/>
      <c r="I5" s="124"/>
      <c r="J5" s="177" t="s">
        <v>838</v>
      </c>
      <c r="K5" s="169"/>
    </row>
    <row r="6">
      <c r="A6" s="164" t="s">
        <v>839</v>
      </c>
      <c r="B6" s="165">
        <v>0.02</v>
      </c>
      <c r="C6" s="166" t="s">
        <v>825</v>
      </c>
      <c r="D6" s="167" t="s">
        <v>836</v>
      </c>
      <c r="E6" s="168" t="b">
        <v>0</v>
      </c>
      <c r="F6" s="169"/>
      <c r="G6" s="178" t="s">
        <v>840</v>
      </c>
      <c r="H6" s="179">
        <v>0.07</v>
      </c>
      <c r="I6" s="178" t="s">
        <v>832</v>
      </c>
      <c r="J6" s="180" t="s">
        <v>841</v>
      </c>
      <c r="K6" s="169"/>
    </row>
    <row r="7">
      <c r="A7" s="164" t="s">
        <v>842</v>
      </c>
      <c r="B7" s="165">
        <v>0.02</v>
      </c>
      <c r="C7" s="166" t="s">
        <v>825</v>
      </c>
      <c r="D7" s="167" t="s">
        <v>843</v>
      </c>
      <c r="E7" s="181" t="b">
        <v>1</v>
      </c>
      <c r="F7" s="169"/>
      <c r="G7" s="178" t="s">
        <v>835</v>
      </c>
      <c r="H7" s="179">
        <v>0.02</v>
      </c>
      <c r="I7" s="178" t="s">
        <v>825</v>
      </c>
      <c r="J7" s="18"/>
      <c r="K7" s="169"/>
    </row>
    <row r="8">
      <c r="A8" s="164" t="s">
        <v>844</v>
      </c>
      <c r="B8" s="165">
        <v>0.02</v>
      </c>
      <c r="C8" s="166" t="s">
        <v>825</v>
      </c>
      <c r="D8" s="167" t="s">
        <v>845</v>
      </c>
      <c r="E8" s="181" t="b">
        <v>1</v>
      </c>
      <c r="F8" s="169"/>
      <c r="G8" s="178" t="s">
        <v>839</v>
      </c>
      <c r="H8" s="179">
        <v>0.02</v>
      </c>
      <c r="I8" s="178" t="s">
        <v>825</v>
      </c>
      <c r="J8" s="18"/>
      <c r="K8" s="169"/>
    </row>
    <row r="9">
      <c r="A9" s="164" t="s">
        <v>846</v>
      </c>
      <c r="B9" s="165">
        <v>0.02</v>
      </c>
      <c r="C9" s="166" t="s">
        <v>825</v>
      </c>
      <c r="D9" s="167" t="s">
        <v>845</v>
      </c>
      <c r="E9" s="181" t="b">
        <v>1</v>
      </c>
      <c r="F9" s="169"/>
      <c r="G9" s="178" t="s">
        <v>847</v>
      </c>
      <c r="H9" s="179">
        <v>0.07</v>
      </c>
      <c r="I9" s="178" t="s">
        <v>848</v>
      </c>
      <c r="J9" s="20"/>
      <c r="K9" s="169"/>
    </row>
    <row r="10">
      <c r="A10" s="164" t="s">
        <v>849</v>
      </c>
      <c r="B10" s="165">
        <v>0.02</v>
      </c>
      <c r="C10" s="166" t="s">
        <v>825</v>
      </c>
      <c r="D10" s="167" t="s">
        <v>850</v>
      </c>
      <c r="E10" s="168" t="b">
        <v>0</v>
      </c>
      <c r="F10" s="169"/>
      <c r="G10" s="169"/>
      <c r="H10" s="169"/>
      <c r="I10" s="169"/>
      <c r="J10" s="175"/>
      <c r="K10" s="169"/>
    </row>
    <row r="11">
      <c r="A11" s="164" t="s">
        <v>851</v>
      </c>
      <c r="B11" s="165">
        <v>0.02</v>
      </c>
      <c r="C11" s="166" t="s">
        <v>825</v>
      </c>
      <c r="D11" s="167" t="s">
        <v>850</v>
      </c>
      <c r="E11" s="168" t="b">
        <v>0</v>
      </c>
      <c r="F11" s="169"/>
      <c r="G11" s="182" t="s">
        <v>852</v>
      </c>
      <c r="H11" s="123"/>
      <c r="I11" s="124"/>
      <c r="J11" s="180" t="s">
        <v>853</v>
      </c>
      <c r="K11" s="169"/>
    </row>
    <row r="12">
      <c r="A12" s="164" t="s">
        <v>632</v>
      </c>
      <c r="B12" s="165">
        <v>0.02</v>
      </c>
      <c r="C12" s="166" t="s">
        <v>825</v>
      </c>
      <c r="D12" s="167" t="s">
        <v>854</v>
      </c>
      <c r="E12" s="168" t="b">
        <v>0</v>
      </c>
      <c r="F12" s="169"/>
      <c r="G12" s="178" t="s">
        <v>855</v>
      </c>
      <c r="H12" s="179">
        <v>0.05</v>
      </c>
      <c r="I12" s="178" t="s">
        <v>832</v>
      </c>
      <c r="J12" s="20"/>
      <c r="K12" s="169"/>
    </row>
    <row r="13">
      <c r="A13" s="164" t="s">
        <v>856</v>
      </c>
      <c r="B13" s="165">
        <v>0.02</v>
      </c>
      <c r="C13" s="166" t="s">
        <v>825</v>
      </c>
      <c r="D13" s="167" t="s">
        <v>857</v>
      </c>
      <c r="E13" s="181" t="b">
        <v>1</v>
      </c>
      <c r="F13" s="169"/>
      <c r="G13" s="169"/>
      <c r="H13" s="169"/>
      <c r="I13" s="169"/>
      <c r="J13" s="175"/>
      <c r="K13" s="169"/>
    </row>
    <row r="14">
      <c r="A14" s="183" t="s">
        <v>858</v>
      </c>
      <c r="B14" s="184">
        <v>0.03</v>
      </c>
      <c r="C14" s="185" t="s">
        <v>825</v>
      </c>
      <c r="D14" s="186" t="s">
        <v>859</v>
      </c>
      <c r="E14" s="181" t="b">
        <v>1</v>
      </c>
      <c r="F14" s="169"/>
      <c r="G14" s="176" t="s">
        <v>860</v>
      </c>
      <c r="H14" s="123"/>
      <c r="I14" s="124"/>
      <c r="J14" s="177" t="s">
        <v>861</v>
      </c>
      <c r="K14" s="169"/>
    </row>
    <row r="15">
      <c r="A15" s="164" t="s">
        <v>862</v>
      </c>
      <c r="B15" s="165">
        <v>0.03</v>
      </c>
      <c r="C15" s="166" t="s">
        <v>825</v>
      </c>
      <c r="D15" s="167" t="s">
        <v>863</v>
      </c>
      <c r="E15" s="181" t="b">
        <v>1</v>
      </c>
      <c r="F15" s="169"/>
      <c r="G15" s="178" t="s">
        <v>864</v>
      </c>
      <c r="H15" s="179">
        <v>0.04</v>
      </c>
      <c r="I15" s="178" t="s">
        <v>825</v>
      </c>
      <c r="J15" s="180" t="s">
        <v>865</v>
      </c>
      <c r="K15" s="169"/>
    </row>
    <row r="16">
      <c r="A16" s="183" t="s">
        <v>864</v>
      </c>
      <c r="B16" s="184">
        <v>0.04</v>
      </c>
      <c r="C16" s="185" t="s">
        <v>825</v>
      </c>
      <c r="D16" s="186" t="s">
        <v>866</v>
      </c>
      <c r="E16" s="168" t="b">
        <v>0</v>
      </c>
      <c r="F16" s="169"/>
      <c r="G16" s="178" t="s">
        <v>867</v>
      </c>
      <c r="H16" s="179">
        <v>0.04</v>
      </c>
      <c r="I16" s="178" t="s">
        <v>868</v>
      </c>
      <c r="J16" s="18"/>
      <c r="K16" s="169"/>
    </row>
    <row r="17">
      <c r="A17" s="164" t="s">
        <v>869</v>
      </c>
      <c r="B17" s="165">
        <v>0.04</v>
      </c>
      <c r="C17" s="166" t="s">
        <v>825</v>
      </c>
      <c r="D17" s="167" t="s">
        <v>870</v>
      </c>
      <c r="E17" s="181" t="b">
        <v>1</v>
      </c>
      <c r="F17" s="169"/>
      <c r="G17" s="178" t="s">
        <v>871</v>
      </c>
      <c r="H17" s="179">
        <v>0.07</v>
      </c>
      <c r="I17" s="178" t="s">
        <v>848</v>
      </c>
      <c r="J17" s="18"/>
      <c r="K17" s="169"/>
    </row>
    <row r="18">
      <c r="A18" s="164" t="s">
        <v>872</v>
      </c>
      <c r="B18" s="165">
        <v>0.05</v>
      </c>
      <c r="C18" s="166" t="s">
        <v>825</v>
      </c>
      <c r="D18" s="167" t="s">
        <v>873</v>
      </c>
      <c r="E18" s="181" t="b">
        <v>1</v>
      </c>
      <c r="F18" s="169"/>
      <c r="G18" s="178" t="s">
        <v>874</v>
      </c>
      <c r="H18" s="179">
        <v>0.05</v>
      </c>
      <c r="I18" s="178" t="s">
        <v>875</v>
      </c>
      <c r="J18" s="20"/>
      <c r="K18" s="169"/>
    </row>
    <row r="19">
      <c r="A19" s="164" t="s">
        <v>876</v>
      </c>
      <c r="B19" s="165">
        <v>0.05</v>
      </c>
      <c r="C19" s="166" t="s">
        <v>825</v>
      </c>
      <c r="D19" s="167" t="s">
        <v>876</v>
      </c>
      <c r="E19" s="168" t="b">
        <v>0</v>
      </c>
      <c r="F19" s="169"/>
      <c r="G19" s="169"/>
      <c r="H19" s="169"/>
      <c r="I19" s="169"/>
      <c r="J19" s="175"/>
      <c r="K19" s="187"/>
    </row>
    <row r="20">
      <c r="A20" s="164" t="s">
        <v>877</v>
      </c>
      <c r="B20" s="165">
        <v>0.07</v>
      </c>
      <c r="C20" s="166" t="s">
        <v>825</v>
      </c>
      <c r="D20" s="167" t="s">
        <v>878</v>
      </c>
      <c r="E20" s="168" t="b">
        <v>0</v>
      </c>
      <c r="F20" s="169"/>
      <c r="G20" s="188" t="s">
        <v>879</v>
      </c>
      <c r="H20" s="123"/>
      <c r="I20" s="124"/>
      <c r="J20" s="180" t="s">
        <v>880</v>
      </c>
      <c r="K20" s="169"/>
    </row>
    <row r="21">
      <c r="A21" s="164" t="s">
        <v>881</v>
      </c>
      <c r="B21" s="165">
        <v>0.07</v>
      </c>
      <c r="C21" s="166" t="s">
        <v>825</v>
      </c>
      <c r="D21" s="167" t="s">
        <v>882</v>
      </c>
      <c r="E21" s="181" t="b">
        <v>1</v>
      </c>
      <c r="F21" s="169"/>
      <c r="G21" s="189" t="s">
        <v>883</v>
      </c>
      <c r="H21" s="190">
        <v>60.0</v>
      </c>
      <c r="I21" s="189" t="s">
        <v>884</v>
      </c>
      <c r="J21" s="20"/>
      <c r="K21" s="169"/>
    </row>
    <row r="22">
      <c r="A22" s="164" t="s">
        <v>885</v>
      </c>
      <c r="B22" s="165">
        <v>0.03</v>
      </c>
      <c r="C22" s="166" t="s">
        <v>886</v>
      </c>
      <c r="D22" s="167" t="s">
        <v>873</v>
      </c>
      <c r="E22" s="181" t="b">
        <v>1</v>
      </c>
      <c r="F22" s="169"/>
      <c r="G22" s="169"/>
      <c r="H22" s="169"/>
      <c r="I22" s="169"/>
      <c r="J22" s="175"/>
      <c r="K22" s="169"/>
    </row>
    <row r="23">
      <c r="A23" s="164" t="s">
        <v>887</v>
      </c>
      <c r="B23" s="165">
        <v>0.03</v>
      </c>
      <c r="C23" s="166" t="s">
        <v>886</v>
      </c>
      <c r="D23" s="167" t="s">
        <v>888</v>
      </c>
      <c r="E23" s="181" t="b">
        <v>1</v>
      </c>
      <c r="F23" s="169"/>
      <c r="G23" s="191" t="s">
        <v>889</v>
      </c>
      <c r="H23" s="123"/>
      <c r="I23" s="124"/>
      <c r="J23" s="192" t="s">
        <v>890</v>
      </c>
      <c r="K23" s="169"/>
    </row>
    <row r="24">
      <c r="A24" s="164" t="s">
        <v>891</v>
      </c>
      <c r="B24" s="165">
        <v>0.04</v>
      </c>
      <c r="C24" s="166" t="s">
        <v>886</v>
      </c>
      <c r="D24" s="167" t="s">
        <v>892</v>
      </c>
      <c r="E24" s="168" t="b">
        <v>0</v>
      </c>
      <c r="F24" s="169"/>
      <c r="G24" s="172" t="s">
        <v>893</v>
      </c>
      <c r="H24" s="173">
        <v>0.05</v>
      </c>
      <c r="I24" s="172" t="s">
        <v>848</v>
      </c>
      <c r="J24" s="192" t="s">
        <v>894</v>
      </c>
      <c r="K24" s="169"/>
    </row>
    <row r="25">
      <c r="A25" s="164" t="s">
        <v>895</v>
      </c>
      <c r="B25" s="165">
        <v>0.06</v>
      </c>
      <c r="C25" s="166" t="s">
        <v>886</v>
      </c>
      <c r="D25" s="167" t="s">
        <v>896</v>
      </c>
      <c r="E25" s="181" t="b">
        <v>1</v>
      </c>
      <c r="F25" s="169"/>
      <c r="G25" s="172" t="s">
        <v>842</v>
      </c>
      <c r="H25" s="173">
        <v>0.02</v>
      </c>
      <c r="I25" s="172" t="s">
        <v>825</v>
      </c>
      <c r="J25" s="192" t="s">
        <v>897</v>
      </c>
      <c r="K25" s="169"/>
    </row>
    <row r="26">
      <c r="A26" s="164" t="s">
        <v>898</v>
      </c>
      <c r="B26" s="165">
        <v>0.07</v>
      </c>
      <c r="C26" s="166" t="s">
        <v>899</v>
      </c>
      <c r="D26" s="167" t="s">
        <v>888</v>
      </c>
      <c r="E26" s="181" t="b">
        <v>1</v>
      </c>
      <c r="F26" s="169"/>
      <c r="G26" s="169"/>
      <c r="H26" s="169"/>
      <c r="I26" s="169"/>
      <c r="J26" s="175"/>
      <c r="K26" s="169"/>
    </row>
    <row r="27">
      <c r="A27" s="164" t="s">
        <v>900</v>
      </c>
      <c r="B27" s="165">
        <v>0.08</v>
      </c>
      <c r="C27" s="166" t="s">
        <v>899</v>
      </c>
      <c r="D27" s="167" t="s">
        <v>873</v>
      </c>
      <c r="E27" s="181" t="b">
        <v>1</v>
      </c>
      <c r="F27" s="169"/>
      <c r="G27" s="176" t="s">
        <v>901</v>
      </c>
      <c r="H27" s="123"/>
      <c r="I27" s="124"/>
      <c r="J27" s="177" t="s">
        <v>902</v>
      </c>
      <c r="K27" s="169"/>
    </row>
    <row r="28">
      <c r="A28" s="164" t="s">
        <v>903</v>
      </c>
      <c r="B28" s="165">
        <v>0.08</v>
      </c>
      <c r="C28" s="166" t="s">
        <v>899</v>
      </c>
      <c r="D28" s="167" t="s">
        <v>896</v>
      </c>
      <c r="E28" s="181" t="b">
        <v>1</v>
      </c>
      <c r="F28" s="169"/>
      <c r="G28" s="178" t="s">
        <v>904</v>
      </c>
      <c r="H28" s="179">
        <v>0.03</v>
      </c>
      <c r="I28" s="178" t="s">
        <v>832</v>
      </c>
      <c r="J28" s="177" t="s">
        <v>905</v>
      </c>
      <c r="K28" s="169"/>
    </row>
    <row r="29">
      <c r="A29" s="164" t="s">
        <v>906</v>
      </c>
      <c r="B29" s="165">
        <v>0.1</v>
      </c>
      <c r="C29" s="166" t="s">
        <v>899</v>
      </c>
      <c r="D29" s="167" t="s">
        <v>892</v>
      </c>
      <c r="E29" s="168" t="b">
        <v>0</v>
      </c>
      <c r="F29" s="169"/>
      <c r="G29" s="178" t="s">
        <v>907</v>
      </c>
      <c r="H29" s="179">
        <v>0.02</v>
      </c>
      <c r="I29" s="178" t="s">
        <v>875</v>
      </c>
      <c r="J29" s="177" t="s">
        <v>908</v>
      </c>
      <c r="K29" s="169"/>
    </row>
    <row r="30">
      <c r="A30" s="164" t="s">
        <v>909</v>
      </c>
      <c r="B30" s="165">
        <v>0.01</v>
      </c>
      <c r="C30" s="166" t="s">
        <v>875</v>
      </c>
      <c r="D30" s="167" t="s">
        <v>910</v>
      </c>
      <c r="E30" s="168" t="b">
        <v>0</v>
      </c>
      <c r="F30" s="169"/>
      <c r="G30" s="169"/>
      <c r="H30" s="169"/>
      <c r="I30" s="169"/>
      <c r="J30" s="175"/>
      <c r="K30" s="169"/>
    </row>
    <row r="31">
      <c r="A31" s="164" t="s">
        <v>911</v>
      </c>
      <c r="B31" s="165">
        <v>0.01</v>
      </c>
      <c r="C31" s="166" t="s">
        <v>875</v>
      </c>
      <c r="D31" s="167" t="s">
        <v>912</v>
      </c>
      <c r="E31" s="168" t="b">
        <v>0</v>
      </c>
      <c r="F31" s="169"/>
      <c r="G31" s="176" t="s">
        <v>913</v>
      </c>
      <c r="H31" s="123"/>
      <c r="I31" s="124"/>
      <c r="J31" s="177" t="s">
        <v>914</v>
      </c>
      <c r="K31" s="169"/>
    </row>
    <row r="32">
      <c r="A32" s="183" t="s">
        <v>907</v>
      </c>
      <c r="B32" s="184">
        <v>0.02</v>
      </c>
      <c r="C32" s="185" t="s">
        <v>875</v>
      </c>
      <c r="D32" s="186" t="s">
        <v>915</v>
      </c>
      <c r="E32" s="168" t="b">
        <v>0</v>
      </c>
      <c r="F32" s="169"/>
      <c r="G32" s="178" t="s">
        <v>916</v>
      </c>
      <c r="H32" s="179">
        <v>0.01</v>
      </c>
      <c r="I32" s="178" t="s">
        <v>832</v>
      </c>
      <c r="J32" s="177" t="s">
        <v>917</v>
      </c>
      <c r="K32" s="169"/>
    </row>
    <row r="33">
      <c r="A33" s="164" t="s">
        <v>918</v>
      </c>
      <c r="B33" s="165">
        <v>0.02</v>
      </c>
      <c r="C33" s="166" t="s">
        <v>875</v>
      </c>
      <c r="D33" s="167" t="s">
        <v>863</v>
      </c>
      <c r="E33" s="181" t="b">
        <v>1</v>
      </c>
      <c r="F33" s="169"/>
      <c r="G33" s="169"/>
      <c r="H33" s="169"/>
      <c r="I33" s="169"/>
      <c r="J33" s="175"/>
      <c r="K33" s="169"/>
    </row>
    <row r="34">
      <c r="A34" s="164" t="s">
        <v>919</v>
      </c>
      <c r="B34" s="165">
        <v>0.03</v>
      </c>
      <c r="C34" s="166" t="s">
        <v>875</v>
      </c>
      <c r="D34" s="167" t="s">
        <v>920</v>
      </c>
      <c r="E34" s="181" t="b">
        <v>1</v>
      </c>
      <c r="F34" s="169"/>
      <c r="G34" s="176" t="s">
        <v>921</v>
      </c>
      <c r="H34" s="123"/>
      <c r="I34" s="124"/>
      <c r="J34" s="177" t="s">
        <v>922</v>
      </c>
      <c r="K34" s="169"/>
    </row>
    <row r="35">
      <c r="A35" s="164" t="s">
        <v>923</v>
      </c>
      <c r="B35" s="165">
        <v>0.03</v>
      </c>
      <c r="C35" s="166" t="s">
        <v>875</v>
      </c>
      <c r="D35" s="167" t="s">
        <v>924</v>
      </c>
      <c r="E35" s="168" t="b">
        <v>0</v>
      </c>
      <c r="F35" s="169"/>
      <c r="G35" s="178" t="s">
        <v>925</v>
      </c>
      <c r="H35" s="179">
        <v>0.01</v>
      </c>
      <c r="I35" s="178" t="s">
        <v>832</v>
      </c>
      <c r="J35" s="177" t="s">
        <v>926</v>
      </c>
      <c r="K35" s="169"/>
    </row>
    <row r="36">
      <c r="A36" s="164" t="s">
        <v>927</v>
      </c>
      <c r="B36" s="165">
        <v>0.03</v>
      </c>
      <c r="C36" s="166" t="s">
        <v>875</v>
      </c>
      <c r="D36" s="167" t="s">
        <v>924</v>
      </c>
      <c r="E36" s="168" t="b">
        <v>0</v>
      </c>
      <c r="F36" s="169"/>
      <c r="G36" s="193" t="s">
        <v>928</v>
      </c>
      <c r="H36" s="194">
        <v>0.01</v>
      </c>
      <c r="I36" s="193" t="s">
        <v>848</v>
      </c>
      <c r="J36" s="177" t="s">
        <v>929</v>
      </c>
      <c r="K36" s="169"/>
    </row>
    <row r="37">
      <c r="A37" s="164" t="s">
        <v>930</v>
      </c>
      <c r="B37" s="165">
        <v>0.04</v>
      </c>
      <c r="C37" s="166" t="s">
        <v>875</v>
      </c>
      <c r="D37" s="167" t="s">
        <v>931</v>
      </c>
      <c r="E37" s="168" t="b">
        <v>0</v>
      </c>
      <c r="F37" s="169"/>
      <c r="G37" s="169"/>
      <c r="H37" s="169"/>
      <c r="I37" s="169"/>
      <c r="J37" s="195"/>
      <c r="K37" s="169"/>
    </row>
    <row r="38">
      <c r="A38" s="183" t="s">
        <v>874</v>
      </c>
      <c r="B38" s="184">
        <v>0.05</v>
      </c>
      <c r="C38" s="185" t="s">
        <v>875</v>
      </c>
      <c r="D38" s="186" t="s">
        <v>866</v>
      </c>
      <c r="E38" s="168" t="b">
        <v>0</v>
      </c>
      <c r="F38" s="169"/>
      <c r="G38" s="196" t="s">
        <v>932</v>
      </c>
      <c r="H38" s="197"/>
      <c r="I38" s="198"/>
      <c r="J38" s="192" t="s">
        <v>933</v>
      </c>
      <c r="K38" s="169"/>
    </row>
    <row r="39">
      <c r="A39" s="164" t="s">
        <v>934</v>
      </c>
      <c r="B39" s="165">
        <v>0.05</v>
      </c>
      <c r="C39" s="166" t="s">
        <v>875</v>
      </c>
      <c r="D39" s="167" t="s">
        <v>935</v>
      </c>
      <c r="E39" s="168" t="b">
        <v>0</v>
      </c>
      <c r="F39" s="169"/>
      <c r="G39" s="172" t="s">
        <v>936</v>
      </c>
      <c r="H39" s="173">
        <v>0.07</v>
      </c>
      <c r="I39" s="172" t="s">
        <v>832</v>
      </c>
      <c r="J39" s="171" t="s">
        <v>937</v>
      </c>
      <c r="K39" s="169"/>
    </row>
    <row r="40">
      <c r="A40" s="164" t="s">
        <v>938</v>
      </c>
      <c r="B40" s="165">
        <v>0.05</v>
      </c>
      <c r="C40" s="166" t="s">
        <v>875</v>
      </c>
      <c r="D40" s="167" t="s">
        <v>939</v>
      </c>
      <c r="E40" s="168" t="b">
        <v>0</v>
      </c>
      <c r="F40" s="169"/>
      <c r="G40" s="172" t="s">
        <v>940</v>
      </c>
      <c r="H40" s="173">
        <v>0.04</v>
      </c>
      <c r="I40" s="172" t="s">
        <v>825</v>
      </c>
      <c r="J40" s="18"/>
      <c r="K40" s="169"/>
    </row>
    <row r="41">
      <c r="A41" s="183" t="s">
        <v>941</v>
      </c>
      <c r="B41" s="184">
        <v>0.06</v>
      </c>
      <c r="C41" s="185" t="s">
        <v>875</v>
      </c>
      <c r="D41" s="186" t="s">
        <v>859</v>
      </c>
      <c r="E41" s="181" t="b">
        <v>1</v>
      </c>
      <c r="F41" s="169"/>
      <c r="G41" s="172" t="s">
        <v>942</v>
      </c>
      <c r="H41" s="173">
        <v>0.04</v>
      </c>
      <c r="I41" s="172" t="s">
        <v>868</v>
      </c>
      <c r="J41" s="18"/>
      <c r="K41" s="169"/>
    </row>
    <row r="42">
      <c r="A42" s="164" t="s">
        <v>943</v>
      </c>
      <c r="B42" s="165">
        <v>0.06</v>
      </c>
      <c r="C42" s="166" t="s">
        <v>875</v>
      </c>
      <c r="D42" s="167" t="s">
        <v>944</v>
      </c>
      <c r="E42" s="168" t="b">
        <v>0</v>
      </c>
      <c r="F42" s="169"/>
      <c r="G42" s="172" t="s">
        <v>945</v>
      </c>
      <c r="H42" s="173">
        <v>0.1</v>
      </c>
      <c r="I42" s="172" t="s">
        <v>946</v>
      </c>
      <c r="J42" s="20"/>
      <c r="K42" s="169"/>
    </row>
    <row r="43">
      <c r="A43" s="164" t="s">
        <v>947</v>
      </c>
      <c r="B43" s="165">
        <v>0.08</v>
      </c>
      <c r="C43" s="166" t="s">
        <v>875</v>
      </c>
      <c r="D43" s="167" t="s">
        <v>882</v>
      </c>
      <c r="E43" s="181" t="b">
        <v>1</v>
      </c>
      <c r="F43" s="169"/>
      <c r="G43" s="169"/>
      <c r="H43" s="169"/>
      <c r="I43" s="169"/>
      <c r="J43" s="175"/>
      <c r="K43" s="169"/>
    </row>
    <row r="44">
      <c r="A44" s="164" t="s">
        <v>948</v>
      </c>
      <c r="B44" s="165">
        <v>0.07</v>
      </c>
      <c r="C44" s="166" t="s">
        <v>949</v>
      </c>
      <c r="D44" s="167" t="s">
        <v>892</v>
      </c>
      <c r="E44" s="168" t="b">
        <v>0</v>
      </c>
      <c r="F44" s="169"/>
      <c r="G44" s="191" t="s">
        <v>950</v>
      </c>
      <c r="H44" s="123"/>
      <c r="I44" s="124"/>
      <c r="J44" s="192" t="s">
        <v>951</v>
      </c>
      <c r="K44" s="169"/>
    </row>
    <row r="45">
      <c r="A45" s="164" t="s">
        <v>952</v>
      </c>
      <c r="B45" s="165">
        <v>0.07</v>
      </c>
      <c r="C45" s="166" t="s">
        <v>949</v>
      </c>
      <c r="D45" s="167" t="s">
        <v>953</v>
      </c>
      <c r="E45" s="168" t="b">
        <v>0</v>
      </c>
      <c r="F45" s="169"/>
      <c r="G45" s="172" t="s">
        <v>954</v>
      </c>
      <c r="H45" s="173">
        <v>0.1</v>
      </c>
      <c r="I45" s="172" t="s">
        <v>946</v>
      </c>
      <c r="J45" s="192" t="s">
        <v>955</v>
      </c>
      <c r="K45" s="169"/>
    </row>
    <row r="46">
      <c r="A46" s="164" t="s">
        <v>956</v>
      </c>
      <c r="B46" s="165">
        <v>0.07</v>
      </c>
      <c r="C46" s="166" t="s">
        <v>949</v>
      </c>
      <c r="D46" s="167" t="s">
        <v>957</v>
      </c>
      <c r="E46" s="168" t="b">
        <v>0</v>
      </c>
      <c r="F46" s="169"/>
      <c r="G46" s="172" t="s">
        <v>958</v>
      </c>
      <c r="H46" s="173">
        <v>0.1</v>
      </c>
      <c r="I46" s="172" t="s">
        <v>868</v>
      </c>
      <c r="J46" s="192" t="s">
        <v>959</v>
      </c>
      <c r="K46" s="169"/>
    </row>
    <row r="47">
      <c r="A47" s="164" t="s">
        <v>960</v>
      </c>
      <c r="B47" s="165">
        <v>0.07</v>
      </c>
      <c r="C47" s="166" t="s">
        <v>949</v>
      </c>
      <c r="D47" s="167" t="s">
        <v>961</v>
      </c>
      <c r="E47" s="181" t="b">
        <v>0</v>
      </c>
      <c r="F47" s="169"/>
      <c r="G47" s="169"/>
      <c r="H47" s="169"/>
      <c r="I47" s="169"/>
      <c r="J47" s="175"/>
      <c r="K47" s="169"/>
    </row>
    <row r="48">
      <c r="A48" s="164" t="s">
        <v>962</v>
      </c>
      <c r="B48" s="165">
        <v>0.1</v>
      </c>
      <c r="C48" s="166" t="s">
        <v>949</v>
      </c>
      <c r="D48" s="167" t="s">
        <v>939</v>
      </c>
      <c r="E48" s="168" t="b">
        <v>0</v>
      </c>
      <c r="F48" s="169"/>
      <c r="G48" s="191" t="s">
        <v>963</v>
      </c>
      <c r="H48" s="123"/>
      <c r="I48" s="124"/>
      <c r="J48" s="171" t="s">
        <v>964</v>
      </c>
      <c r="K48" s="169"/>
    </row>
    <row r="49">
      <c r="A49" s="164" t="s">
        <v>965</v>
      </c>
      <c r="B49" s="165">
        <v>0.1</v>
      </c>
      <c r="C49" s="166" t="s">
        <v>949</v>
      </c>
      <c r="D49" s="167" t="s">
        <v>882</v>
      </c>
      <c r="E49" s="181" t="b">
        <v>1</v>
      </c>
      <c r="F49" s="169"/>
      <c r="G49" s="172" t="s">
        <v>966</v>
      </c>
      <c r="H49" s="173">
        <v>0.07</v>
      </c>
      <c r="I49" s="199" t="s">
        <v>832</v>
      </c>
      <c r="J49" s="171" t="s">
        <v>967</v>
      </c>
      <c r="K49" s="169"/>
    </row>
    <row r="50">
      <c r="A50" s="183" t="s">
        <v>968</v>
      </c>
      <c r="B50" s="184">
        <v>0.12</v>
      </c>
      <c r="C50" s="185" t="s">
        <v>949</v>
      </c>
      <c r="D50" s="186" t="s">
        <v>859</v>
      </c>
      <c r="E50" s="181" t="b">
        <v>1</v>
      </c>
      <c r="F50" s="169"/>
      <c r="G50" s="172" t="s">
        <v>844</v>
      </c>
      <c r="H50" s="173">
        <v>0.02</v>
      </c>
      <c r="I50" s="199" t="s">
        <v>825</v>
      </c>
      <c r="J50" s="18"/>
      <c r="K50" s="169"/>
    </row>
    <row r="51">
      <c r="A51" s="164" t="s">
        <v>969</v>
      </c>
      <c r="B51" s="200">
        <v>20.0</v>
      </c>
      <c r="C51" s="166" t="s">
        <v>884</v>
      </c>
      <c r="D51" s="167" t="s">
        <v>857</v>
      </c>
      <c r="E51" s="181" t="b">
        <v>1</v>
      </c>
      <c r="F51" s="169"/>
      <c r="G51" s="172" t="s">
        <v>846</v>
      </c>
      <c r="H51" s="173">
        <v>0.02</v>
      </c>
      <c r="I51" s="199" t="s">
        <v>825</v>
      </c>
      <c r="J51" s="18"/>
      <c r="K51" s="169"/>
    </row>
    <row r="52">
      <c r="A52" s="183" t="s">
        <v>883</v>
      </c>
      <c r="B52" s="201">
        <v>60.0</v>
      </c>
      <c r="C52" s="185" t="s">
        <v>884</v>
      </c>
      <c r="D52" s="186" t="s">
        <v>879</v>
      </c>
      <c r="E52" s="168" t="b">
        <v>0</v>
      </c>
      <c r="F52" s="169"/>
      <c r="G52" s="172" t="s">
        <v>970</v>
      </c>
      <c r="H52" s="173">
        <v>0.07</v>
      </c>
      <c r="I52" s="199" t="s">
        <v>848</v>
      </c>
      <c r="J52" s="20"/>
      <c r="K52" s="169"/>
    </row>
    <row r="53">
      <c r="A53" s="202" t="s">
        <v>971</v>
      </c>
      <c r="B53" s="200" t="s">
        <v>972</v>
      </c>
      <c r="C53" s="166" t="s">
        <v>884</v>
      </c>
      <c r="D53" s="167" t="s">
        <v>973</v>
      </c>
      <c r="E53" s="168" t="b">
        <v>0</v>
      </c>
      <c r="F53" s="169"/>
      <c r="G53" s="169"/>
      <c r="H53" s="169"/>
      <c r="I53" s="169"/>
      <c r="J53" s="175"/>
      <c r="K53" s="169"/>
    </row>
    <row r="54">
      <c r="A54" s="164" t="s">
        <v>974</v>
      </c>
      <c r="B54" s="165">
        <v>0.04</v>
      </c>
      <c r="C54" s="166" t="s">
        <v>975</v>
      </c>
      <c r="D54" s="167" t="s">
        <v>888</v>
      </c>
      <c r="E54" s="181" t="b">
        <v>1</v>
      </c>
      <c r="F54" s="169"/>
      <c r="G54" s="191" t="s">
        <v>976</v>
      </c>
      <c r="H54" s="123"/>
      <c r="I54" s="124"/>
      <c r="J54" s="192" t="s">
        <v>977</v>
      </c>
      <c r="K54" s="169"/>
    </row>
    <row r="55">
      <c r="A55" s="164" t="s">
        <v>978</v>
      </c>
      <c r="B55" s="165">
        <v>0.04</v>
      </c>
      <c r="C55" s="166" t="s">
        <v>975</v>
      </c>
      <c r="D55" s="167" t="s">
        <v>892</v>
      </c>
      <c r="E55" s="168" t="b">
        <v>0</v>
      </c>
      <c r="F55" s="169"/>
      <c r="G55" s="172" t="s">
        <v>979</v>
      </c>
      <c r="H55" s="173">
        <v>0.01</v>
      </c>
      <c r="I55" s="172" t="s">
        <v>848</v>
      </c>
      <c r="J55" s="192" t="s">
        <v>980</v>
      </c>
      <c r="K55" s="169"/>
    </row>
    <row r="56">
      <c r="A56" s="164" t="s">
        <v>981</v>
      </c>
      <c r="B56" s="165">
        <v>0.04</v>
      </c>
      <c r="C56" s="166" t="s">
        <v>975</v>
      </c>
      <c r="D56" s="167" t="s">
        <v>939</v>
      </c>
      <c r="E56" s="168" t="b">
        <v>0</v>
      </c>
      <c r="F56" s="169"/>
      <c r="G56" s="172" t="s">
        <v>982</v>
      </c>
      <c r="H56" s="173">
        <v>0.01</v>
      </c>
      <c r="I56" s="172" t="s">
        <v>832</v>
      </c>
      <c r="J56" s="192" t="s">
        <v>983</v>
      </c>
      <c r="K56" s="169"/>
    </row>
    <row r="57">
      <c r="A57" s="164" t="s">
        <v>984</v>
      </c>
      <c r="B57" s="165">
        <v>0.1</v>
      </c>
      <c r="C57" s="166" t="s">
        <v>975</v>
      </c>
      <c r="D57" s="167" t="s">
        <v>882</v>
      </c>
      <c r="E57" s="181" t="b">
        <v>1</v>
      </c>
      <c r="F57" s="169"/>
      <c r="G57" s="169"/>
      <c r="H57" s="169"/>
      <c r="I57" s="169"/>
      <c r="J57" s="175"/>
      <c r="K57" s="169"/>
    </row>
    <row r="58">
      <c r="A58" s="164" t="s">
        <v>985</v>
      </c>
      <c r="B58" s="165">
        <v>0.01</v>
      </c>
      <c r="C58" s="166" t="s">
        <v>946</v>
      </c>
      <c r="D58" s="167" t="s">
        <v>986</v>
      </c>
      <c r="E58" s="168" t="b">
        <v>0</v>
      </c>
      <c r="F58" s="169"/>
      <c r="G58" s="182" t="s">
        <v>987</v>
      </c>
      <c r="H58" s="123"/>
      <c r="I58" s="124"/>
      <c r="J58" s="180" t="s">
        <v>988</v>
      </c>
      <c r="K58" s="169"/>
    </row>
    <row r="59">
      <c r="A59" s="164" t="s">
        <v>989</v>
      </c>
      <c r="B59" s="165">
        <v>0.01</v>
      </c>
      <c r="C59" s="166" t="s">
        <v>946</v>
      </c>
      <c r="D59" s="167" t="s">
        <v>990</v>
      </c>
      <c r="E59" s="168" t="b">
        <v>0</v>
      </c>
      <c r="F59" s="169"/>
      <c r="G59" s="178" t="s">
        <v>991</v>
      </c>
      <c r="H59" s="179">
        <v>0.05</v>
      </c>
      <c r="I59" s="178" t="s">
        <v>832</v>
      </c>
      <c r="J59" s="20"/>
      <c r="K59" s="169"/>
    </row>
    <row r="60">
      <c r="A60" s="164" t="s">
        <v>992</v>
      </c>
      <c r="B60" s="165">
        <v>0.03</v>
      </c>
      <c r="C60" s="166" t="s">
        <v>946</v>
      </c>
      <c r="D60" s="167" t="s">
        <v>993</v>
      </c>
      <c r="E60" s="181" t="b">
        <v>1</v>
      </c>
      <c r="F60" s="169"/>
      <c r="G60" s="169"/>
      <c r="H60" s="169"/>
      <c r="I60" s="169"/>
      <c r="J60" s="175"/>
      <c r="K60" s="169"/>
    </row>
    <row r="61">
      <c r="A61" s="164" t="s">
        <v>994</v>
      </c>
      <c r="B61" s="165">
        <v>0.03</v>
      </c>
      <c r="C61" s="166" t="s">
        <v>946</v>
      </c>
      <c r="D61" s="167" t="s">
        <v>994</v>
      </c>
      <c r="E61" s="168" t="b">
        <v>0</v>
      </c>
      <c r="F61" s="169"/>
      <c r="G61" s="182" t="s">
        <v>973</v>
      </c>
      <c r="H61" s="123"/>
      <c r="I61" s="124"/>
      <c r="J61" s="180" t="s">
        <v>828</v>
      </c>
      <c r="K61" s="169"/>
    </row>
    <row r="62">
      <c r="A62" s="164" t="s">
        <v>995</v>
      </c>
      <c r="B62" s="165">
        <v>0.07</v>
      </c>
      <c r="C62" s="166" t="s">
        <v>946</v>
      </c>
      <c r="D62" s="167" t="s">
        <v>888</v>
      </c>
      <c r="E62" s="181" t="b">
        <v>1</v>
      </c>
      <c r="F62" s="169"/>
      <c r="G62" s="203" t="s">
        <v>971</v>
      </c>
      <c r="H62" s="177" t="s">
        <v>972</v>
      </c>
      <c r="I62" s="178" t="s">
        <v>884</v>
      </c>
      <c r="J62" s="20"/>
      <c r="K62" s="169"/>
    </row>
    <row r="63">
      <c r="A63" s="164" t="s">
        <v>996</v>
      </c>
      <c r="B63" s="165">
        <v>0.07</v>
      </c>
      <c r="C63" s="166" t="s">
        <v>946</v>
      </c>
      <c r="D63" s="167" t="s">
        <v>997</v>
      </c>
      <c r="E63" s="181" t="b">
        <v>1</v>
      </c>
      <c r="F63" s="169"/>
      <c r="G63" s="169"/>
      <c r="H63" s="169"/>
      <c r="I63" s="169"/>
      <c r="J63" s="175"/>
      <c r="K63" s="169"/>
    </row>
    <row r="64">
      <c r="A64" s="164" t="s">
        <v>998</v>
      </c>
      <c r="B64" s="165">
        <v>0.1</v>
      </c>
      <c r="C64" s="166" t="s">
        <v>946</v>
      </c>
      <c r="D64" s="167" t="s">
        <v>870</v>
      </c>
      <c r="E64" s="181" t="b">
        <v>1</v>
      </c>
      <c r="F64" s="169"/>
      <c r="G64" s="191" t="s">
        <v>999</v>
      </c>
      <c r="H64" s="123"/>
      <c r="I64" s="124"/>
      <c r="J64" s="192" t="s">
        <v>1000</v>
      </c>
      <c r="K64" s="169"/>
    </row>
    <row r="65">
      <c r="A65" s="183" t="s">
        <v>954</v>
      </c>
      <c r="B65" s="184">
        <v>0.1</v>
      </c>
      <c r="C65" s="185" t="s">
        <v>946</v>
      </c>
      <c r="D65" s="186" t="s">
        <v>1001</v>
      </c>
      <c r="E65" s="181" t="b">
        <v>1</v>
      </c>
      <c r="F65" s="169"/>
      <c r="G65" s="172" t="s">
        <v>1002</v>
      </c>
      <c r="H65" s="173">
        <v>0.04</v>
      </c>
      <c r="I65" s="172" t="s">
        <v>832</v>
      </c>
      <c r="J65" s="171" t="s">
        <v>1003</v>
      </c>
      <c r="K65" s="169"/>
    </row>
    <row r="66">
      <c r="A66" s="164" t="s">
        <v>1004</v>
      </c>
      <c r="B66" s="165">
        <v>0.1</v>
      </c>
      <c r="C66" s="166" t="s">
        <v>946</v>
      </c>
      <c r="D66" s="167" t="s">
        <v>1005</v>
      </c>
      <c r="E66" s="168" t="b">
        <v>0</v>
      </c>
      <c r="F66" s="169"/>
      <c r="G66" s="172" t="s">
        <v>1006</v>
      </c>
      <c r="H66" s="173">
        <v>0.03</v>
      </c>
      <c r="I66" s="172" t="s">
        <v>868</v>
      </c>
      <c r="J66" s="18"/>
      <c r="K66" s="169"/>
    </row>
    <row r="67">
      <c r="A67" s="164" t="s">
        <v>916</v>
      </c>
      <c r="B67" s="165">
        <v>0.01</v>
      </c>
      <c r="C67" s="166" t="s">
        <v>832</v>
      </c>
      <c r="D67" s="167" t="s">
        <v>1007</v>
      </c>
      <c r="E67" s="168" t="b">
        <v>0</v>
      </c>
      <c r="F67" s="169"/>
      <c r="G67" s="172" t="s">
        <v>992</v>
      </c>
      <c r="H67" s="173">
        <v>0.03</v>
      </c>
      <c r="I67" s="172" t="s">
        <v>946</v>
      </c>
      <c r="J67" s="18"/>
      <c r="K67" s="169"/>
    </row>
    <row r="68">
      <c r="A68" s="183" t="s">
        <v>925</v>
      </c>
      <c r="B68" s="184">
        <v>0.01</v>
      </c>
      <c r="C68" s="185" t="s">
        <v>832</v>
      </c>
      <c r="D68" s="204" t="s">
        <v>1008</v>
      </c>
      <c r="E68" s="168" t="b">
        <v>0</v>
      </c>
      <c r="F68" s="169"/>
      <c r="G68" s="172" t="s">
        <v>1009</v>
      </c>
      <c r="H68" s="173">
        <v>0.02</v>
      </c>
      <c r="I68" s="172" t="s">
        <v>848</v>
      </c>
      <c r="J68" s="20"/>
      <c r="K68" s="169"/>
    </row>
    <row r="69">
      <c r="A69" s="164" t="s">
        <v>982</v>
      </c>
      <c r="B69" s="165">
        <v>0.01</v>
      </c>
      <c r="C69" s="166" t="s">
        <v>832</v>
      </c>
      <c r="D69" s="167" t="s">
        <v>1010</v>
      </c>
      <c r="E69" s="181" t="b">
        <v>1</v>
      </c>
      <c r="F69" s="169"/>
      <c r="G69" s="169"/>
      <c r="H69" s="169"/>
      <c r="I69" s="169"/>
      <c r="J69" s="175"/>
      <c r="K69" s="169"/>
    </row>
    <row r="70">
      <c r="A70" s="164" t="s">
        <v>1011</v>
      </c>
      <c r="B70" s="165">
        <v>0.01</v>
      </c>
      <c r="C70" s="166" t="s">
        <v>832</v>
      </c>
      <c r="D70" s="167" t="s">
        <v>1012</v>
      </c>
      <c r="E70" s="168" t="b">
        <v>0</v>
      </c>
      <c r="F70" s="169"/>
      <c r="G70" s="191" t="s">
        <v>1013</v>
      </c>
      <c r="H70" s="123"/>
      <c r="I70" s="124"/>
      <c r="J70" s="192" t="s">
        <v>1014</v>
      </c>
      <c r="K70" s="169"/>
    </row>
    <row r="71">
      <c r="A71" s="164" t="s">
        <v>1015</v>
      </c>
      <c r="B71" s="165">
        <v>0.01</v>
      </c>
      <c r="C71" s="166" t="s">
        <v>832</v>
      </c>
      <c r="D71" s="167" t="s">
        <v>1016</v>
      </c>
      <c r="E71" s="168" t="b">
        <v>0</v>
      </c>
      <c r="F71" s="169"/>
      <c r="G71" s="172" t="s">
        <v>1017</v>
      </c>
      <c r="H71" s="173">
        <v>0.04</v>
      </c>
      <c r="I71" s="172" t="s">
        <v>832</v>
      </c>
      <c r="J71" s="171" t="s">
        <v>1018</v>
      </c>
      <c r="K71" s="169"/>
    </row>
    <row r="72">
      <c r="A72" s="164" t="s">
        <v>1019</v>
      </c>
      <c r="B72" s="165">
        <v>0.02</v>
      </c>
      <c r="C72" s="166" t="s">
        <v>832</v>
      </c>
      <c r="D72" s="167" t="s">
        <v>931</v>
      </c>
      <c r="E72" s="168" t="b">
        <v>0</v>
      </c>
      <c r="F72" s="169"/>
      <c r="G72" s="172" t="s">
        <v>1020</v>
      </c>
      <c r="H72" s="173">
        <v>0.05</v>
      </c>
      <c r="I72" s="172" t="s">
        <v>825</v>
      </c>
      <c r="J72" s="18"/>
      <c r="K72" s="169"/>
    </row>
    <row r="73">
      <c r="A73" s="183" t="s">
        <v>904</v>
      </c>
      <c r="B73" s="184">
        <v>0.03</v>
      </c>
      <c r="C73" s="185" t="s">
        <v>832</v>
      </c>
      <c r="D73" s="186" t="s">
        <v>1021</v>
      </c>
      <c r="E73" s="168" t="b">
        <v>0</v>
      </c>
      <c r="F73" s="169"/>
      <c r="G73" s="172" t="s">
        <v>1022</v>
      </c>
      <c r="H73" s="173">
        <v>0.03</v>
      </c>
      <c r="I73" s="172" t="s">
        <v>886</v>
      </c>
      <c r="J73" s="18"/>
      <c r="K73" s="169"/>
    </row>
    <row r="74">
      <c r="A74" s="164" t="s">
        <v>1023</v>
      </c>
      <c r="B74" s="165">
        <v>0.03</v>
      </c>
      <c r="C74" s="166" t="s">
        <v>832</v>
      </c>
      <c r="D74" s="167" t="s">
        <v>1024</v>
      </c>
      <c r="E74" s="181" t="b">
        <v>1</v>
      </c>
      <c r="F74" s="169"/>
      <c r="G74" s="172" t="s">
        <v>1025</v>
      </c>
      <c r="H74" s="173">
        <v>0.08</v>
      </c>
      <c r="I74" s="172" t="s">
        <v>899</v>
      </c>
      <c r="J74" s="20"/>
      <c r="K74" s="169"/>
    </row>
    <row r="75">
      <c r="A75" s="164" t="s">
        <v>1026</v>
      </c>
      <c r="B75" s="165">
        <v>0.03</v>
      </c>
      <c r="C75" s="166" t="s">
        <v>832</v>
      </c>
      <c r="D75" s="167" t="s">
        <v>896</v>
      </c>
      <c r="E75" s="181" t="b">
        <v>1</v>
      </c>
      <c r="F75" s="169"/>
      <c r="G75" s="169"/>
      <c r="H75" s="169"/>
      <c r="I75" s="169"/>
      <c r="J75" s="175"/>
      <c r="K75" s="169"/>
    </row>
    <row r="76">
      <c r="A76" s="164" t="s">
        <v>994</v>
      </c>
      <c r="B76" s="165">
        <v>0.03</v>
      </c>
      <c r="C76" s="166" t="s">
        <v>832</v>
      </c>
      <c r="D76" s="167" t="s">
        <v>994</v>
      </c>
      <c r="E76" s="168" t="b">
        <v>0</v>
      </c>
      <c r="F76" s="169"/>
      <c r="G76" s="176" t="s">
        <v>1027</v>
      </c>
      <c r="H76" s="123"/>
      <c r="I76" s="124"/>
      <c r="J76" s="177" t="s">
        <v>1028</v>
      </c>
      <c r="K76" s="169"/>
    </row>
    <row r="77">
      <c r="A77" s="164" t="s">
        <v>1002</v>
      </c>
      <c r="B77" s="165">
        <v>0.04</v>
      </c>
      <c r="C77" s="166" t="s">
        <v>832</v>
      </c>
      <c r="D77" s="167" t="s">
        <v>993</v>
      </c>
      <c r="E77" s="181" t="b">
        <v>1</v>
      </c>
      <c r="F77" s="169"/>
      <c r="G77" s="178" t="s">
        <v>1029</v>
      </c>
      <c r="H77" s="179">
        <v>0.07</v>
      </c>
      <c r="I77" s="178" t="s">
        <v>832</v>
      </c>
      <c r="J77" s="180" t="s">
        <v>1030</v>
      </c>
      <c r="K77" s="169"/>
    </row>
    <row r="78">
      <c r="A78" s="164" t="s">
        <v>1017</v>
      </c>
      <c r="B78" s="165">
        <v>0.04</v>
      </c>
      <c r="C78" s="166" t="s">
        <v>832</v>
      </c>
      <c r="D78" s="167" t="s">
        <v>873</v>
      </c>
      <c r="E78" s="181" t="b">
        <v>1</v>
      </c>
      <c r="F78" s="169"/>
      <c r="G78" s="178" t="s">
        <v>849</v>
      </c>
      <c r="H78" s="179">
        <v>0.02</v>
      </c>
      <c r="I78" s="178" t="s">
        <v>825</v>
      </c>
      <c r="J78" s="18"/>
      <c r="K78" s="169"/>
    </row>
    <row r="79">
      <c r="A79" s="164" t="s">
        <v>1031</v>
      </c>
      <c r="B79" s="165">
        <v>0.04</v>
      </c>
      <c r="C79" s="166" t="s">
        <v>832</v>
      </c>
      <c r="D79" s="167" t="s">
        <v>1032</v>
      </c>
      <c r="E79" s="168" t="b">
        <v>0</v>
      </c>
      <c r="F79" s="169"/>
      <c r="G79" s="178" t="s">
        <v>851</v>
      </c>
      <c r="H79" s="179">
        <v>0.02</v>
      </c>
      <c r="I79" s="178" t="s">
        <v>825</v>
      </c>
      <c r="J79" s="18"/>
      <c r="K79" s="169"/>
    </row>
    <row r="80">
      <c r="A80" s="164" t="s">
        <v>1033</v>
      </c>
      <c r="B80" s="165">
        <v>0.05</v>
      </c>
      <c r="C80" s="166" t="s">
        <v>832</v>
      </c>
      <c r="D80" s="167" t="s">
        <v>827</v>
      </c>
      <c r="E80" s="181" t="b">
        <v>1</v>
      </c>
      <c r="F80" s="169"/>
      <c r="G80" s="178" t="s">
        <v>1034</v>
      </c>
      <c r="H80" s="179">
        <v>0.07</v>
      </c>
      <c r="I80" s="178" t="s">
        <v>848</v>
      </c>
      <c r="J80" s="20"/>
      <c r="K80" s="169"/>
    </row>
    <row r="81">
      <c r="A81" s="183" t="s">
        <v>855</v>
      </c>
      <c r="B81" s="184">
        <v>0.05</v>
      </c>
      <c r="C81" s="185" t="s">
        <v>832</v>
      </c>
      <c r="D81" s="186" t="s">
        <v>852</v>
      </c>
      <c r="E81" s="168" t="b">
        <v>0</v>
      </c>
      <c r="F81" s="169"/>
      <c r="G81" s="169"/>
      <c r="H81" s="169"/>
      <c r="I81" s="169"/>
      <c r="J81" s="175"/>
      <c r="K81" s="169"/>
    </row>
    <row r="82">
      <c r="A82" s="164" t="s">
        <v>991</v>
      </c>
      <c r="B82" s="165">
        <v>0.05</v>
      </c>
      <c r="C82" s="166" t="s">
        <v>832</v>
      </c>
      <c r="D82" s="167" t="s">
        <v>1035</v>
      </c>
      <c r="E82" s="168" t="b">
        <v>0</v>
      </c>
      <c r="F82" s="169"/>
      <c r="G82" s="205" t="s">
        <v>1036</v>
      </c>
      <c r="H82" s="123"/>
      <c r="I82" s="124"/>
      <c r="J82" s="177" t="s">
        <v>1037</v>
      </c>
      <c r="K82" s="169"/>
    </row>
    <row r="83">
      <c r="A83" s="164" t="s">
        <v>840</v>
      </c>
      <c r="B83" s="165">
        <v>0.07</v>
      </c>
      <c r="C83" s="166" t="s">
        <v>832</v>
      </c>
      <c r="D83" s="167" t="s">
        <v>836</v>
      </c>
      <c r="E83" s="168" t="b">
        <v>0</v>
      </c>
      <c r="F83" s="169"/>
      <c r="G83" s="178" t="s">
        <v>1038</v>
      </c>
      <c r="H83" s="179">
        <v>0.05</v>
      </c>
      <c r="I83" s="178" t="s">
        <v>868</v>
      </c>
      <c r="J83" s="177" t="s">
        <v>1039</v>
      </c>
      <c r="K83" s="169"/>
    </row>
    <row r="84">
      <c r="A84" s="164" t="s">
        <v>1040</v>
      </c>
      <c r="B84" s="165">
        <v>0.07</v>
      </c>
      <c r="C84" s="166" t="s">
        <v>832</v>
      </c>
      <c r="D84" s="167" t="s">
        <v>870</v>
      </c>
      <c r="E84" s="181" t="b">
        <v>1</v>
      </c>
      <c r="F84" s="169"/>
      <c r="G84" s="178" t="s">
        <v>632</v>
      </c>
      <c r="H84" s="179">
        <v>0.02</v>
      </c>
      <c r="I84" s="178" t="s">
        <v>825</v>
      </c>
      <c r="J84" s="177" t="s">
        <v>1041</v>
      </c>
      <c r="K84" s="169"/>
    </row>
    <row r="85">
      <c r="A85" s="164" t="s">
        <v>966</v>
      </c>
      <c r="B85" s="165">
        <v>0.07</v>
      </c>
      <c r="C85" s="166" t="s">
        <v>832</v>
      </c>
      <c r="D85" s="167" t="s">
        <v>845</v>
      </c>
      <c r="E85" s="181" t="b">
        <v>1</v>
      </c>
      <c r="F85" s="169"/>
      <c r="G85" s="169"/>
      <c r="H85" s="169"/>
      <c r="I85" s="169"/>
      <c r="J85" s="175"/>
      <c r="K85" s="169"/>
    </row>
    <row r="86">
      <c r="A86" s="164" t="s">
        <v>1029</v>
      </c>
      <c r="B86" s="165">
        <v>0.07</v>
      </c>
      <c r="C86" s="166" t="s">
        <v>832</v>
      </c>
      <c r="D86" s="167" t="s">
        <v>850</v>
      </c>
      <c r="E86" s="168" t="b">
        <v>0</v>
      </c>
      <c r="F86" s="169"/>
      <c r="G86" s="176" t="s">
        <v>1042</v>
      </c>
      <c r="H86" s="123"/>
      <c r="I86" s="124"/>
      <c r="J86" s="177" t="s">
        <v>1043</v>
      </c>
      <c r="K86" s="169"/>
    </row>
    <row r="87">
      <c r="A87" s="164" t="s">
        <v>1044</v>
      </c>
      <c r="B87" s="165">
        <v>0.07</v>
      </c>
      <c r="C87" s="166" t="s">
        <v>832</v>
      </c>
      <c r="D87" s="167" t="s">
        <v>935</v>
      </c>
      <c r="E87" s="168" t="b">
        <v>0</v>
      </c>
      <c r="F87" s="169"/>
      <c r="G87" s="178" t="s">
        <v>1045</v>
      </c>
      <c r="H87" s="179">
        <v>0.01</v>
      </c>
      <c r="I87" s="178" t="s">
        <v>848</v>
      </c>
      <c r="J87" s="177" t="s">
        <v>1046</v>
      </c>
      <c r="K87" s="169"/>
    </row>
    <row r="88">
      <c r="A88" s="164" t="s">
        <v>1047</v>
      </c>
      <c r="B88" s="165">
        <v>0.01</v>
      </c>
      <c r="C88" s="166" t="s">
        <v>868</v>
      </c>
      <c r="D88" s="167" t="s">
        <v>1048</v>
      </c>
      <c r="E88" s="181" t="b">
        <v>1</v>
      </c>
      <c r="F88" s="169"/>
      <c r="G88" s="169"/>
      <c r="H88" s="169"/>
      <c r="I88" s="169"/>
      <c r="J88" s="175"/>
      <c r="K88" s="169"/>
    </row>
    <row r="89">
      <c r="A89" s="164" t="s">
        <v>1049</v>
      </c>
      <c r="B89" s="165">
        <v>0.02</v>
      </c>
      <c r="C89" s="166" t="s">
        <v>868</v>
      </c>
      <c r="D89" s="167" t="s">
        <v>857</v>
      </c>
      <c r="E89" s="181" t="b">
        <v>1</v>
      </c>
      <c r="F89" s="169"/>
      <c r="G89" s="191" t="s">
        <v>1050</v>
      </c>
      <c r="H89" s="123"/>
      <c r="I89" s="124"/>
      <c r="J89" s="192" t="s">
        <v>1051</v>
      </c>
      <c r="K89" s="169"/>
    </row>
    <row r="90">
      <c r="A90" s="164" t="s">
        <v>1006</v>
      </c>
      <c r="B90" s="165">
        <v>0.03</v>
      </c>
      <c r="C90" s="166" t="s">
        <v>868</v>
      </c>
      <c r="D90" s="167" t="s">
        <v>993</v>
      </c>
      <c r="E90" s="181" t="b">
        <v>1</v>
      </c>
      <c r="F90" s="169"/>
      <c r="G90" s="172" t="s">
        <v>858</v>
      </c>
      <c r="H90" s="173">
        <v>0.03</v>
      </c>
      <c r="I90" s="172" t="s">
        <v>825</v>
      </c>
      <c r="J90" s="171" t="s">
        <v>1052</v>
      </c>
      <c r="K90" s="169"/>
    </row>
    <row r="91">
      <c r="A91" s="164" t="s">
        <v>1053</v>
      </c>
      <c r="B91" s="165">
        <v>0.03</v>
      </c>
      <c r="C91" s="166" t="s">
        <v>868</v>
      </c>
      <c r="D91" s="167" t="s">
        <v>931</v>
      </c>
      <c r="E91" s="168" t="b">
        <v>0</v>
      </c>
      <c r="F91" s="169"/>
      <c r="G91" s="172" t="s">
        <v>1054</v>
      </c>
      <c r="H91" s="173">
        <v>0.04</v>
      </c>
      <c r="I91" s="172" t="s">
        <v>868</v>
      </c>
      <c r="J91" s="18"/>
      <c r="K91" s="169"/>
    </row>
    <row r="92">
      <c r="A92" s="164" t="s">
        <v>1055</v>
      </c>
      <c r="B92" s="165">
        <v>0.03</v>
      </c>
      <c r="C92" s="166" t="s">
        <v>868</v>
      </c>
      <c r="D92" s="167" t="s">
        <v>1032</v>
      </c>
      <c r="E92" s="168" t="b">
        <v>0</v>
      </c>
      <c r="F92" s="169"/>
      <c r="G92" s="172" t="s">
        <v>941</v>
      </c>
      <c r="H92" s="173">
        <v>0.06</v>
      </c>
      <c r="I92" s="172" t="s">
        <v>875</v>
      </c>
      <c r="J92" s="18"/>
      <c r="K92" s="169"/>
    </row>
    <row r="93">
      <c r="A93" s="164" t="s">
        <v>1056</v>
      </c>
      <c r="B93" s="165">
        <v>0.03</v>
      </c>
      <c r="C93" s="166" t="s">
        <v>868</v>
      </c>
      <c r="D93" s="167" t="s">
        <v>1032</v>
      </c>
      <c r="E93" s="168" t="b">
        <v>0</v>
      </c>
      <c r="F93" s="169"/>
      <c r="G93" s="172" t="s">
        <v>968</v>
      </c>
      <c r="H93" s="173">
        <v>0.12</v>
      </c>
      <c r="I93" s="172" t="s">
        <v>949</v>
      </c>
      <c r="J93" s="20"/>
      <c r="K93" s="169"/>
    </row>
    <row r="94">
      <c r="A94" s="164" t="s">
        <v>1057</v>
      </c>
      <c r="B94" s="165">
        <v>0.03</v>
      </c>
      <c r="C94" s="166" t="s">
        <v>868</v>
      </c>
      <c r="D94" s="167" t="s">
        <v>863</v>
      </c>
      <c r="E94" s="181" t="b">
        <v>1</v>
      </c>
      <c r="F94" s="169"/>
      <c r="G94" s="169"/>
      <c r="H94" s="169"/>
      <c r="I94" s="169"/>
      <c r="J94" s="175"/>
      <c r="K94" s="169"/>
    </row>
    <row r="95">
      <c r="A95" s="183" t="s">
        <v>867</v>
      </c>
      <c r="B95" s="184">
        <v>0.04</v>
      </c>
      <c r="C95" s="185" t="s">
        <v>868</v>
      </c>
      <c r="D95" s="186" t="s">
        <v>866</v>
      </c>
      <c r="E95" s="168" t="b">
        <v>0</v>
      </c>
      <c r="F95" s="169"/>
      <c r="G95" s="191" t="s">
        <v>1058</v>
      </c>
      <c r="H95" s="123"/>
      <c r="I95" s="124"/>
      <c r="J95" s="192" t="s">
        <v>1059</v>
      </c>
      <c r="K95" s="169"/>
    </row>
    <row r="96">
      <c r="A96" s="164" t="s">
        <v>1060</v>
      </c>
      <c r="B96" s="165">
        <v>0.04</v>
      </c>
      <c r="C96" s="166" t="s">
        <v>868</v>
      </c>
      <c r="D96" s="167" t="s">
        <v>870</v>
      </c>
      <c r="E96" s="181" t="b">
        <v>1</v>
      </c>
      <c r="F96" s="169"/>
      <c r="G96" s="172" t="s">
        <v>974</v>
      </c>
      <c r="H96" s="173">
        <v>0.04</v>
      </c>
      <c r="I96" s="172" t="s">
        <v>975</v>
      </c>
      <c r="J96" s="171" t="s">
        <v>1061</v>
      </c>
      <c r="K96" s="169"/>
    </row>
    <row r="97">
      <c r="A97" s="183" t="s">
        <v>1054</v>
      </c>
      <c r="B97" s="184">
        <v>0.04</v>
      </c>
      <c r="C97" s="185" t="s">
        <v>868</v>
      </c>
      <c r="D97" s="186" t="s">
        <v>859</v>
      </c>
      <c r="E97" s="181" t="b">
        <v>1</v>
      </c>
      <c r="F97" s="169"/>
      <c r="G97" s="172" t="s">
        <v>887</v>
      </c>
      <c r="H97" s="173">
        <v>0.03</v>
      </c>
      <c r="I97" s="172" t="s">
        <v>886</v>
      </c>
      <c r="J97" s="18"/>
      <c r="K97" s="169"/>
    </row>
    <row r="98">
      <c r="A98" s="164" t="s">
        <v>1062</v>
      </c>
      <c r="B98" s="165">
        <v>0.04</v>
      </c>
      <c r="C98" s="166" t="s">
        <v>868</v>
      </c>
      <c r="D98" s="167" t="s">
        <v>896</v>
      </c>
      <c r="E98" s="181" t="b">
        <v>1</v>
      </c>
      <c r="F98" s="169"/>
      <c r="G98" s="172" t="s">
        <v>898</v>
      </c>
      <c r="H98" s="173">
        <v>0.07</v>
      </c>
      <c r="I98" s="172" t="s">
        <v>899</v>
      </c>
      <c r="J98" s="18"/>
      <c r="K98" s="169"/>
    </row>
    <row r="99">
      <c r="A99" s="164" t="s">
        <v>1038</v>
      </c>
      <c r="B99" s="165">
        <v>0.05</v>
      </c>
      <c r="C99" s="166" t="s">
        <v>868</v>
      </c>
      <c r="D99" s="167" t="s">
        <v>1063</v>
      </c>
      <c r="E99" s="168" t="b">
        <v>0</v>
      </c>
      <c r="F99" s="169"/>
      <c r="G99" s="172" t="s">
        <v>995</v>
      </c>
      <c r="H99" s="173">
        <v>0.07</v>
      </c>
      <c r="I99" s="172" t="s">
        <v>946</v>
      </c>
      <c r="J99" s="20"/>
      <c r="K99" s="169"/>
    </row>
    <row r="100">
      <c r="A100" s="164" t="s">
        <v>1064</v>
      </c>
      <c r="B100" s="165">
        <v>0.05</v>
      </c>
      <c r="C100" s="166" t="s">
        <v>868</v>
      </c>
      <c r="D100" s="167" t="s">
        <v>1065</v>
      </c>
      <c r="E100" s="181" t="b">
        <v>1</v>
      </c>
      <c r="F100" s="169"/>
      <c r="G100" s="169"/>
      <c r="H100" s="169"/>
      <c r="I100" s="169"/>
      <c r="J100" s="175"/>
      <c r="K100" s="169"/>
    </row>
    <row r="101">
      <c r="A101" s="164" t="s">
        <v>1066</v>
      </c>
      <c r="B101" s="165">
        <v>0.05</v>
      </c>
      <c r="C101" s="166" t="s">
        <v>868</v>
      </c>
      <c r="D101" s="167" t="s">
        <v>1067</v>
      </c>
      <c r="E101" s="181" t="b">
        <v>1</v>
      </c>
      <c r="F101" s="169"/>
      <c r="G101" s="182" t="s">
        <v>1012</v>
      </c>
      <c r="H101" s="123"/>
      <c r="I101" s="124"/>
      <c r="J101" s="177" t="s">
        <v>1068</v>
      </c>
      <c r="K101" s="169"/>
    </row>
    <row r="102">
      <c r="A102" s="164" t="s">
        <v>1069</v>
      </c>
      <c r="B102" s="165">
        <v>0.06</v>
      </c>
      <c r="C102" s="166" t="s">
        <v>868</v>
      </c>
      <c r="D102" s="167" t="s">
        <v>1070</v>
      </c>
      <c r="E102" s="181" t="b">
        <v>1</v>
      </c>
      <c r="F102" s="169"/>
      <c r="G102" s="178" t="s">
        <v>1011</v>
      </c>
      <c r="H102" s="179">
        <v>0.01</v>
      </c>
      <c r="I102" s="178" t="s">
        <v>832</v>
      </c>
      <c r="J102" s="177" t="s">
        <v>1071</v>
      </c>
      <c r="K102" s="169"/>
    </row>
    <row r="103">
      <c r="A103" s="164" t="s">
        <v>1072</v>
      </c>
      <c r="B103" s="165">
        <v>0.07</v>
      </c>
      <c r="C103" s="166" t="s">
        <v>868</v>
      </c>
      <c r="D103" s="167" t="s">
        <v>1073</v>
      </c>
      <c r="E103" s="181" t="b">
        <v>1</v>
      </c>
      <c r="F103" s="169"/>
      <c r="G103" s="169"/>
      <c r="H103" s="169"/>
      <c r="I103" s="169"/>
      <c r="J103" s="175"/>
      <c r="K103" s="169"/>
    </row>
    <row r="104">
      <c r="A104" s="183" t="s">
        <v>958</v>
      </c>
      <c r="B104" s="184">
        <v>0.1</v>
      </c>
      <c r="C104" s="185" t="s">
        <v>868</v>
      </c>
      <c r="D104" s="186" t="s">
        <v>1074</v>
      </c>
      <c r="E104" s="181" t="b">
        <v>1</v>
      </c>
      <c r="F104" s="169"/>
      <c r="G104" s="176" t="s">
        <v>1075</v>
      </c>
      <c r="H104" s="123"/>
      <c r="I104" s="124"/>
      <c r="J104" s="177" t="s">
        <v>1076</v>
      </c>
      <c r="K104" s="169"/>
    </row>
    <row r="105">
      <c r="A105" s="183" t="s">
        <v>928</v>
      </c>
      <c r="B105" s="184">
        <v>0.01</v>
      </c>
      <c r="C105" s="185" t="s">
        <v>848</v>
      </c>
      <c r="D105" s="186" t="s">
        <v>1077</v>
      </c>
      <c r="E105" s="168" t="b">
        <v>0</v>
      </c>
      <c r="F105" s="169"/>
      <c r="G105" s="178" t="s">
        <v>909</v>
      </c>
      <c r="H105" s="179">
        <v>0.01</v>
      </c>
      <c r="I105" s="178" t="s">
        <v>875</v>
      </c>
      <c r="J105" s="177" t="s">
        <v>1078</v>
      </c>
      <c r="K105" s="169"/>
    </row>
    <row r="106">
      <c r="A106" s="164" t="s">
        <v>979</v>
      </c>
      <c r="B106" s="165">
        <v>0.01</v>
      </c>
      <c r="C106" s="166" t="s">
        <v>848</v>
      </c>
      <c r="D106" s="167" t="s">
        <v>1079</v>
      </c>
      <c r="E106" s="181" t="b">
        <v>1</v>
      </c>
      <c r="F106" s="169"/>
      <c r="G106" s="178" t="s">
        <v>824</v>
      </c>
      <c r="H106" s="179">
        <v>0.01</v>
      </c>
      <c r="I106" s="178" t="s">
        <v>825</v>
      </c>
      <c r="J106" s="177" t="s">
        <v>1080</v>
      </c>
      <c r="K106" s="169"/>
    </row>
    <row r="107">
      <c r="A107" s="164" t="s">
        <v>1045</v>
      </c>
      <c r="B107" s="165">
        <v>0.01</v>
      </c>
      <c r="C107" s="166" t="s">
        <v>848</v>
      </c>
      <c r="D107" s="167" t="s">
        <v>1081</v>
      </c>
      <c r="E107" s="168" t="b">
        <v>0</v>
      </c>
      <c r="F107" s="169"/>
      <c r="G107" s="169"/>
      <c r="H107" s="169"/>
      <c r="I107" s="169"/>
      <c r="J107" s="175"/>
      <c r="K107" s="169"/>
    </row>
    <row r="108">
      <c r="A108" s="164" t="s">
        <v>1082</v>
      </c>
      <c r="B108" s="165">
        <v>0.01</v>
      </c>
      <c r="C108" s="166" t="s">
        <v>848</v>
      </c>
      <c r="D108" s="167" t="s">
        <v>1083</v>
      </c>
      <c r="E108" s="168" t="b">
        <v>0</v>
      </c>
      <c r="F108" s="169"/>
      <c r="G108" s="170" t="s">
        <v>878</v>
      </c>
      <c r="H108" s="123"/>
      <c r="I108" s="124"/>
      <c r="J108" s="180" t="s">
        <v>1084</v>
      </c>
      <c r="K108" s="169"/>
    </row>
    <row r="109">
      <c r="A109" s="164" t="s">
        <v>1085</v>
      </c>
      <c r="B109" s="165">
        <v>0.01</v>
      </c>
      <c r="C109" s="166" t="s">
        <v>848</v>
      </c>
      <c r="D109" s="167" t="s">
        <v>1086</v>
      </c>
      <c r="E109" s="168" t="b">
        <v>0</v>
      </c>
      <c r="F109" s="169"/>
      <c r="G109" s="178" t="s">
        <v>877</v>
      </c>
      <c r="H109" s="179">
        <v>0.07</v>
      </c>
      <c r="I109" s="178" t="s">
        <v>825</v>
      </c>
      <c r="J109" s="20"/>
      <c r="K109" s="169"/>
    </row>
    <row r="110">
      <c r="A110" s="164" t="s">
        <v>1009</v>
      </c>
      <c r="B110" s="165">
        <v>0.02</v>
      </c>
      <c r="C110" s="166" t="s">
        <v>848</v>
      </c>
      <c r="D110" s="167" t="s">
        <v>993</v>
      </c>
      <c r="E110" s="181" t="b">
        <v>1</v>
      </c>
      <c r="F110" s="169"/>
      <c r="G110" s="169"/>
      <c r="H110" s="169"/>
      <c r="I110" s="169"/>
      <c r="J110" s="175"/>
      <c r="K110" s="169"/>
    </row>
    <row r="111">
      <c r="A111" s="164" t="s">
        <v>1087</v>
      </c>
      <c r="B111" s="165">
        <v>0.03</v>
      </c>
      <c r="C111" s="166" t="s">
        <v>848</v>
      </c>
      <c r="D111" s="167" t="s">
        <v>931</v>
      </c>
      <c r="E111" s="168" t="b">
        <v>0</v>
      </c>
      <c r="F111" s="169"/>
      <c r="G111" s="176" t="s">
        <v>1088</v>
      </c>
      <c r="H111" s="123"/>
      <c r="I111" s="124"/>
      <c r="J111" s="177" t="s">
        <v>1089</v>
      </c>
      <c r="K111" s="169"/>
    </row>
    <row r="112">
      <c r="A112" s="164" t="s">
        <v>1090</v>
      </c>
      <c r="B112" s="165">
        <v>0.03</v>
      </c>
      <c r="C112" s="166" t="s">
        <v>848</v>
      </c>
      <c r="D112" s="167" t="s">
        <v>1032</v>
      </c>
      <c r="E112" s="168" t="b">
        <v>0</v>
      </c>
      <c r="F112" s="169"/>
      <c r="G112" s="178" t="s">
        <v>978</v>
      </c>
      <c r="H112" s="179">
        <v>0.04</v>
      </c>
      <c r="I112" s="178" t="s">
        <v>975</v>
      </c>
      <c r="J112" s="180" t="s">
        <v>1091</v>
      </c>
      <c r="K112" s="169"/>
    </row>
    <row r="113">
      <c r="A113" s="164" t="s">
        <v>1092</v>
      </c>
      <c r="B113" s="165">
        <v>0.03</v>
      </c>
      <c r="C113" s="166" t="s">
        <v>848</v>
      </c>
      <c r="D113" s="167" t="s">
        <v>857</v>
      </c>
      <c r="E113" s="181" t="b">
        <v>1</v>
      </c>
      <c r="F113" s="169"/>
      <c r="G113" s="178" t="s">
        <v>891</v>
      </c>
      <c r="H113" s="179">
        <v>0.04</v>
      </c>
      <c r="I113" s="178" t="s">
        <v>886</v>
      </c>
      <c r="J113" s="18"/>
      <c r="K113" s="169"/>
    </row>
    <row r="114">
      <c r="A114" s="164" t="s">
        <v>1093</v>
      </c>
      <c r="B114" s="165">
        <v>0.03</v>
      </c>
      <c r="C114" s="166" t="s">
        <v>848</v>
      </c>
      <c r="D114" s="167" t="s">
        <v>935</v>
      </c>
      <c r="E114" s="168" t="b">
        <v>0</v>
      </c>
      <c r="F114" s="169"/>
      <c r="G114" s="178" t="s">
        <v>906</v>
      </c>
      <c r="H114" s="179">
        <v>0.1</v>
      </c>
      <c r="I114" s="178" t="s">
        <v>899</v>
      </c>
      <c r="J114" s="18"/>
      <c r="K114" s="169"/>
    </row>
    <row r="115">
      <c r="A115" s="164" t="s">
        <v>1094</v>
      </c>
      <c r="B115" s="165">
        <v>0.03</v>
      </c>
      <c r="C115" s="166" t="s">
        <v>848</v>
      </c>
      <c r="D115" s="167" t="s">
        <v>935</v>
      </c>
      <c r="E115" s="168" t="b">
        <v>0</v>
      </c>
      <c r="F115" s="169"/>
      <c r="G115" s="178" t="s">
        <v>948</v>
      </c>
      <c r="H115" s="179">
        <v>0.07</v>
      </c>
      <c r="I115" s="178" t="s">
        <v>949</v>
      </c>
      <c r="J115" s="20"/>
      <c r="K115" s="169"/>
    </row>
    <row r="116">
      <c r="A116" s="164" t="s">
        <v>1095</v>
      </c>
      <c r="B116" s="165">
        <v>0.04</v>
      </c>
      <c r="C116" s="166" t="s">
        <v>848</v>
      </c>
      <c r="D116" s="167" t="s">
        <v>863</v>
      </c>
      <c r="E116" s="181" t="b">
        <v>1</v>
      </c>
      <c r="F116" s="169"/>
      <c r="G116" s="169"/>
      <c r="H116" s="169"/>
      <c r="I116" s="169"/>
      <c r="J116" s="175"/>
      <c r="K116" s="169"/>
    </row>
    <row r="117">
      <c r="A117" s="164" t="s">
        <v>1096</v>
      </c>
      <c r="B117" s="165">
        <v>0.04</v>
      </c>
      <c r="C117" s="166" t="s">
        <v>848</v>
      </c>
      <c r="D117" s="167" t="s">
        <v>939</v>
      </c>
      <c r="E117" s="168" t="b">
        <v>0</v>
      </c>
      <c r="F117" s="169"/>
      <c r="G117" s="170" t="s">
        <v>1097</v>
      </c>
      <c r="H117" s="123"/>
      <c r="I117" s="124"/>
      <c r="J117" s="171" t="s">
        <v>828</v>
      </c>
      <c r="K117" s="169"/>
    </row>
    <row r="118">
      <c r="A118" s="164" t="s">
        <v>893</v>
      </c>
      <c r="B118" s="165">
        <v>0.05</v>
      </c>
      <c r="C118" s="166" t="s">
        <v>848</v>
      </c>
      <c r="D118" s="167" t="s">
        <v>1098</v>
      </c>
      <c r="E118" s="168" t="b">
        <v>0</v>
      </c>
      <c r="F118" s="169"/>
      <c r="G118" s="172" t="s">
        <v>468</v>
      </c>
      <c r="H118" s="173">
        <v>0.05</v>
      </c>
      <c r="I118" s="172" t="s">
        <v>848</v>
      </c>
      <c r="J118" s="20"/>
      <c r="K118" s="169"/>
    </row>
    <row r="119">
      <c r="A119" s="164" t="s">
        <v>1099</v>
      </c>
      <c r="B119" s="165">
        <v>0.05</v>
      </c>
      <c r="C119" s="166" t="s">
        <v>848</v>
      </c>
      <c r="D119" s="167" t="s">
        <v>1097</v>
      </c>
      <c r="E119" s="181" t="b">
        <v>1</v>
      </c>
      <c r="F119" s="169"/>
      <c r="G119" s="169"/>
      <c r="H119" s="169"/>
      <c r="I119" s="169"/>
      <c r="J119" s="175"/>
      <c r="K119" s="169"/>
    </row>
    <row r="120">
      <c r="A120" s="164" t="s">
        <v>1100</v>
      </c>
      <c r="B120" s="165">
        <v>0.05</v>
      </c>
      <c r="C120" s="166" t="s">
        <v>848</v>
      </c>
      <c r="D120" s="167" t="s">
        <v>1101</v>
      </c>
      <c r="E120" s="181" t="b">
        <v>1</v>
      </c>
      <c r="F120" s="169"/>
      <c r="G120" s="170" t="s">
        <v>1101</v>
      </c>
      <c r="H120" s="123"/>
      <c r="I120" s="124"/>
      <c r="J120" s="171" t="s">
        <v>828</v>
      </c>
      <c r="K120" s="169"/>
    </row>
    <row r="121">
      <c r="A121" s="164" t="s">
        <v>1102</v>
      </c>
      <c r="B121" s="165">
        <v>0.05</v>
      </c>
      <c r="C121" s="166" t="s">
        <v>848</v>
      </c>
      <c r="D121" s="167" t="s">
        <v>1103</v>
      </c>
      <c r="E121" s="181" t="b">
        <v>0</v>
      </c>
      <c r="F121" s="169"/>
      <c r="G121" s="172" t="s">
        <v>1104</v>
      </c>
      <c r="H121" s="173">
        <v>0.05</v>
      </c>
      <c r="I121" s="172" t="s">
        <v>848</v>
      </c>
      <c r="J121" s="20"/>
      <c r="K121" s="169"/>
    </row>
    <row r="122">
      <c r="A122" s="164" t="s">
        <v>1105</v>
      </c>
      <c r="B122" s="165">
        <v>0.05</v>
      </c>
      <c r="C122" s="166" t="s">
        <v>848</v>
      </c>
      <c r="D122" s="167" t="s">
        <v>1106</v>
      </c>
      <c r="E122" s="168" t="b">
        <v>0</v>
      </c>
      <c r="F122" s="169"/>
      <c r="G122" s="169"/>
      <c r="H122" s="169"/>
      <c r="I122" s="169"/>
      <c r="J122" s="175"/>
      <c r="K122" s="169"/>
    </row>
    <row r="123">
      <c r="A123" s="164" t="s">
        <v>1107</v>
      </c>
      <c r="B123" s="165">
        <v>0.05</v>
      </c>
      <c r="C123" s="166" t="s">
        <v>848</v>
      </c>
      <c r="D123" s="167" t="s">
        <v>1108</v>
      </c>
      <c r="E123" s="181" t="b">
        <v>1</v>
      </c>
      <c r="F123" s="169"/>
      <c r="G123" s="170" t="s">
        <v>997</v>
      </c>
      <c r="H123" s="123"/>
      <c r="I123" s="124"/>
      <c r="J123" s="171" t="s">
        <v>828</v>
      </c>
      <c r="K123" s="169"/>
    </row>
    <row r="124">
      <c r="A124" s="164" t="s">
        <v>847</v>
      </c>
      <c r="B124" s="165">
        <v>0.07</v>
      </c>
      <c r="C124" s="166" t="s">
        <v>848</v>
      </c>
      <c r="D124" s="167" t="s">
        <v>836</v>
      </c>
      <c r="E124" s="168" t="b">
        <v>0</v>
      </c>
      <c r="F124" s="169"/>
      <c r="G124" s="172" t="s">
        <v>1109</v>
      </c>
      <c r="H124" s="173">
        <v>0.07</v>
      </c>
      <c r="I124" s="172" t="s">
        <v>946</v>
      </c>
      <c r="J124" s="20"/>
      <c r="K124" s="169"/>
    </row>
    <row r="125">
      <c r="A125" s="183" t="s">
        <v>871</v>
      </c>
      <c r="B125" s="184">
        <v>0.07</v>
      </c>
      <c r="C125" s="185" t="s">
        <v>848</v>
      </c>
      <c r="D125" s="186" t="s">
        <v>866</v>
      </c>
      <c r="E125" s="168" t="b">
        <v>0</v>
      </c>
      <c r="F125" s="169"/>
      <c r="G125" s="169"/>
      <c r="H125" s="169"/>
      <c r="I125" s="169"/>
      <c r="J125" s="175"/>
      <c r="K125" s="169"/>
    </row>
    <row r="126">
      <c r="A126" s="164" t="s">
        <v>970</v>
      </c>
      <c r="B126" s="165">
        <v>0.07</v>
      </c>
      <c r="C126" s="166" t="s">
        <v>848</v>
      </c>
      <c r="D126" s="167" t="s">
        <v>845</v>
      </c>
      <c r="E126" s="181" t="b">
        <v>1</v>
      </c>
      <c r="F126" s="169"/>
      <c r="G126" s="176" t="s">
        <v>1110</v>
      </c>
      <c r="H126" s="123"/>
      <c r="I126" s="124"/>
      <c r="J126" s="177" t="s">
        <v>1111</v>
      </c>
      <c r="K126" s="169"/>
    </row>
    <row r="127">
      <c r="A127" s="164" t="s">
        <v>1034</v>
      </c>
      <c r="B127" s="165">
        <v>0.07</v>
      </c>
      <c r="C127" s="166" t="s">
        <v>848</v>
      </c>
      <c r="D127" s="167" t="s">
        <v>850</v>
      </c>
      <c r="E127" s="168" t="b">
        <v>0</v>
      </c>
      <c r="F127" s="169"/>
      <c r="G127" s="178" t="s">
        <v>1082</v>
      </c>
      <c r="H127" s="179">
        <v>0.01</v>
      </c>
      <c r="I127" s="178" t="s">
        <v>848</v>
      </c>
      <c r="J127" s="177" t="s">
        <v>1112</v>
      </c>
      <c r="K127" s="169"/>
    </row>
    <row r="128">
      <c r="A128" s="206"/>
      <c r="B128" s="207"/>
      <c r="C128" s="208"/>
      <c r="D128" s="209"/>
      <c r="E128" s="168" t="b">
        <v>0</v>
      </c>
      <c r="F128" s="169"/>
      <c r="G128" s="169"/>
      <c r="H128" s="169"/>
      <c r="I128" s="169"/>
      <c r="J128" s="175"/>
      <c r="K128" s="169"/>
    </row>
    <row r="129">
      <c r="A129" s="206"/>
      <c r="B129" s="207"/>
      <c r="C129" s="208"/>
      <c r="D129" s="209"/>
      <c r="E129" s="168" t="b">
        <v>0</v>
      </c>
      <c r="F129" s="169"/>
      <c r="G129" s="176" t="s">
        <v>1113</v>
      </c>
      <c r="H129" s="123"/>
      <c r="I129" s="124"/>
      <c r="J129" s="177" t="s">
        <v>1114</v>
      </c>
      <c r="K129" s="169"/>
    </row>
    <row r="130">
      <c r="A130" s="206"/>
      <c r="B130" s="207"/>
      <c r="C130" s="208"/>
      <c r="D130" s="209"/>
      <c r="E130" s="168" t="b">
        <v>0</v>
      </c>
      <c r="F130" s="169"/>
      <c r="G130" s="178" t="s">
        <v>1019</v>
      </c>
      <c r="H130" s="179">
        <v>0.02</v>
      </c>
      <c r="I130" s="178" t="s">
        <v>832</v>
      </c>
      <c r="J130" s="180" t="s">
        <v>1115</v>
      </c>
      <c r="K130" s="169"/>
    </row>
    <row r="131">
      <c r="A131" s="206"/>
      <c r="B131" s="207"/>
      <c r="C131" s="208"/>
      <c r="D131" s="209"/>
      <c r="E131" s="168" t="b">
        <v>0</v>
      </c>
      <c r="F131" s="169"/>
      <c r="G131" s="178" t="s">
        <v>1053</v>
      </c>
      <c r="H131" s="179">
        <v>0.03</v>
      </c>
      <c r="I131" s="178" t="s">
        <v>868</v>
      </c>
      <c r="J131" s="18"/>
      <c r="K131" s="169"/>
    </row>
    <row r="132">
      <c r="A132" s="206"/>
      <c r="B132" s="207"/>
      <c r="C132" s="208"/>
      <c r="D132" s="209"/>
      <c r="E132" s="168" t="b">
        <v>0</v>
      </c>
      <c r="F132" s="169"/>
      <c r="G132" s="178" t="s">
        <v>1087</v>
      </c>
      <c r="H132" s="179">
        <v>0.03</v>
      </c>
      <c r="I132" s="178" t="s">
        <v>848</v>
      </c>
      <c r="J132" s="18"/>
      <c r="K132" s="169"/>
    </row>
    <row r="133">
      <c r="A133" s="206"/>
      <c r="B133" s="207"/>
      <c r="C133" s="208"/>
      <c r="D133" s="209"/>
      <c r="E133" s="168" t="b">
        <v>0</v>
      </c>
      <c r="F133" s="169"/>
      <c r="G133" s="178" t="s">
        <v>930</v>
      </c>
      <c r="H133" s="179">
        <v>0.04</v>
      </c>
      <c r="I133" s="178" t="s">
        <v>875</v>
      </c>
      <c r="J133" s="20"/>
      <c r="K133" s="169"/>
    </row>
    <row r="134">
      <c r="A134" s="206"/>
      <c r="B134" s="207"/>
      <c r="C134" s="208"/>
      <c r="D134" s="209"/>
      <c r="E134" s="168" t="b">
        <v>0</v>
      </c>
      <c r="F134" s="169"/>
      <c r="G134" s="187"/>
      <c r="H134" s="210"/>
      <c r="I134" s="187"/>
      <c r="J134" s="175"/>
      <c r="K134" s="169"/>
    </row>
    <row r="135">
      <c r="A135" s="206"/>
      <c r="B135" s="207"/>
      <c r="C135" s="208"/>
      <c r="D135" s="209"/>
      <c r="E135" s="168" t="b">
        <v>0</v>
      </c>
      <c r="F135" s="169"/>
      <c r="G135" s="191" t="s">
        <v>1116</v>
      </c>
      <c r="H135" s="123"/>
      <c r="I135" s="124"/>
      <c r="J135" s="192" t="s">
        <v>1117</v>
      </c>
      <c r="K135" s="169"/>
    </row>
    <row r="136">
      <c r="A136" s="206"/>
      <c r="B136" s="207"/>
      <c r="C136" s="208"/>
      <c r="D136" s="209"/>
      <c r="E136" s="168" t="b">
        <v>0</v>
      </c>
      <c r="F136" s="169"/>
      <c r="G136" s="172" t="s">
        <v>1064</v>
      </c>
      <c r="H136" s="173">
        <v>0.05</v>
      </c>
      <c r="I136" s="172" t="s">
        <v>868</v>
      </c>
      <c r="J136" s="192" t="s">
        <v>1118</v>
      </c>
      <c r="K136" s="169"/>
    </row>
    <row r="137">
      <c r="A137" s="206"/>
      <c r="B137" s="207"/>
      <c r="C137" s="208"/>
      <c r="D137" s="209"/>
      <c r="E137" s="168" t="b">
        <v>0</v>
      </c>
      <c r="F137" s="169"/>
      <c r="G137" s="172" t="s">
        <v>1023</v>
      </c>
      <c r="H137" s="173">
        <v>0.03</v>
      </c>
      <c r="I137" s="172" t="s">
        <v>832</v>
      </c>
      <c r="J137" s="192" t="s">
        <v>1119</v>
      </c>
      <c r="K137" s="169"/>
    </row>
    <row r="138">
      <c r="A138" s="206"/>
      <c r="B138" s="207"/>
      <c r="C138" s="208"/>
      <c r="D138" s="209"/>
      <c r="E138" s="168" t="b">
        <v>0</v>
      </c>
      <c r="F138" s="169"/>
      <c r="G138" s="169"/>
      <c r="H138" s="169"/>
      <c r="I138" s="169"/>
      <c r="J138" s="175"/>
      <c r="K138" s="169"/>
    </row>
    <row r="139">
      <c r="A139" s="206"/>
      <c r="B139" s="207"/>
      <c r="C139" s="208"/>
      <c r="D139" s="209"/>
      <c r="E139" s="168" t="b">
        <v>0</v>
      </c>
      <c r="F139" s="169"/>
      <c r="G139" s="176" t="s">
        <v>1120</v>
      </c>
      <c r="H139" s="123"/>
      <c r="I139" s="124"/>
      <c r="J139" s="177" t="s">
        <v>1121</v>
      </c>
      <c r="K139" s="169"/>
    </row>
    <row r="140">
      <c r="A140" s="206"/>
      <c r="B140" s="207"/>
      <c r="C140" s="208"/>
      <c r="D140" s="209"/>
      <c r="E140" s="168" t="b">
        <v>0</v>
      </c>
      <c r="F140" s="169"/>
      <c r="G140" s="178" t="s">
        <v>1031</v>
      </c>
      <c r="H140" s="179">
        <v>0.04</v>
      </c>
      <c r="I140" s="178" t="s">
        <v>832</v>
      </c>
      <c r="J140" s="180" t="s">
        <v>1122</v>
      </c>
      <c r="K140" s="169"/>
    </row>
    <row r="141">
      <c r="A141" s="206"/>
      <c r="B141" s="207"/>
      <c r="C141" s="208"/>
      <c r="D141" s="209"/>
      <c r="E141" s="168" t="b">
        <v>0</v>
      </c>
      <c r="F141" s="169"/>
      <c r="G141" s="178" t="s">
        <v>1055</v>
      </c>
      <c r="H141" s="179">
        <v>0.03</v>
      </c>
      <c r="I141" s="178" t="s">
        <v>868</v>
      </c>
      <c r="J141" s="18"/>
      <c r="K141" s="169"/>
    </row>
    <row r="142">
      <c r="A142" s="206"/>
      <c r="B142" s="207"/>
      <c r="C142" s="208"/>
      <c r="D142" s="209"/>
      <c r="E142" s="168" t="b">
        <v>0</v>
      </c>
      <c r="F142" s="169"/>
      <c r="G142" s="178" t="s">
        <v>1056</v>
      </c>
      <c r="H142" s="179">
        <v>0.03</v>
      </c>
      <c r="I142" s="178" t="s">
        <v>868</v>
      </c>
      <c r="J142" s="18"/>
      <c r="K142" s="169"/>
    </row>
    <row r="143">
      <c r="A143" s="206"/>
      <c r="B143" s="207"/>
      <c r="C143" s="208"/>
      <c r="D143" s="209"/>
      <c r="E143" s="168" t="b">
        <v>0</v>
      </c>
      <c r="F143" s="169"/>
      <c r="G143" s="178" t="s">
        <v>1090</v>
      </c>
      <c r="H143" s="179">
        <v>0.03</v>
      </c>
      <c r="I143" s="178" t="s">
        <v>848</v>
      </c>
      <c r="J143" s="20"/>
      <c r="K143" s="169"/>
    </row>
    <row r="144">
      <c r="A144" s="206"/>
      <c r="B144" s="207"/>
      <c r="C144" s="208"/>
      <c r="D144" s="209"/>
      <c r="E144" s="168" t="b">
        <v>0</v>
      </c>
      <c r="F144" s="169"/>
      <c r="G144" s="169"/>
      <c r="H144" s="169"/>
      <c r="I144" s="169"/>
      <c r="J144" s="175"/>
      <c r="K144" s="169"/>
    </row>
    <row r="145">
      <c r="A145" s="206"/>
      <c r="B145" s="207"/>
      <c r="C145" s="208"/>
      <c r="D145" s="209"/>
      <c r="E145" s="168" t="b">
        <v>0</v>
      </c>
      <c r="F145" s="169"/>
      <c r="G145" s="182" t="s">
        <v>944</v>
      </c>
      <c r="H145" s="123"/>
      <c r="I145" s="124"/>
      <c r="J145" s="180" t="s">
        <v>1123</v>
      </c>
      <c r="K145" s="169"/>
    </row>
    <row r="146">
      <c r="A146" s="206"/>
      <c r="B146" s="207"/>
      <c r="C146" s="208"/>
      <c r="D146" s="209"/>
      <c r="E146" s="168" t="b">
        <v>0</v>
      </c>
      <c r="F146" s="169"/>
      <c r="G146" s="178" t="s">
        <v>943</v>
      </c>
      <c r="H146" s="179">
        <v>0.06</v>
      </c>
      <c r="I146" s="178" t="s">
        <v>875</v>
      </c>
      <c r="J146" s="20"/>
      <c r="K146" s="169"/>
    </row>
    <row r="147">
      <c r="A147" s="206"/>
      <c r="B147" s="207"/>
      <c r="C147" s="208"/>
      <c r="D147" s="209"/>
      <c r="E147" s="168" t="b">
        <v>0</v>
      </c>
      <c r="F147" s="169"/>
      <c r="G147" s="169"/>
      <c r="H147" s="169"/>
      <c r="I147" s="169"/>
      <c r="J147" s="175"/>
      <c r="K147" s="169"/>
    </row>
    <row r="148">
      <c r="A148" s="206"/>
      <c r="B148" s="207"/>
      <c r="C148" s="208"/>
      <c r="D148" s="209"/>
      <c r="E148" s="168" t="b">
        <v>0</v>
      </c>
      <c r="F148" s="169"/>
      <c r="G148" s="191" t="s">
        <v>1124</v>
      </c>
      <c r="H148" s="123"/>
      <c r="I148" s="124"/>
      <c r="J148" s="171" t="s">
        <v>1125</v>
      </c>
      <c r="K148" s="169"/>
    </row>
    <row r="149">
      <c r="A149" s="206"/>
      <c r="B149" s="207"/>
      <c r="C149" s="208"/>
      <c r="D149" s="209"/>
      <c r="E149" s="168" t="b">
        <v>0</v>
      </c>
      <c r="F149" s="169"/>
      <c r="G149" s="172" t="s">
        <v>856</v>
      </c>
      <c r="H149" s="173">
        <v>0.02</v>
      </c>
      <c r="I149" s="172" t="s">
        <v>825</v>
      </c>
      <c r="J149" s="18"/>
      <c r="K149" s="169"/>
    </row>
    <row r="150">
      <c r="A150" s="206"/>
      <c r="B150" s="207"/>
      <c r="C150" s="208"/>
      <c r="D150" s="209"/>
      <c r="E150" s="168" t="b">
        <v>0</v>
      </c>
      <c r="F150" s="169"/>
      <c r="G150" s="172" t="s">
        <v>1049</v>
      </c>
      <c r="H150" s="173">
        <v>0.02</v>
      </c>
      <c r="I150" s="172" t="s">
        <v>868</v>
      </c>
      <c r="J150" s="18"/>
      <c r="K150" s="169"/>
    </row>
    <row r="151">
      <c r="A151" s="206"/>
      <c r="B151" s="207"/>
      <c r="C151" s="208"/>
      <c r="D151" s="209"/>
      <c r="E151" s="168" t="b">
        <v>0</v>
      </c>
      <c r="F151" s="169"/>
      <c r="G151" s="172" t="s">
        <v>1092</v>
      </c>
      <c r="H151" s="173">
        <v>0.03</v>
      </c>
      <c r="I151" s="172" t="s">
        <v>848</v>
      </c>
      <c r="J151" s="18"/>
      <c r="K151" s="169"/>
    </row>
    <row r="152">
      <c r="A152" s="206"/>
      <c r="B152" s="207"/>
      <c r="C152" s="208"/>
      <c r="D152" s="209"/>
      <c r="E152" s="168" t="b">
        <v>0</v>
      </c>
      <c r="F152" s="169"/>
      <c r="G152" s="172" t="s">
        <v>969</v>
      </c>
      <c r="H152" s="192">
        <v>20.0</v>
      </c>
      <c r="I152" s="172" t="s">
        <v>884</v>
      </c>
      <c r="J152" s="20"/>
      <c r="K152" s="169"/>
    </row>
    <row r="153">
      <c r="A153" s="206"/>
      <c r="B153" s="207"/>
      <c r="C153" s="208"/>
      <c r="D153" s="209"/>
      <c r="E153" s="168" t="b">
        <v>0</v>
      </c>
      <c r="F153" s="169"/>
      <c r="G153" s="169"/>
      <c r="H153" s="169"/>
      <c r="I153" s="169"/>
      <c r="J153" s="175"/>
      <c r="K153" s="169"/>
    </row>
    <row r="154">
      <c r="A154" s="206"/>
      <c r="B154" s="207"/>
      <c r="C154" s="208"/>
      <c r="D154" s="209"/>
      <c r="E154" s="168" t="b">
        <v>0</v>
      </c>
      <c r="F154" s="169"/>
      <c r="G154" s="191" t="s">
        <v>1126</v>
      </c>
      <c r="H154" s="123"/>
      <c r="I154" s="124"/>
      <c r="J154" s="192" t="s">
        <v>1127</v>
      </c>
      <c r="K154" s="169"/>
    </row>
    <row r="155">
      <c r="A155" s="206"/>
      <c r="B155" s="207"/>
      <c r="C155" s="208"/>
      <c r="D155" s="209"/>
      <c r="E155" s="168" t="b">
        <v>0</v>
      </c>
      <c r="F155" s="169"/>
      <c r="G155" s="172" t="s">
        <v>1128</v>
      </c>
      <c r="H155" s="173">
        <v>0.03</v>
      </c>
      <c r="I155" s="172" t="s">
        <v>832</v>
      </c>
      <c r="J155" s="171" t="s">
        <v>1129</v>
      </c>
      <c r="K155" s="169"/>
    </row>
    <row r="156">
      <c r="A156" s="206"/>
      <c r="B156" s="207"/>
      <c r="C156" s="208"/>
      <c r="D156" s="209"/>
      <c r="E156" s="168" t="b">
        <v>0</v>
      </c>
      <c r="F156" s="169"/>
      <c r="G156" s="172" t="s">
        <v>1130</v>
      </c>
      <c r="H156" s="173">
        <v>0.04</v>
      </c>
      <c r="I156" s="172" t="s">
        <v>868</v>
      </c>
      <c r="J156" s="18"/>
      <c r="K156" s="169"/>
    </row>
    <row r="157">
      <c r="A157" s="206"/>
      <c r="B157" s="207"/>
      <c r="C157" s="208"/>
      <c r="D157" s="209"/>
      <c r="E157" s="168" t="b">
        <v>0</v>
      </c>
      <c r="F157" s="169"/>
      <c r="G157" s="172" t="s">
        <v>1131</v>
      </c>
      <c r="H157" s="173">
        <v>0.06</v>
      </c>
      <c r="I157" s="172" t="s">
        <v>886</v>
      </c>
      <c r="J157" s="18"/>
      <c r="K157" s="169"/>
    </row>
    <row r="158">
      <c r="A158" s="206"/>
      <c r="B158" s="207"/>
      <c r="C158" s="208"/>
      <c r="D158" s="209"/>
      <c r="E158" s="168" t="b">
        <v>0</v>
      </c>
      <c r="F158" s="169"/>
      <c r="G158" s="172" t="s">
        <v>1132</v>
      </c>
      <c r="H158" s="173">
        <v>0.08</v>
      </c>
      <c r="I158" s="172" t="s">
        <v>899</v>
      </c>
      <c r="J158" s="20"/>
      <c r="K158" s="169"/>
    </row>
    <row r="159">
      <c r="A159" s="206"/>
      <c r="B159" s="207"/>
      <c r="C159" s="208"/>
      <c r="D159" s="209"/>
      <c r="E159" s="168" t="b">
        <v>0</v>
      </c>
      <c r="F159" s="169"/>
      <c r="G159" s="169"/>
      <c r="H159" s="169"/>
      <c r="I159" s="169"/>
      <c r="J159" s="175"/>
      <c r="K159" s="169"/>
    </row>
    <row r="160">
      <c r="A160" s="206"/>
      <c r="B160" s="207"/>
      <c r="C160" s="208"/>
      <c r="D160" s="209"/>
      <c r="E160" s="168" t="b">
        <v>0</v>
      </c>
      <c r="F160" s="169"/>
      <c r="G160" s="191" t="s">
        <v>1133</v>
      </c>
      <c r="H160" s="123"/>
      <c r="I160" s="124"/>
      <c r="J160" s="192" t="s">
        <v>1134</v>
      </c>
      <c r="K160" s="169"/>
    </row>
    <row r="161">
      <c r="A161" s="206"/>
      <c r="B161" s="207"/>
      <c r="C161" s="208"/>
      <c r="D161" s="209"/>
      <c r="E161" s="168" t="b">
        <v>0</v>
      </c>
      <c r="F161" s="169"/>
      <c r="G161" s="172" t="s">
        <v>1135</v>
      </c>
      <c r="H161" s="173">
        <v>0.03</v>
      </c>
      <c r="I161" s="172" t="s">
        <v>825</v>
      </c>
      <c r="J161" s="171" t="s">
        <v>1136</v>
      </c>
      <c r="K161" s="169"/>
    </row>
    <row r="162">
      <c r="A162" s="206"/>
      <c r="B162" s="207"/>
      <c r="C162" s="208"/>
      <c r="D162" s="209"/>
      <c r="E162" s="168" t="b">
        <v>0</v>
      </c>
      <c r="F162" s="169"/>
      <c r="G162" s="172" t="s">
        <v>1057</v>
      </c>
      <c r="H162" s="173">
        <v>0.03</v>
      </c>
      <c r="I162" s="172" t="s">
        <v>868</v>
      </c>
      <c r="J162" s="18"/>
      <c r="K162" s="169"/>
    </row>
    <row r="163">
      <c r="A163" s="206"/>
      <c r="B163" s="207"/>
      <c r="C163" s="208"/>
      <c r="D163" s="209"/>
      <c r="E163" s="168" t="b">
        <v>0</v>
      </c>
      <c r="F163" s="169"/>
      <c r="G163" s="172" t="s">
        <v>1095</v>
      </c>
      <c r="H163" s="173">
        <v>0.04</v>
      </c>
      <c r="I163" s="172" t="s">
        <v>848</v>
      </c>
      <c r="J163" s="18"/>
      <c r="K163" s="169"/>
    </row>
    <row r="164">
      <c r="A164" s="206"/>
      <c r="B164" s="207"/>
      <c r="C164" s="208"/>
      <c r="D164" s="209"/>
      <c r="E164" s="168" t="b">
        <v>0</v>
      </c>
      <c r="F164" s="169"/>
      <c r="G164" s="172" t="s">
        <v>1137</v>
      </c>
      <c r="H164" s="173">
        <v>0.02</v>
      </c>
      <c r="I164" s="172" t="s">
        <v>875</v>
      </c>
      <c r="J164" s="20"/>
      <c r="K164" s="169"/>
    </row>
    <row r="165">
      <c r="A165" s="206"/>
      <c r="B165" s="207"/>
      <c r="C165" s="208"/>
      <c r="D165" s="209"/>
      <c r="E165" s="168" t="b">
        <v>0</v>
      </c>
      <c r="F165" s="169"/>
      <c r="G165" s="169"/>
      <c r="H165" s="169"/>
      <c r="I165" s="169"/>
      <c r="J165" s="175"/>
      <c r="K165" s="169"/>
    </row>
    <row r="166">
      <c r="A166" s="206"/>
      <c r="B166" s="207"/>
      <c r="C166" s="208"/>
      <c r="D166" s="209"/>
      <c r="E166" s="168" t="b">
        <v>0</v>
      </c>
      <c r="F166" s="169"/>
      <c r="G166" s="182" t="s">
        <v>953</v>
      </c>
      <c r="H166" s="123"/>
      <c r="I166" s="124"/>
      <c r="J166" s="180" t="s">
        <v>828</v>
      </c>
      <c r="K166" s="169"/>
    </row>
    <row r="167">
      <c r="A167" s="206"/>
      <c r="B167" s="207"/>
      <c r="C167" s="208"/>
      <c r="D167" s="209"/>
      <c r="E167" s="168" t="b">
        <v>0</v>
      </c>
      <c r="F167" s="169"/>
      <c r="G167" s="178" t="s">
        <v>952</v>
      </c>
      <c r="H167" s="179">
        <v>0.07</v>
      </c>
      <c r="I167" s="178" t="s">
        <v>949</v>
      </c>
      <c r="J167" s="20"/>
      <c r="K167" s="169"/>
    </row>
    <row r="168">
      <c r="A168" s="206"/>
      <c r="B168" s="207"/>
      <c r="C168" s="208"/>
      <c r="D168" s="209"/>
      <c r="E168" s="168" t="b">
        <v>0</v>
      </c>
      <c r="F168" s="169"/>
      <c r="G168" s="169"/>
      <c r="H168" s="169"/>
      <c r="I168" s="169"/>
      <c r="J168" s="175"/>
      <c r="K168" s="169"/>
    </row>
    <row r="169">
      <c r="A169" s="206"/>
      <c r="B169" s="207"/>
      <c r="C169" s="208"/>
      <c r="D169" s="209"/>
      <c r="E169" s="168" t="b">
        <v>0</v>
      </c>
      <c r="F169" s="169"/>
      <c r="G169" s="211" t="s">
        <v>626</v>
      </c>
      <c r="H169" s="123"/>
      <c r="I169" s="124"/>
      <c r="J169" s="212" t="s">
        <v>1138</v>
      </c>
      <c r="K169" s="169"/>
    </row>
    <row r="170">
      <c r="A170" s="206"/>
      <c r="B170" s="207"/>
      <c r="C170" s="208"/>
      <c r="D170" s="209"/>
      <c r="E170" s="168" t="b">
        <v>0</v>
      </c>
      <c r="F170" s="169"/>
      <c r="G170" s="172" t="s">
        <v>1047</v>
      </c>
      <c r="H170" s="173">
        <v>0.01</v>
      </c>
      <c r="I170" s="172" t="s">
        <v>868</v>
      </c>
      <c r="J170" s="192" t="s">
        <v>1139</v>
      </c>
      <c r="K170" s="169"/>
    </row>
    <row r="171">
      <c r="A171" s="206"/>
      <c r="B171" s="207"/>
      <c r="C171" s="208"/>
      <c r="D171" s="209"/>
      <c r="E171" s="168" t="b">
        <v>0</v>
      </c>
      <c r="F171" s="169"/>
      <c r="G171" s="213" t="s">
        <v>985</v>
      </c>
      <c r="H171" s="214">
        <v>0.01</v>
      </c>
      <c r="I171" s="213" t="s">
        <v>946</v>
      </c>
      <c r="J171" s="212" t="s">
        <v>1140</v>
      </c>
      <c r="K171" s="169"/>
    </row>
    <row r="172">
      <c r="A172" s="206"/>
      <c r="B172" s="207"/>
      <c r="C172" s="208"/>
      <c r="D172" s="209"/>
      <c r="E172" s="168" t="b">
        <v>0</v>
      </c>
      <c r="F172" s="169"/>
      <c r="G172" s="169"/>
      <c r="H172" s="169"/>
      <c r="I172" s="169"/>
      <c r="J172" s="175"/>
      <c r="K172" s="169"/>
    </row>
    <row r="173">
      <c r="A173" s="206"/>
      <c r="B173" s="207"/>
      <c r="C173" s="208"/>
      <c r="D173" s="209"/>
      <c r="E173" s="168" t="b">
        <v>0</v>
      </c>
      <c r="F173" s="169"/>
      <c r="G173" s="170" t="s">
        <v>876</v>
      </c>
      <c r="H173" s="123"/>
      <c r="I173" s="124"/>
      <c r="J173" s="215" t="s">
        <v>1141</v>
      </c>
      <c r="K173" s="169"/>
    </row>
    <row r="174">
      <c r="A174" s="206"/>
      <c r="B174" s="207"/>
      <c r="C174" s="208"/>
      <c r="D174" s="209"/>
      <c r="E174" s="168" t="b">
        <v>0</v>
      </c>
      <c r="F174" s="169"/>
      <c r="G174" s="178" t="s">
        <v>876</v>
      </c>
      <c r="H174" s="179">
        <v>0.05</v>
      </c>
      <c r="I174" s="178" t="s">
        <v>825</v>
      </c>
      <c r="J174" s="20"/>
      <c r="K174" s="169"/>
    </row>
    <row r="175">
      <c r="A175" s="206"/>
      <c r="B175" s="207"/>
      <c r="C175" s="208"/>
      <c r="D175" s="209"/>
      <c r="E175" s="168" t="b">
        <v>0</v>
      </c>
      <c r="F175" s="169"/>
      <c r="G175" s="169"/>
      <c r="H175" s="169"/>
      <c r="I175" s="169"/>
      <c r="J175" s="175"/>
      <c r="K175" s="169"/>
    </row>
    <row r="176">
      <c r="A176" s="206"/>
      <c r="B176" s="207"/>
      <c r="C176" s="208"/>
      <c r="D176" s="209"/>
      <c r="E176" s="168" t="b">
        <v>0</v>
      </c>
      <c r="F176" s="169"/>
      <c r="G176" s="211" t="s">
        <v>1142</v>
      </c>
      <c r="H176" s="123"/>
      <c r="I176" s="124"/>
      <c r="J176" s="212" t="s">
        <v>1143</v>
      </c>
      <c r="K176" s="169"/>
    </row>
    <row r="177">
      <c r="A177" s="206"/>
      <c r="B177" s="207"/>
      <c r="C177" s="208"/>
      <c r="D177" s="209"/>
      <c r="E177" s="168" t="b">
        <v>0</v>
      </c>
      <c r="F177" s="169"/>
      <c r="G177" s="172" t="s">
        <v>1144</v>
      </c>
      <c r="H177" s="173">
        <v>0.05</v>
      </c>
      <c r="I177" s="172" t="s">
        <v>868</v>
      </c>
      <c r="J177" s="192" t="s">
        <v>1145</v>
      </c>
      <c r="K177" s="169"/>
    </row>
    <row r="178">
      <c r="A178" s="206"/>
      <c r="B178" s="207"/>
      <c r="C178" s="208"/>
      <c r="D178" s="209"/>
      <c r="E178" s="168" t="b">
        <v>0</v>
      </c>
      <c r="F178" s="169"/>
      <c r="G178" s="213" t="s">
        <v>1102</v>
      </c>
      <c r="H178" s="214">
        <v>0.05</v>
      </c>
      <c r="I178" s="213" t="s">
        <v>848</v>
      </c>
      <c r="J178" s="212" t="s">
        <v>1146</v>
      </c>
      <c r="K178" s="169"/>
    </row>
    <row r="179">
      <c r="A179" s="206"/>
      <c r="B179" s="207"/>
      <c r="C179" s="208"/>
      <c r="D179" s="209"/>
      <c r="E179" s="168" t="b">
        <v>0</v>
      </c>
      <c r="F179" s="169"/>
      <c r="G179" s="169"/>
      <c r="H179" s="169"/>
      <c r="I179" s="169"/>
      <c r="J179" s="175"/>
      <c r="K179" s="169"/>
    </row>
    <row r="180">
      <c r="A180" s="206"/>
      <c r="B180" s="207"/>
      <c r="C180" s="208"/>
      <c r="D180" s="209"/>
      <c r="E180" s="168" t="b">
        <v>0</v>
      </c>
      <c r="F180" s="169"/>
      <c r="G180" s="176" t="s">
        <v>1147</v>
      </c>
      <c r="H180" s="123"/>
      <c r="I180" s="124"/>
      <c r="J180" s="177" t="s">
        <v>1148</v>
      </c>
      <c r="K180" s="169"/>
    </row>
    <row r="181">
      <c r="A181" s="206"/>
      <c r="B181" s="207"/>
      <c r="C181" s="208"/>
      <c r="D181" s="209"/>
      <c r="E181" s="168" t="b">
        <v>0</v>
      </c>
      <c r="F181" s="169"/>
      <c r="G181" s="178" t="s">
        <v>1044</v>
      </c>
      <c r="H181" s="179">
        <v>0.07</v>
      </c>
      <c r="I181" s="178" t="s">
        <v>832</v>
      </c>
      <c r="J181" s="180" t="s">
        <v>1149</v>
      </c>
      <c r="K181" s="169"/>
    </row>
    <row r="182">
      <c r="A182" s="206"/>
      <c r="B182" s="207"/>
      <c r="C182" s="208"/>
      <c r="D182" s="209"/>
      <c r="E182" s="168" t="b">
        <v>0</v>
      </c>
      <c r="F182" s="169"/>
      <c r="G182" s="178" t="s">
        <v>1093</v>
      </c>
      <c r="H182" s="179">
        <v>0.03</v>
      </c>
      <c r="I182" s="178" t="s">
        <v>848</v>
      </c>
      <c r="J182" s="18"/>
      <c r="K182" s="169"/>
    </row>
    <row r="183">
      <c r="A183" s="206"/>
      <c r="B183" s="207"/>
      <c r="C183" s="208"/>
      <c r="D183" s="209"/>
      <c r="E183" s="168" t="b">
        <v>0</v>
      </c>
      <c r="F183" s="169"/>
      <c r="G183" s="178" t="s">
        <v>1094</v>
      </c>
      <c r="H183" s="179">
        <v>0.03</v>
      </c>
      <c r="I183" s="178" t="s">
        <v>848</v>
      </c>
      <c r="J183" s="18"/>
      <c r="K183" s="169"/>
    </row>
    <row r="184">
      <c r="A184" s="206"/>
      <c r="B184" s="207"/>
      <c r="C184" s="208"/>
      <c r="D184" s="209"/>
      <c r="E184" s="168" t="b">
        <v>0</v>
      </c>
      <c r="F184" s="169"/>
      <c r="G184" s="178" t="s">
        <v>934</v>
      </c>
      <c r="H184" s="179">
        <v>0.05</v>
      </c>
      <c r="I184" s="178" t="s">
        <v>875</v>
      </c>
      <c r="J184" s="20"/>
      <c r="K184" s="169"/>
    </row>
    <row r="185">
      <c r="A185" s="206"/>
      <c r="B185" s="207"/>
      <c r="C185" s="208"/>
      <c r="D185" s="209"/>
      <c r="E185" s="168" t="b">
        <v>0</v>
      </c>
      <c r="F185" s="169"/>
      <c r="G185" s="169"/>
      <c r="H185" s="169"/>
      <c r="I185" s="169"/>
      <c r="J185" s="175"/>
      <c r="K185" s="169"/>
    </row>
    <row r="186">
      <c r="A186" s="206"/>
      <c r="B186" s="207"/>
      <c r="C186" s="208"/>
      <c r="D186" s="209"/>
      <c r="E186" s="168" t="b">
        <v>0</v>
      </c>
      <c r="F186" s="169"/>
      <c r="G186" s="182" t="s">
        <v>994</v>
      </c>
      <c r="H186" s="123"/>
      <c r="I186" s="124"/>
      <c r="J186" s="180" t="s">
        <v>1150</v>
      </c>
      <c r="K186" s="169"/>
    </row>
    <row r="187">
      <c r="A187" s="206"/>
      <c r="B187" s="207"/>
      <c r="C187" s="208"/>
      <c r="D187" s="209"/>
      <c r="E187" s="168" t="b">
        <v>0</v>
      </c>
      <c r="F187" s="169"/>
      <c r="G187" s="178" t="s">
        <v>994</v>
      </c>
      <c r="H187" s="179">
        <v>0.03</v>
      </c>
      <c r="I187" s="178" t="s">
        <v>832</v>
      </c>
      <c r="J187" s="18"/>
      <c r="K187" s="169"/>
    </row>
    <row r="188">
      <c r="A188" s="206"/>
      <c r="B188" s="207"/>
      <c r="C188" s="208"/>
      <c r="D188" s="209"/>
      <c r="E188" s="168" t="b">
        <v>0</v>
      </c>
      <c r="F188" s="169"/>
      <c r="G188" s="178" t="s">
        <v>994</v>
      </c>
      <c r="H188" s="179">
        <v>0.03</v>
      </c>
      <c r="I188" s="178" t="s">
        <v>946</v>
      </c>
      <c r="J188" s="20"/>
      <c r="K188" s="169"/>
    </row>
    <row r="189">
      <c r="A189" s="206"/>
      <c r="B189" s="207"/>
      <c r="C189" s="208"/>
      <c r="D189" s="209"/>
      <c r="E189" s="168" t="b">
        <v>0</v>
      </c>
      <c r="F189" s="169"/>
      <c r="G189" s="169"/>
      <c r="H189" s="169"/>
      <c r="I189" s="169"/>
      <c r="J189" s="175"/>
      <c r="K189" s="169"/>
    </row>
    <row r="190">
      <c r="A190" s="206"/>
      <c r="B190" s="207"/>
      <c r="C190" s="208"/>
      <c r="D190" s="209"/>
      <c r="E190" s="168" t="b">
        <v>0</v>
      </c>
      <c r="F190" s="169"/>
      <c r="G190" s="188" t="s">
        <v>1073</v>
      </c>
      <c r="H190" s="123"/>
      <c r="I190" s="124"/>
      <c r="J190" s="180" t="s">
        <v>1151</v>
      </c>
      <c r="K190" s="169"/>
    </row>
    <row r="191">
      <c r="A191" s="206"/>
      <c r="B191" s="207"/>
      <c r="C191" s="208"/>
      <c r="D191" s="209"/>
      <c r="E191" s="168" t="b">
        <v>0</v>
      </c>
      <c r="F191" s="169"/>
      <c r="G191" s="178" t="s">
        <v>1072</v>
      </c>
      <c r="H191" s="179">
        <v>0.07</v>
      </c>
      <c r="I191" s="178" t="s">
        <v>868</v>
      </c>
      <c r="J191" s="20"/>
      <c r="K191" s="169"/>
    </row>
    <row r="192">
      <c r="A192" s="206"/>
      <c r="B192" s="207"/>
      <c r="C192" s="208"/>
      <c r="D192" s="209"/>
      <c r="E192" s="168" t="b">
        <v>0</v>
      </c>
      <c r="F192" s="169"/>
      <c r="G192" s="169"/>
      <c r="H192" s="169"/>
      <c r="I192" s="169"/>
      <c r="J192" s="175"/>
      <c r="K192" s="169"/>
    </row>
    <row r="193">
      <c r="A193" s="206"/>
      <c r="B193" s="207"/>
      <c r="C193" s="208"/>
      <c r="D193" s="209"/>
      <c r="E193" s="168" t="b">
        <v>0</v>
      </c>
      <c r="F193" s="169"/>
      <c r="G193" s="176" t="s">
        <v>1152</v>
      </c>
      <c r="H193" s="123"/>
      <c r="I193" s="124"/>
      <c r="J193" s="177" t="s">
        <v>1153</v>
      </c>
      <c r="K193" s="169"/>
    </row>
    <row r="194">
      <c r="A194" s="206"/>
      <c r="B194" s="207"/>
      <c r="C194" s="208"/>
      <c r="D194" s="209"/>
      <c r="E194" s="168" t="b">
        <v>0</v>
      </c>
      <c r="F194" s="169"/>
      <c r="G194" s="178" t="s">
        <v>981</v>
      </c>
      <c r="H194" s="179">
        <v>0.04</v>
      </c>
      <c r="I194" s="178" t="s">
        <v>975</v>
      </c>
      <c r="J194" s="180" t="s">
        <v>1154</v>
      </c>
      <c r="K194" s="169"/>
    </row>
    <row r="195">
      <c r="A195" s="206"/>
      <c r="B195" s="207"/>
      <c r="C195" s="208"/>
      <c r="D195" s="209"/>
      <c r="E195" s="168" t="b">
        <v>0</v>
      </c>
      <c r="F195" s="169"/>
      <c r="G195" s="178" t="s">
        <v>1096</v>
      </c>
      <c r="H195" s="179">
        <v>0.04</v>
      </c>
      <c r="I195" s="178" t="s">
        <v>848</v>
      </c>
      <c r="J195" s="18"/>
      <c r="K195" s="169"/>
    </row>
    <row r="196">
      <c r="A196" s="206"/>
      <c r="B196" s="207"/>
      <c r="C196" s="208"/>
      <c r="D196" s="209"/>
      <c r="E196" s="168" t="b">
        <v>0</v>
      </c>
      <c r="F196" s="169"/>
      <c r="G196" s="178" t="s">
        <v>938</v>
      </c>
      <c r="H196" s="179">
        <v>0.05</v>
      </c>
      <c r="I196" s="178" t="s">
        <v>875</v>
      </c>
      <c r="J196" s="18"/>
      <c r="K196" s="169"/>
    </row>
    <row r="197">
      <c r="A197" s="206"/>
      <c r="B197" s="207"/>
      <c r="C197" s="208"/>
      <c r="D197" s="209"/>
      <c r="E197" s="168" t="b">
        <v>0</v>
      </c>
      <c r="F197" s="169"/>
      <c r="G197" s="178" t="s">
        <v>962</v>
      </c>
      <c r="H197" s="179">
        <v>0.1</v>
      </c>
      <c r="I197" s="178" t="s">
        <v>949</v>
      </c>
      <c r="J197" s="20"/>
      <c r="K197" s="169"/>
    </row>
    <row r="198">
      <c r="A198" s="206"/>
      <c r="B198" s="207"/>
      <c r="C198" s="208"/>
      <c r="D198" s="209"/>
      <c r="E198" s="168" t="b">
        <v>0</v>
      </c>
      <c r="F198" s="169"/>
      <c r="G198" s="169"/>
      <c r="H198" s="169"/>
      <c r="I198" s="169"/>
      <c r="J198" s="175"/>
      <c r="K198" s="169"/>
    </row>
    <row r="199">
      <c r="A199" s="206"/>
      <c r="B199" s="207"/>
      <c r="C199" s="208"/>
      <c r="D199" s="209"/>
      <c r="E199" s="168" t="b">
        <v>0</v>
      </c>
      <c r="F199" s="169"/>
      <c r="G199" s="176" t="s">
        <v>1155</v>
      </c>
      <c r="H199" s="123"/>
      <c r="I199" s="124"/>
      <c r="J199" s="177" t="s">
        <v>1156</v>
      </c>
      <c r="K199" s="169"/>
    </row>
    <row r="200">
      <c r="A200" s="206"/>
      <c r="B200" s="207"/>
      <c r="C200" s="208"/>
      <c r="D200" s="209"/>
      <c r="E200" s="168" t="b">
        <v>0</v>
      </c>
      <c r="F200" s="169"/>
      <c r="G200" s="178" t="s">
        <v>829</v>
      </c>
      <c r="H200" s="179">
        <v>0.01</v>
      </c>
      <c r="I200" s="178" t="s">
        <v>825</v>
      </c>
      <c r="J200" s="177" t="s">
        <v>1157</v>
      </c>
      <c r="K200" s="169"/>
    </row>
    <row r="201">
      <c r="A201" s="206"/>
      <c r="B201" s="207"/>
      <c r="C201" s="208"/>
      <c r="D201" s="209"/>
      <c r="E201" s="168" t="b">
        <v>0</v>
      </c>
      <c r="F201" s="169"/>
      <c r="G201" s="178" t="s">
        <v>989</v>
      </c>
      <c r="H201" s="179">
        <v>0.01</v>
      </c>
      <c r="I201" s="178" t="s">
        <v>946</v>
      </c>
      <c r="J201" s="177" t="s">
        <v>1158</v>
      </c>
      <c r="K201" s="169"/>
    </row>
    <row r="202">
      <c r="A202" s="206"/>
      <c r="B202" s="207"/>
      <c r="C202" s="208"/>
      <c r="D202" s="209"/>
      <c r="E202" s="168" t="b">
        <v>0</v>
      </c>
      <c r="F202" s="169"/>
      <c r="G202" s="169"/>
      <c r="H202" s="169"/>
      <c r="I202" s="169"/>
      <c r="J202" s="175"/>
      <c r="K202" s="169"/>
    </row>
    <row r="203">
      <c r="A203" s="206"/>
      <c r="B203" s="207"/>
      <c r="C203" s="208"/>
      <c r="D203" s="209"/>
      <c r="E203" s="168" t="b">
        <v>0</v>
      </c>
      <c r="F203" s="169"/>
      <c r="G203" s="176" t="s">
        <v>1159</v>
      </c>
      <c r="H203" s="123"/>
      <c r="I203" s="124"/>
      <c r="J203" s="177" t="s">
        <v>1160</v>
      </c>
      <c r="K203" s="169"/>
    </row>
    <row r="204">
      <c r="A204" s="206"/>
      <c r="B204" s="207"/>
      <c r="C204" s="208"/>
      <c r="D204" s="209"/>
      <c r="E204" s="168" t="b">
        <v>0</v>
      </c>
      <c r="F204" s="169"/>
      <c r="G204" s="178" t="s">
        <v>1105</v>
      </c>
      <c r="H204" s="179">
        <v>0.05</v>
      </c>
      <c r="I204" s="178" t="s">
        <v>848</v>
      </c>
      <c r="J204" s="177" t="s">
        <v>1161</v>
      </c>
      <c r="K204" s="169"/>
    </row>
    <row r="205">
      <c r="A205" s="206"/>
      <c r="B205" s="207"/>
      <c r="C205" s="208"/>
      <c r="D205" s="209"/>
      <c r="E205" s="168" t="b">
        <v>0</v>
      </c>
      <c r="F205" s="169"/>
      <c r="G205" s="178" t="s">
        <v>1004</v>
      </c>
      <c r="H205" s="179">
        <v>0.1</v>
      </c>
      <c r="I205" s="178" t="s">
        <v>946</v>
      </c>
      <c r="J205" s="177" t="s">
        <v>1162</v>
      </c>
      <c r="K205" s="169"/>
    </row>
    <row r="206">
      <c r="A206" s="206"/>
      <c r="B206" s="207"/>
      <c r="C206" s="208"/>
      <c r="D206" s="209"/>
      <c r="E206" s="168" t="b">
        <v>0</v>
      </c>
      <c r="F206" s="169"/>
      <c r="G206" s="169"/>
      <c r="H206" s="169"/>
      <c r="I206" s="169"/>
      <c r="J206" s="175"/>
      <c r="K206" s="169"/>
    </row>
    <row r="207">
      <c r="A207" s="206"/>
      <c r="B207" s="207"/>
      <c r="C207" s="208"/>
      <c r="D207" s="209"/>
      <c r="E207" s="168" t="b">
        <v>0</v>
      </c>
      <c r="F207" s="169"/>
      <c r="G207" s="191" t="s">
        <v>256</v>
      </c>
      <c r="H207" s="123"/>
      <c r="I207" s="124"/>
      <c r="J207" s="192" t="s">
        <v>1163</v>
      </c>
      <c r="K207" s="169"/>
    </row>
    <row r="208">
      <c r="A208" s="206"/>
      <c r="B208" s="207"/>
      <c r="C208" s="208"/>
      <c r="D208" s="209"/>
      <c r="E208" s="168" t="b">
        <v>0</v>
      </c>
      <c r="F208" s="169"/>
      <c r="G208" s="172" t="s">
        <v>1164</v>
      </c>
      <c r="H208" s="173">
        <v>0.1</v>
      </c>
      <c r="I208" s="172" t="s">
        <v>975</v>
      </c>
      <c r="J208" s="171" t="s">
        <v>1165</v>
      </c>
      <c r="K208" s="169"/>
    </row>
    <row r="209">
      <c r="A209" s="206"/>
      <c r="B209" s="207"/>
      <c r="C209" s="208"/>
      <c r="D209" s="209"/>
      <c r="E209" s="168" t="b">
        <v>0</v>
      </c>
      <c r="F209" s="169"/>
      <c r="G209" s="172" t="s">
        <v>1166</v>
      </c>
      <c r="H209" s="173">
        <v>0.07</v>
      </c>
      <c r="I209" s="172" t="s">
        <v>825</v>
      </c>
      <c r="J209" s="18"/>
      <c r="K209" s="169"/>
    </row>
    <row r="210">
      <c r="A210" s="206"/>
      <c r="B210" s="207"/>
      <c r="C210" s="208"/>
      <c r="D210" s="209"/>
      <c r="E210" s="168" t="b">
        <v>0</v>
      </c>
      <c r="F210" s="169"/>
      <c r="G210" s="172" t="s">
        <v>1167</v>
      </c>
      <c r="H210" s="173">
        <v>0.08</v>
      </c>
      <c r="I210" s="172" t="s">
        <v>875</v>
      </c>
      <c r="J210" s="18"/>
      <c r="K210" s="169"/>
    </row>
    <row r="211">
      <c r="A211" s="206"/>
      <c r="B211" s="207"/>
      <c r="C211" s="208"/>
      <c r="D211" s="209"/>
      <c r="E211" s="168" t="b">
        <v>0</v>
      </c>
      <c r="F211" s="169"/>
      <c r="G211" s="172" t="s">
        <v>1168</v>
      </c>
      <c r="H211" s="173">
        <v>0.1</v>
      </c>
      <c r="I211" s="172" t="s">
        <v>949</v>
      </c>
      <c r="J211" s="20"/>
      <c r="K211" s="169"/>
    </row>
    <row r="212">
      <c r="A212" s="206"/>
      <c r="B212" s="207"/>
      <c r="C212" s="208"/>
      <c r="D212" s="209"/>
      <c r="E212" s="168" t="b">
        <v>0</v>
      </c>
      <c r="F212" s="169"/>
      <c r="G212" s="169"/>
      <c r="H212" s="169"/>
      <c r="I212" s="169"/>
      <c r="J212" s="175"/>
      <c r="K212" s="169"/>
    </row>
    <row r="213">
      <c r="A213" s="206"/>
      <c r="B213" s="207"/>
      <c r="C213" s="208"/>
      <c r="D213" s="209"/>
      <c r="E213" s="168" t="b">
        <v>0</v>
      </c>
      <c r="F213" s="169"/>
      <c r="G213" s="191" t="s">
        <v>1169</v>
      </c>
      <c r="H213" s="123"/>
      <c r="I213" s="124"/>
      <c r="J213" s="192" t="s">
        <v>1170</v>
      </c>
      <c r="K213" s="169"/>
    </row>
    <row r="214">
      <c r="A214" s="206"/>
      <c r="B214" s="207"/>
      <c r="C214" s="208"/>
      <c r="D214" s="209"/>
      <c r="E214" s="168" t="b">
        <v>0</v>
      </c>
      <c r="F214" s="169"/>
      <c r="G214" s="172" t="s">
        <v>1171</v>
      </c>
      <c r="H214" s="173">
        <v>0.03</v>
      </c>
      <c r="I214" s="172" t="s">
        <v>875</v>
      </c>
      <c r="J214" s="192" t="s">
        <v>1172</v>
      </c>
      <c r="K214" s="169"/>
    </row>
    <row r="215">
      <c r="A215" s="206"/>
      <c r="B215" s="207"/>
      <c r="C215" s="208"/>
      <c r="D215" s="209"/>
      <c r="E215" s="168" t="b">
        <v>0</v>
      </c>
      <c r="F215" s="169"/>
      <c r="G215" s="172" t="s">
        <v>1173</v>
      </c>
      <c r="H215" s="173">
        <v>0.05</v>
      </c>
      <c r="I215" s="172" t="s">
        <v>848</v>
      </c>
      <c r="J215" s="192" t="s">
        <v>1174</v>
      </c>
      <c r="K215" s="169"/>
    </row>
    <row r="216">
      <c r="A216" s="206"/>
      <c r="B216" s="207"/>
      <c r="C216" s="208"/>
      <c r="D216" s="209"/>
      <c r="E216" s="168" t="b">
        <v>0</v>
      </c>
      <c r="F216" s="169"/>
      <c r="G216" s="169"/>
      <c r="H216" s="169"/>
      <c r="I216" s="169"/>
      <c r="J216" s="175"/>
      <c r="K216" s="169"/>
    </row>
    <row r="217">
      <c r="A217" s="206"/>
      <c r="B217" s="207"/>
      <c r="C217" s="208"/>
      <c r="D217" s="209"/>
      <c r="E217" s="168" t="b">
        <v>0</v>
      </c>
      <c r="F217" s="169"/>
      <c r="G217" s="176" t="s">
        <v>1175</v>
      </c>
      <c r="H217" s="123"/>
      <c r="I217" s="124"/>
      <c r="J217" s="177" t="s">
        <v>1176</v>
      </c>
      <c r="K217" s="169"/>
    </row>
    <row r="218">
      <c r="A218" s="206"/>
      <c r="B218" s="207"/>
      <c r="C218" s="208"/>
      <c r="D218" s="209"/>
      <c r="E218" s="168" t="b">
        <v>0</v>
      </c>
      <c r="F218" s="169"/>
      <c r="G218" s="178" t="s">
        <v>1015</v>
      </c>
      <c r="H218" s="179">
        <v>0.01</v>
      </c>
      <c r="I218" s="178" t="s">
        <v>832</v>
      </c>
      <c r="J218" s="177" t="s">
        <v>1177</v>
      </c>
      <c r="K218" s="169"/>
    </row>
    <row r="219">
      <c r="A219" s="206"/>
      <c r="B219" s="207"/>
      <c r="C219" s="208"/>
      <c r="D219" s="209"/>
      <c r="E219" s="168" t="b">
        <v>0</v>
      </c>
      <c r="F219" s="169"/>
      <c r="G219" s="178" t="s">
        <v>1085</v>
      </c>
      <c r="H219" s="179">
        <v>0.01</v>
      </c>
      <c r="I219" s="178" t="s">
        <v>848</v>
      </c>
      <c r="J219" s="177" t="s">
        <v>1178</v>
      </c>
      <c r="K219" s="169"/>
    </row>
    <row r="220">
      <c r="A220" s="206"/>
      <c r="B220" s="207"/>
      <c r="C220" s="208"/>
      <c r="D220" s="209"/>
      <c r="E220" s="168" t="b">
        <v>0</v>
      </c>
      <c r="F220" s="169"/>
      <c r="G220" s="169"/>
      <c r="H220" s="169"/>
      <c r="I220" s="169"/>
      <c r="J220" s="175"/>
      <c r="K220" s="169"/>
    </row>
    <row r="221">
      <c r="A221" s="206"/>
      <c r="B221" s="207"/>
      <c r="C221" s="208"/>
      <c r="D221" s="209"/>
      <c r="E221" s="168" t="b">
        <v>0</v>
      </c>
      <c r="F221" s="169"/>
      <c r="G221" s="182" t="s">
        <v>924</v>
      </c>
      <c r="H221" s="123"/>
      <c r="I221" s="124"/>
      <c r="J221" s="180" t="s">
        <v>1179</v>
      </c>
      <c r="K221" s="169"/>
    </row>
    <row r="222">
      <c r="A222" s="206"/>
      <c r="B222" s="207"/>
      <c r="C222" s="208"/>
      <c r="D222" s="209"/>
      <c r="E222" s="168" t="b">
        <v>0</v>
      </c>
      <c r="F222" s="169"/>
      <c r="G222" s="178" t="s">
        <v>923</v>
      </c>
      <c r="H222" s="179">
        <v>0.03</v>
      </c>
      <c r="I222" s="178" t="s">
        <v>875</v>
      </c>
      <c r="J222" s="18"/>
      <c r="K222" s="169"/>
    </row>
    <row r="223">
      <c r="A223" s="206"/>
      <c r="B223" s="207"/>
      <c r="C223" s="208"/>
      <c r="D223" s="209"/>
      <c r="E223" s="168" t="b">
        <v>0</v>
      </c>
      <c r="F223" s="169"/>
      <c r="G223" s="178" t="s">
        <v>927</v>
      </c>
      <c r="H223" s="179">
        <v>0.03</v>
      </c>
      <c r="I223" s="178" t="s">
        <v>875</v>
      </c>
      <c r="J223" s="20"/>
      <c r="K223" s="169"/>
    </row>
    <row r="224">
      <c r="A224" s="206"/>
      <c r="B224" s="207"/>
      <c r="C224" s="208"/>
      <c r="D224" s="209"/>
      <c r="E224" s="168" t="b">
        <v>0</v>
      </c>
      <c r="F224" s="169"/>
      <c r="G224" s="169"/>
      <c r="H224" s="169"/>
      <c r="I224" s="169"/>
      <c r="J224" s="175"/>
      <c r="K224" s="169"/>
    </row>
    <row r="225">
      <c r="A225" s="206"/>
      <c r="B225" s="207"/>
      <c r="C225" s="208"/>
      <c r="D225" s="209"/>
      <c r="E225" s="168" t="b">
        <v>0</v>
      </c>
      <c r="F225" s="169"/>
      <c r="G225" s="182" t="s">
        <v>957</v>
      </c>
      <c r="H225" s="123"/>
      <c r="I225" s="124"/>
      <c r="J225" s="180" t="s">
        <v>828</v>
      </c>
      <c r="K225" s="169"/>
    </row>
    <row r="226">
      <c r="A226" s="206"/>
      <c r="B226" s="207"/>
      <c r="C226" s="208"/>
      <c r="D226" s="209"/>
      <c r="E226" s="168" t="b">
        <v>0</v>
      </c>
      <c r="F226" s="169"/>
      <c r="G226" s="178" t="s">
        <v>956</v>
      </c>
      <c r="H226" s="179">
        <v>0.07</v>
      </c>
      <c r="I226" s="178" t="s">
        <v>949</v>
      </c>
      <c r="J226" s="20"/>
      <c r="K226" s="169"/>
    </row>
    <row r="227">
      <c r="A227" s="206"/>
      <c r="B227" s="207"/>
      <c r="C227" s="208"/>
      <c r="D227" s="209"/>
      <c r="E227" s="168" t="b">
        <v>0</v>
      </c>
      <c r="F227" s="169"/>
      <c r="G227" s="169"/>
      <c r="H227" s="169"/>
      <c r="I227" s="169"/>
      <c r="J227" s="175"/>
      <c r="K227" s="169"/>
    </row>
    <row r="228">
      <c r="A228" s="206"/>
      <c r="B228" s="207"/>
      <c r="C228" s="208"/>
      <c r="D228" s="209"/>
      <c r="E228" s="168" t="b">
        <v>0</v>
      </c>
      <c r="F228" s="169"/>
      <c r="G228" s="170" t="s">
        <v>1070</v>
      </c>
      <c r="H228" s="123"/>
      <c r="I228" s="124"/>
      <c r="J228" s="171" t="s">
        <v>1180</v>
      </c>
      <c r="K228" s="169"/>
    </row>
    <row r="229">
      <c r="A229" s="206"/>
      <c r="B229" s="207"/>
      <c r="C229" s="208"/>
      <c r="D229" s="209"/>
      <c r="E229" s="168" t="b">
        <v>0</v>
      </c>
      <c r="F229" s="169"/>
      <c r="G229" s="172" t="s">
        <v>1181</v>
      </c>
      <c r="H229" s="173">
        <v>0.06</v>
      </c>
      <c r="I229" s="172" t="s">
        <v>868</v>
      </c>
      <c r="J229" s="20"/>
      <c r="K229" s="169"/>
    </row>
    <row r="230">
      <c r="A230" s="206"/>
      <c r="B230" s="207"/>
      <c r="C230" s="208"/>
      <c r="D230" s="209"/>
      <c r="E230" s="168" t="b">
        <v>0</v>
      </c>
      <c r="F230" s="169"/>
      <c r="G230" s="169"/>
      <c r="H230" s="169"/>
      <c r="I230" s="169"/>
      <c r="J230" s="175"/>
      <c r="K230" s="169"/>
    </row>
    <row r="231">
      <c r="A231" s="206"/>
      <c r="B231" s="207"/>
      <c r="C231" s="208"/>
      <c r="D231" s="209"/>
      <c r="E231" s="168" t="b">
        <v>0</v>
      </c>
      <c r="F231" s="169"/>
      <c r="G231" s="176" t="s">
        <v>1182</v>
      </c>
      <c r="H231" s="123"/>
      <c r="I231" s="124"/>
      <c r="J231" s="177" t="s">
        <v>1183</v>
      </c>
      <c r="K231" s="169"/>
    </row>
    <row r="232">
      <c r="A232" s="206"/>
      <c r="B232" s="207"/>
      <c r="C232" s="208"/>
      <c r="D232" s="209"/>
      <c r="E232" s="168" t="b">
        <v>0</v>
      </c>
      <c r="F232" s="169"/>
      <c r="G232" s="178" t="s">
        <v>911</v>
      </c>
      <c r="H232" s="179">
        <v>0.01</v>
      </c>
      <c r="I232" s="178" t="s">
        <v>875</v>
      </c>
      <c r="J232" s="177" t="s">
        <v>1184</v>
      </c>
      <c r="K232" s="169"/>
    </row>
    <row r="233">
      <c r="A233" s="206"/>
      <c r="B233" s="207"/>
      <c r="C233" s="208"/>
      <c r="D233" s="209"/>
      <c r="E233" s="168" t="b">
        <v>0</v>
      </c>
      <c r="F233" s="169"/>
      <c r="G233" s="178" t="s">
        <v>833</v>
      </c>
      <c r="H233" s="179">
        <v>0.01</v>
      </c>
      <c r="I233" s="178" t="s">
        <v>825</v>
      </c>
      <c r="J233" s="177" t="s">
        <v>1185</v>
      </c>
      <c r="K233" s="169"/>
    </row>
    <row r="234">
      <c r="A234" s="206"/>
      <c r="B234" s="207"/>
      <c r="C234" s="208"/>
      <c r="D234" s="209"/>
      <c r="E234" s="168" t="b">
        <v>0</v>
      </c>
      <c r="F234" s="169"/>
      <c r="G234" s="169"/>
      <c r="H234" s="169"/>
      <c r="I234" s="169"/>
      <c r="J234" s="175"/>
      <c r="K234" s="169"/>
    </row>
    <row r="235">
      <c r="A235" s="206"/>
      <c r="B235" s="207"/>
      <c r="C235" s="208"/>
      <c r="D235" s="209"/>
      <c r="E235" s="168" t="b">
        <v>0</v>
      </c>
      <c r="F235" s="169"/>
      <c r="G235" s="182" t="s">
        <v>961</v>
      </c>
      <c r="H235" s="123"/>
      <c r="I235" s="124"/>
      <c r="J235" s="180" t="s">
        <v>828</v>
      </c>
      <c r="K235" s="169"/>
    </row>
    <row r="236">
      <c r="A236" s="206"/>
      <c r="B236" s="207"/>
      <c r="C236" s="208"/>
      <c r="D236" s="209"/>
      <c r="E236" s="168" t="b">
        <v>0</v>
      </c>
      <c r="F236" s="169"/>
      <c r="G236" s="178" t="s">
        <v>960</v>
      </c>
      <c r="H236" s="179">
        <v>0.07</v>
      </c>
      <c r="I236" s="178" t="s">
        <v>949</v>
      </c>
      <c r="J236" s="20"/>
      <c r="K236" s="169"/>
    </row>
    <row r="237">
      <c r="A237" s="206"/>
      <c r="B237" s="207"/>
      <c r="C237" s="208"/>
      <c r="D237" s="209"/>
      <c r="E237" s="168" t="b">
        <v>0</v>
      </c>
      <c r="F237" s="169"/>
      <c r="G237" s="169"/>
      <c r="H237" s="169"/>
      <c r="I237" s="169"/>
      <c r="J237" s="175"/>
      <c r="K237" s="169"/>
    </row>
    <row r="238">
      <c r="A238" s="206"/>
      <c r="B238" s="207"/>
      <c r="C238" s="208"/>
      <c r="D238" s="209"/>
      <c r="E238" s="168" t="b">
        <v>0</v>
      </c>
      <c r="F238" s="169"/>
      <c r="G238" s="206"/>
      <c r="H238" s="206"/>
      <c r="I238" s="206"/>
      <c r="J238" s="216"/>
      <c r="K238" s="169"/>
    </row>
    <row r="239">
      <c r="A239" s="206"/>
      <c r="B239" s="207"/>
      <c r="C239" s="208"/>
      <c r="D239" s="209"/>
      <c r="E239" s="168" t="b">
        <v>0</v>
      </c>
      <c r="F239" s="169"/>
      <c r="G239" s="206"/>
      <c r="H239" s="206"/>
      <c r="I239" s="206"/>
      <c r="J239" s="216"/>
      <c r="K239" s="169"/>
    </row>
    <row r="240">
      <c r="A240" s="206"/>
      <c r="B240" s="207"/>
      <c r="C240" s="208"/>
      <c r="D240" s="209"/>
      <c r="E240" s="168" t="b">
        <v>0</v>
      </c>
      <c r="F240" s="169"/>
      <c r="G240" s="206"/>
      <c r="H240" s="206"/>
      <c r="I240" s="206"/>
      <c r="J240" s="216"/>
      <c r="K240" s="169"/>
    </row>
    <row r="241">
      <c r="A241" s="206"/>
      <c r="B241" s="207"/>
      <c r="C241" s="208"/>
      <c r="D241" s="209"/>
      <c r="E241" s="168" t="b">
        <v>0</v>
      </c>
      <c r="F241" s="169"/>
      <c r="G241" s="206"/>
      <c r="H241" s="206"/>
      <c r="I241" s="206"/>
      <c r="J241" s="216"/>
      <c r="K241" s="169"/>
    </row>
    <row r="242">
      <c r="A242" s="206"/>
      <c r="B242" s="207"/>
      <c r="C242" s="208"/>
      <c r="D242" s="209"/>
      <c r="E242" s="168" t="b">
        <v>0</v>
      </c>
      <c r="F242" s="169"/>
      <c r="G242" s="206"/>
      <c r="H242" s="206"/>
      <c r="I242" s="206"/>
      <c r="J242" s="216"/>
      <c r="K242" s="169"/>
    </row>
    <row r="243">
      <c r="A243" s="206"/>
      <c r="B243" s="207"/>
      <c r="C243" s="208"/>
      <c r="D243" s="209"/>
      <c r="E243" s="168" t="b">
        <v>0</v>
      </c>
      <c r="F243" s="169"/>
      <c r="G243" s="206"/>
      <c r="H243" s="206"/>
      <c r="I243" s="206"/>
      <c r="J243" s="216"/>
      <c r="K243" s="169"/>
    </row>
    <row r="244">
      <c r="A244" s="206"/>
      <c r="B244" s="207"/>
      <c r="C244" s="166"/>
      <c r="D244" s="209"/>
      <c r="E244" s="168" t="b">
        <v>0</v>
      </c>
      <c r="F244" s="169"/>
      <c r="G244" s="206"/>
      <c r="H244" s="206"/>
      <c r="I244" s="206"/>
      <c r="J244" s="216"/>
      <c r="K244" s="169"/>
    </row>
    <row r="245">
      <c r="A245" s="206"/>
      <c r="B245" s="207"/>
      <c r="C245" s="166"/>
      <c r="D245" s="209"/>
      <c r="E245" s="168" t="b">
        <v>0</v>
      </c>
      <c r="F245" s="169"/>
      <c r="G245" s="206"/>
      <c r="H245" s="206"/>
      <c r="I245" s="206"/>
      <c r="J245" s="216"/>
      <c r="K245" s="169"/>
    </row>
    <row r="246">
      <c r="A246" s="206"/>
      <c r="B246" s="207"/>
      <c r="C246" s="166"/>
      <c r="D246" s="209"/>
      <c r="E246" s="168" t="b">
        <v>0</v>
      </c>
      <c r="F246" s="169"/>
      <c r="G246" s="206"/>
      <c r="H246" s="206"/>
      <c r="I246" s="206"/>
      <c r="J246" s="216"/>
      <c r="K246" s="169"/>
    </row>
    <row r="247">
      <c r="A247" s="206"/>
      <c r="B247" s="207"/>
      <c r="C247" s="166"/>
      <c r="D247" s="209"/>
      <c r="E247" s="168" t="b">
        <v>0</v>
      </c>
      <c r="F247" s="169"/>
      <c r="G247" s="206"/>
      <c r="H247" s="206"/>
      <c r="I247" s="206"/>
      <c r="J247" s="216"/>
      <c r="K247" s="169"/>
    </row>
    <row r="248">
      <c r="A248" s="206"/>
      <c r="B248" s="207"/>
      <c r="C248" s="166"/>
      <c r="D248" s="209"/>
      <c r="E248" s="168" t="b">
        <v>0</v>
      </c>
      <c r="F248" s="169"/>
      <c r="G248" s="206"/>
      <c r="H248" s="206"/>
      <c r="I248" s="206"/>
      <c r="J248" s="216"/>
      <c r="K248" s="169"/>
    </row>
    <row r="249">
      <c r="A249" s="206"/>
      <c r="B249" s="207"/>
      <c r="C249" s="166"/>
      <c r="D249" s="209"/>
      <c r="E249" s="168" t="b">
        <v>0</v>
      </c>
      <c r="F249" s="169"/>
      <c r="G249" s="206"/>
      <c r="H249" s="206"/>
      <c r="I249" s="206"/>
      <c r="J249" s="216"/>
      <c r="K249" s="169"/>
    </row>
    <row r="250">
      <c r="A250" s="206"/>
      <c r="B250" s="207"/>
      <c r="C250" s="166"/>
      <c r="D250" s="209"/>
      <c r="E250" s="168" t="b">
        <v>0</v>
      </c>
      <c r="F250" s="169"/>
      <c r="G250" s="206"/>
      <c r="H250" s="206"/>
      <c r="I250" s="206"/>
      <c r="J250" s="216"/>
      <c r="K250" s="169"/>
    </row>
    <row r="251">
      <c r="A251" s="206"/>
      <c r="B251" s="207"/>
      <c r="C251" s="166"/>
      <c r="D251" s="209"/>
      <c r="E251" s="168" t="b">
        <v>0</v>
      </c>
      <c r="F251" s="169"/>
      <c r="G251" s="206"/>
      <c r="H251" s="206"/>
      <c r="I251" s="206"/>
      <c r="J251" s="216"/>
      <c r="K251" s="169"/>
    </row>
    <row r="252">
      <c r="A252" s="206"/>
      <c r="B252" s="207"/>
      <c r="C252" s="166"/>
      <c r="D252" s="209"/>
      <c r="E252" s="168" t="b">
        <v>0</v>
      </c>
      <c r="F252" s="169"/>
      <c r="G252" s="206"/>
      <c r="H252" s="206"/>
      <c r="I252" s="206"/>
      <c r="J252" s="216"/>
      <c r="K252" s="169"/>
    </row>
    <row r="253">
      <c r="A253" s="206"/>
      <c r="B253" s="207"/>
      <c r="C253" s="166"/>
      <c r="D253" s="209"/>
      <c r="E253" s="168" t="b">
        <v>0</v>
      </c>
      <c r="F253" s="169"/>
      <c r="G253" s="206"/>
      <c r="H253" s="206"/>
      <c r="I253" s="206"/>
      <c r="J253" s="216"/>
      <c r="K253" s="169"/>
    </row>
    <row r="254">
      <c r="A254" s="206"/>
      <c r="B254" s="207"/>
      <c r="C254" s="166"/>
      <c r="D254" s="209"/>
      <c r="E254" s="168" t="b">
        <v>0</v>
      </c>
      <c r="F254" s="169"/>
      <c r="G254" s="206"/>
      <c r="H254" s="206"/>
      <c r="I254" s="206"/>
      <c r="J254" s="216"/>
      <c r="K254" s="169"/>
    </row>
    <row r="255">
      <c r="A255" s="206"/>
      <c r="B255" s="207"/>
      <c r="C255" s="166"/>
      <c r="D255" s="209"/>
      <c r="E255" s="168" t="b">
        <v>0</v>
      </c>
      <c r="F255" s="169"/>
      <c r="G255" s="206"/>
      <c r="H255" s="206"/>
      <c r="I255" s="206"/>
      <c r="J255" s="216"/>
      <c r="K255" s="169"/>
    </row>
    <row r="256">
      <c r="A256" s="206"/>
      <c r="B256" s="207"/>
      <c r="C256" s="166"/>
      <c r="D256" s="209"/>
      <c r="E256" s="168" t="b">
        <v>0</v>
      </c>
      <c r="F256" s="169"/>
      <c r="G256" s="206"/>
      <c r="H256" s="206"/>
      <c r="I256" s="206"/>
      <c r="J256" s="216"/>
      <c r="K256" s="169"/>
    </row>
    <row r="257">
      <c r="A257" s="206"/>
      <c r="B257" s="207"/>
      <c r="C257" s="166"/>
      <c r="D257" s="209"/>
      <c r="E257" s="168" t="b">
        <v>0</v>
      </c>
      <c r="F257" s="169"/>
      <c r="G257" s="206"/>
      <c r="H257" s="206"/>
      <c r="I257" s="206"/>
      <c r="J257" s="216"/>
      <c r="K257" s="169"/>
    </row>
    <row r="258">
      <c r="A258" s="206"/>
      <c r="B258" s="207"/>
      <c r="C258" s="166"/>
      <c r="D258" s="209"/>
      <c r="E258" s="168" t="b">
        <v>0</v>
      </c>
      <c r="F258" s="169"/>
      <c r="G258" s="206"/>
      <c r="H258" s="206"/>
      <c r="I258" s="206"/>
      <c r="J258" s="216"/>
      <c r="K258" s="169"/>
    </row>
    <row r="259">
      <c r="A259" s="206"/>
      <c r="B259" s="207"/>
      <c r="C259" s="166"/>
      <c r="D259" s="209"/>
      <c r="E259" s="168" t="b">
        <v>0</v>
      </c>
      <c r="F259" s="169"/>
      <c r="G259" s="206"/>
      <c r="H259" s="206"/>
      <c r="I259" s="206"/>
      <c r="J259" s="216"/>
      <c r="K259" s="169"/>
    </row>
    <row r="260">
      <c r="A260" s="206"/>
      <c r="B260" s="207"/>
      <c r="C260" s="166"/>
      <c r="D260" s="209"/>
      <c r="E260" s="168" t="b">
        <v>0</v>
      </c>
      <c r="F260" s="169"/>
      <c r="G260" s="206"/>
      <c r="H260" s="206"/>
      <c r="I260" s="206"/>
      <c r="J260" s="216"/>
      <c r="K260" s="169"/>
    </row>
    <row r="261">
      <c r="A261" s="206"/>
      <c r="B261" s="207"/>
      <c r="C261" s="166"/>
      <c r="D261" s="209"/>
      <c r="E261" s="168" t="b">
        <v>0</v>
      </c>
      <c r="F261" s="169"/>
      <c r="G261" s="206"/>
      <c r="H261" s="206"/>
      <c r="I261" s="206"/>
      <c r="J261" s="216"/>
      <c r="K261" s="169"/>
    </row>
    <row r="262">
      <c r="A262" s="206"/>
      <c r="B262" s="207"/>
      <c r="C262" s="166"/>
      <c r="D262" s="209"/>
      <c r="E262" s="168" t="b">
        <v>0</v>
      </c>
      <c r="F262" s="169"/>
      <c r="G262" s="206"/>
      <c r="H262" s="206"/>
      <c r="I262" s="206"/>
      <c r="J262" s="216"/>
      <c r="K262" s="169"/>
    </row>
    <row r="263">
      <c r="A263" s="206"/>
      <c r="B263" s="207"/>
      <c r="C263" s="166"/>
      <c r="D263" s="209"/>
      <c r="E263" s="168" t="b">
        <v>0</v>
      </c>
      <c r="F263" s="169"/>
      <c r="G263" s="206"/>
      <c r="H263" s="206"/>
      <c r="I263" s="206"/>
      <c r="J263" s="216"/>
      <c r="K263" s="169"/>
    </row>
    <row r="264">
      <c r="A264" s="206"/>
      <c r="B264" s="207"/>
      <c r="C264" s="166"/>
      <c r="D264" s="209"/>
      <c r="E264" s="168" t="b">
        <v>0</v>
      </c>
      <c r="F264" s="169"/>
      <c r="G264" s="206"/>
      <c r="H264" s="206"/>
      <c r="I264" s="206"/>
      <c r="J264" s="216"/>
      <c r="K264" s="169"/>
    </row>
    <row r="265">
      <c r="A265" s="206"/>
      <c r="B265" s="207"/>
      <c r="C265" s="166"/>
      <c r="D265" s="209"/>
      <c r="E265" s="168" t="b">
        <v>0</v>
      </c>
      <c r="F265" s="169"/>
      <c r="G265" s="206"/>
      <c r="H265" s="206"/>
      <c r="I265" s="206"/>
      <c r="J265" s="216"/>
      <c r="K265" s="169"/>
    </row>
    <row r="266">
      <c r="A266" s="206"/>
      <c r="B266" s="207"/>
      <c r="C266" s="166"/>
      <c r="D266" s="209"/>
      <c r="E266" s="168" t="b">
        <v>0</v>
      </c>
      <c r="F266" s="169"/>
      <c r="G266" s="206"/>
      <c r="H266" s="206"/>
      <c r="I266" s="206"/>
      <c r="J266" s="216"/>
      <c r="K266" s="169"/>
    </row>
    <row r="267">
      <c r="A267" s="206"/>
      <c r="B267" s="207"/>
      <c r="C267" s="166"/>
      <c r="D267" s="209"/>
      <c r="E267" s="168" t="b">
        <v>0</v>
      </c>
      <c r="F267" s="169"/>
      <c r="G267" s="206"/>
      <c r="H267" s="206"/>
      <c r="I267" s="206"/>
      <c r="J267" s="216"/>
      <c r="K267" s="169"/>
    </row>
    <row r="268">
      <c r="A268" s="206"/>
      <c r="B268" s="207"/>
      <c r="C268" s="166"/>
      <c r="D268" s="209"/>
      <c r="E268" s="168" t="b">
        <v>0</v>
      </c>
      <c r="F268" s="169"/>
      <c r="G268" s="206"/>
      <c r="H268" s="206"/>
      <c r="I268" s="206"/>
      <c r="J268" s="216"/>
      <c r="K268" s="169"/>
    </row>
    <row r="269">
      <c r="A269" s="206"/>
      <c r="B269" s="207"/>
      <c r="C269" s="166"/>
      <c r="D269" s="209"/>
      <c r="E269" s="168" t="b">
        <v>0</v>
      </c>
      <c r="F269" s="169"/>
      <c r="G269" s="206"/>
      <c r="H269" s="206"/>
      <c r="I269" s="206"/>
      <c r="J269" s="216"/>
      <c r="K269" s="169"/>
    </row>
    <row r="270">
      <c r="A270" s="206"/>
      <c r="B270" s="207"/>
      <c r="C270" s="166"/>
      <c r="D270" s="209"/>
      <c r="E270" s="168" t="b">
        <v>0</v>
      </c>
      <c r="F270" s="169"/>
      <c r="G270" s="206"/>
      <c r="H270" s="206"/>
      <c r="I270" s="206"/>
      <c r="J270" s="216"/>
      <c r="K270" s="169"/>
    </row>
    <row r="271">
      <c r="A271" s="206"/>
      <c r="B271" s="207"/>
      <c r="C271" s="166"/>
      <c r="D271" s="209"/>
      <c r="E271" s="168" t="b">
        <v>0</v>
      </c>
      <c r="F271" s="169"/>
      <c r="G271" s="206"/>
      <c r="H271" s="206"/>
      <c r="I271" s="206"/>
      <c r="J271" s="216"/>
      <c r="K271" s="169"/>
    </row>
    <row r="272">
      <c r="A272" s="206"/>
      <c r="B272" s="207"/>
      <c r="C272" s="166"/>
      <c r="D272" s="209"/>
      <c r="E272" s="168" t="b">
        <v>0</v>
      </c>
      <c r="F272" s="169"/>
      <c r="G272" s="206"/>
      <c r="H272" s="206"/>
      <c r="I272" s="206"/>
      <c r="J272" s="216"/>
      <c r="K272" s="169"/>
    </row>
    <row r="273">
      <c r="A273" s="206"/>
      <c r="B273" s="207"/>
      <c r="C273" s="166"/>
      <c r="D273" s="209"/>
      <c r="E273" s="168" t="b">
        <v>0</v>
      </c>
      <c r="F273" s="169"/>
      <c r="G273" s="206"/>
      <c r="H273" s="206"/>
      <c r="I273" s="206"/>
      <c r="J273" s="216"/>
      <c r="K273" s="169"/>
    </row>
    <row r="274">
      <c r="A274" s="206"/>
      <c r="B274" s="207"/>
      <c r="C274" s="166"/>
      <c r="D274" s="209"/>
      <c r="E274" s="168" t="b">
        <v>0</v>
      </c>
      <c r="F274" s="169"/>
      <c r="G274" s="206"/>
      <c r="H274" s="206"/>
      <c r="I274" s="206"/>
      <c r="J274" s="216"/>
      <c r="K274" s="169"/>
    </row>
    <row r="275">
      <c r="A275" s="206"/>
      <c r="B275" s="207"/>
      <c r="C275" s="166"/>
      <c r="D275" s="209"/>
      <c r="E275" s="168" t="b">
        <v>0</v>
      </c>
      <c r="F275" s="169"/>
      <c r="G275" s="206"/>
      <c r="H275" s="206"/>
      <c r="I275" s="206"/>
      <c r="J275" s="216"/>
      <c r="K275" s="169"/>
    </row>
    <row r="276">
      <c r="A276" s="206"/>
      <c r="B276" s="207"/>
      <c r="C276" s="166"/>
      <c r="D276" s="209"/>
      <c r="E276" s="168" t="b">
        <v>0</v>
      </c>
      <c r="F276" s="169"/>
      <c r="G276" s="206"/>
      <c r="H276" s="206"/>
      <c r="I276" s="206"/>
      <c r="J276" s="216"/>
      <c r="K276" s="169"/>
    </row>
    <row r="277">
      <c r="A277" s="206"/>
      <c r="B277" s="207"/>
      <c r="C277" s="166"/>
      <c r="D277" s="209"/>
      <c r="E277" s="168" t="b">
        <v>0</v>
      </c>
      <c r="F277" s="169"/>
      <c r="G277" s="206"/>
      <c r="H277" s="206"/>
      <c r="I277" s="206"/>
      <c r="J277" s="216"/>
      <c r="K277" s="169"/>
    </row>
    <row r="278">
      <c r="A278" s="206"/>
      <c r="B278" s="207"/>
      <c r="C278" s="166"/>
      <c r="D278" s="209"/>
      <c r="E278" s="168" t="b">
        <v>0</v>
      </c>
      <c r="F278" s="169"/>
      <c r="G278" s="206"/>
      <c r="H278" s="206"/>
      <c r="I278" s="206"/>
      <c r="J278" s="216"/>
      <c r="K278" s="169"/>
    </row>
    <row r="279">
      <c r="A279" s="206"/>
      <c r="B279" s="207"/>
      <c r="C279" s="166"/>
      <c r="D279" s="209"/>
      <c r="E279" s="168" t="b">
        <v>0</v>
      </c>
      <c r="F279" s="169"/>
      <c r="G279" s="206"/>
      <c r="H279" s="206"/>
      <c r="I279" s="206"/>
      <c r="J279" s="216"/>
      <c r="K279" s="169"/>
    </row>
    <row r="280">
      <c r="A280" s="206"/>
      <c r="B280" s="207"/>
      <c r="C280" s="166"/>
      <c r="D280" s="209"/>
      <c r="E280" s="168" t="b">
        <v>0</v>
      </c>
      <c r="F280" s="169"/>
      <c r="G280" s="206"/>
      <c r="H280" s="206"/>
      <c r="I280" s="206"/>
      <c r="J280" s="216"/>
      <c r="K280" s="169"/>
    </row>
    <row r="281">
      <c r="A281" s="206"/>
      <c r="B281" s="207"/>
      <c r="C281" s="166"/>
      <c r="D281" s="209"/>
      <c r="E281" s="168" t="b">
        <v>0</v>
      </c>
      <c r="F281" s="169"/>
      <c r="G281" s="206"/>
      <c r="H281" s="206"/>
      <c r="I281" s="206"/>
      <c r="J281" s="216"/>
      <c r="K281" s="169"/>
    </row>
    <row r="282">
      <c r="A282" s="206"/>
      <c r="B282" s="207"/>
      <c r="C282" s="166"/>
      <c r="D282" s="209"/>
      <c r="E282" s="168" t="b">
        <v>0</v>
      </c>
      <c r="F282" s="169"/>
      <c r="G282" s="206"/>
      <c r="H282" s="206"/>
      <c r="I282" s="206"/>
      <c r="J282" s="216"/>
      <c r="K282" s="169"/>
    </row>
    <row r="283">
      <c r="A283" s="206"/>
      <c r="B283" s="207"/>
      <c r="C283" s="166"/>
      <c r="D283" s="209"/>
      <c r="E283" s="168" t="b">
        <v>0</v>
      </c>
      <c r="F283" s="169"/>
      <c r="G283" s="206"/>
      <c r="H283" s="206"/>
      <c r="I283" s="206"/>
      <c r="J283" s="216"/>
      <c r="K283" s="169"/>
    </row>
    <row r="284">
      <c r="A284" s="206"/>
      <c r="B284" s="207"/>
      <c r="C284" s="166"/>
      <c r="D284" s="209"/>
      <c r="E284" s="168" t="b">
        <v>0</v>
      </c>
      <c r="F284" s="169"/>
      <c r="G284" s="206"/>
      <c r="H284" s="206"/>
      <c r="I284" s="206"/>
      <c r="J284" s="216"/>
      <c r="K284" s="169"/>
    </row>
    <row r="285">
      <c r="A285" s="206"/>
      <c r="B285" s="207"/>
      <c r="C285" s="166"/>
      <c r="D285" s="209"/>
      <c r="E285" s="168" t="b">
        <v>0</v>
      </c>
      <c r="F285" s="169"/>
      <c r="G285" s="206"/>
      <c r="H285" s="206"/>
      <c r="I285" s="206"/>
      <c r="J285" s="216"/>
      <c r="K285" s="169"/>
    </row>
    <row r="286">
      <c r="A286" s="206"/>
      <c r="B286" s="207"/>
      <c r="C286" s="166"/>
      <c r="D286" s="209"/>
      <c r="E286" s="168" t="b">
        <v>0</v>
      </c>
      <c r="F286" s="169"/>
      <c r="G286" s="206"/>
      <c r="H286" s="206"/>
      <c r="I286" s="206"/>
      <c r="J286" s="216"/>
      <c r="K286" s="169"/>
    </row>
    <row r="287">
      <c r="A287" s="206"/>
      <c r="B287" s="207"/>
      <c r="C287" s="166"/>
      <c r="D287" s="209"/>
      <c r="E287" s="168" t="b">
        <v>0</v>
      </c>
      <c r="F287" s="169"/>
      <c r="G287" s="206"/>
      <c r="H287" s="206"/>
      <c r="I287" s="206"/>
      <c r="J287" s="216"/>
      <c r="K287" s="169"/>
    </row>
    <row r="288">
      <c r="A288" s="206"/>
      <c r="B288" s="207"/>
      <c r="C288" s="166"/>
      <c r="D288" s="209"/>
      <c r="E288" s="168" t="b">
        <v>0</v>
      </c>
      <c r="F288" s="169"/>
      <c r="G288" s="206"/>
      <c r="H288" s="206"/>
      <c r="I288" s="206"/>
      <c r="J288" s="216"/>
      <c r="K288" s="169"/>
    </row>
    <row r="289">
      <c r="A289" s="206"/>
      <c r="B289" s="207"/>
      <c r="C289" s="166"/>
      <c r="D289" s="209"/>
      <c r="E289" s="168" t="b">
        <v>0</v>
      </c>
      <c r="F289" s="169"/>
      <c r="G289" s="206"/>
      <c r="H289" s="206"/>
      <c r="I289" s="206"/>
      <c r="J289" s="216"/>
      <c r="K289" s="169"/>
    </row>
    <row r="290">
      <c r="A290" s="206"/>
      <c r="B290" s="207"/>
      <c r="C290" s="166"/>
      <c r="D290" s="209"/>
      <c r="E290" s="168" t="b">
        <v>0</v>
      </c>
      <c r="F290" s="169"/>
      <c r="G290" s="206"/>
      <c r="H290" s="206"/>
      <c r="I290" s="206"/>
      <c r="J290" s="216"/>
      <c r="K290" s="169"/>
    </row>
    <row r="291">
      <c r="A291" s="206"/>
      <c r="B291" s="207"/>
      <c r="C291" s="166"/>
      <c r="D291" s="209"/>
      <c r="E291" s="168" t="b">
        <v>0</v>
      </c>
      <c r="F291" s="169"/>
      <c r="G291" s="206"/>
      <c r="H291" s="206"/>
      <c r="I291" s="206"/>
      <c r="J291" s="216"/>
      <c r="K291" s="169"/>
    </row>
    <row r="292">
      <c r="A292" s="206"/>
      <c r="B292" s="207"/>
      <c r="C292" s="166"/>
      <c r="D292" s="209"/>
      <c r="E292" s="168" t="b">
        <v>0</v>
      </c>
      <c r="F292" s="169"/>
      <c r="G292" s="206"/>
      <c r="H292" s="206"/>
      <c r="I292" s="206"/>
      <c r="J292" s="216"/>
      <c r="K292" s="169"/>
    </row>
    <row r="293">
      <c r="A293" s="206"/>
      <c r="B293" s="207"/>
      <c r="C293" s="166"/>
      <c r="D293" s="209"/>
      <c r="E293" s="168" t="b">
        <v>0</v>
      </c>
      <c r="F293" s="169"/>
      <c r="G293" s="206"/>
      <c r="H293" s="206"/>
      <c r="I293" s="206"/>
      <c r="J293" s="216"/>
      <c r="K293" s="169"/>
    </row>
    <row r="294">
      <c r="A294" s="206"/>
      <c r="B294" s="207"/>
      <c r="C294" s="166"/>
      <c r="D294" s="209"/>
      <c r="E294" s="168" t="b">
        <v>0</v>
      </c>
      <c r="F294" s="169"/>
      <c r="G294" s="206"/>
      <c r="H294" s="206"/>
      <c r="I294" s="206"/>
      <c r="J294" s="216"/>
      <c r="K294" s="169"/>
    </row>
    <row r="295">
      <c r="A295" s="206"/>
      <c r="B295" s="207"/>
      <c r="C295" s="166"/>
      <c r="D295" s="209"/>
      <c r="E295" s="168" t="b">
        <v>0</v>
      </c>
      <c r="F295" s="169"/>
      <c r="G295" s="206"/>
      <c r="H295" s="206"/>
      <c r="I295" s="206"/>
      <c r="J295" s="216"/>
      <c r="K295" s="169"/>
    </row>
    <row r="296">
      <c r="A296" s="206"/>
      <c r="B296" s="207"/>
      <c r="C296" s="166"/>
      <c r="D296" s="209"/>
      <c r="E296" s="168" t="b">
        <v>0</v>
      </c>
      <c r="F296" s="169"/>
      <c r="G296" s="206"/>
      <c r="H296" s="206"/>
      <c r="I296" s="206"/>
      <c r="J296" s="216"/>
      <c r="K296" s="169"/>
    </row>
    <row r="297">
      <c r="A297" s="206"/>
      <c r="B297" s="207"/>
      <c r="C297" s="166"/>
      <c r="D297" s="209"/>
      <c r="E297" s="168" t="b">
        <v>0</v>
      </c>
      <c r="F297" s="169"/>
      <c r="G297" s="206"/>
      <c r="H297" s="206"/>
      <c r="I297" s="206"/>
      <c r="J297" s="216"/>
      <c r="K297" s="169"/>
    </row>
    <row r="298">
      <c r="A298" s="206"/>
      <c r="B298" s="207"/>
      <c r="C298" s="166"/>
      <c r="D298" s="209"/>
      <c r="E298" s="168" t="b">
        <v>0</v>
      </c>
      <c r="F298" s="169"/>
      <c r="G298" s="206"/>
      <c r="H298" s="206"/>
      <c r="I298" s="206"/>
      <c r="J298" s="216"/>
      <c r="K298" s="169"/>
    </row>
    <row r="299">
      <c r="A299" s="206"/>
      <c r="B299" s="207"/>
      <c r="C299" s="166"/>
      <c r="D299" s="209"/>
      <c r="E299" s="168" t="b">
        <v>0</v>
      </c>
      <c r="F299" s="169"/>
      <c r="G299" s="206"/>
      <c r="H299" s="206"/>
      <c r="I299" s="206"/>
      <c r="J299" s="216"/>
      <c r="K299" s="169"/>
    </row>
    <row r="300">
      <c r="A300" s="206"/>
      <c r="B300" s="207"/>
      <c r="C300" s="166"/>
      <c r="D300" s="209"/>
      <c r="E300" s="168" t="b">
        <v>0</v>
      </c>
      <c r="F300" s="169"/>
      <c r="G300" s="206"/>
      <c r="H300" s="206"/>
      <c r="I300" s="206"/>
      <c r="J300" s="216"/>
      <c r="K300" s="169"/>
    </row>
  </sheetData>
  <autoFilter ref="$A$1:$E$300"/>
  <mergeCells count="92">
    <mergeCell ref="G82:I82"/>
    <mergeCell ref="G86:I86"/>
    <mergeCell ref="G89:I89"/>
    <mergeCell ref="G95:I95"/>
    <mergeCell ref="G101:I101"/>
    <mergeCell ref="G104:I104"/>
    <mergeCell ref="G108:I108"/>
    <mergeCell ref="G111:I111"/>
    <mergeCell ref="G117:I117"/>
    <mergeCell ref="G120:I120"/>
    <mergeCell ref="G123:I123"/>
    <mergeCell ref="G126:I126"/>
    <mergeCell ref="G129:I129"/>
    <mergeCell ref="G135:I135"/>
    <mergeCell ref="G173:I173"/>
    <mergeCell ref="G176:I176"/>
    <mergeCell ref="G180:I180"/>
    <mergeCell ref="G139:I139"/>
    <mergeCell ref="G145:I145"/>
    <mergeCell ref="G148:I148"/>
    <mergeCell ref="G154:I154"/>
    <mergeCell ref="G160:I160"/>
    <mergeCell ref="G166:I166"/>
    <mergeCell ref="G169:I169"/>
    <mergeCell ref="J155:J158"/>
    <mergeCell ref="J161:J164"/>
    <mergeCell ref="J166:J167"/>
    <mergeCell ref="J173:J174"/>
    <mergeCell ref="J181:J184"/>
    <mergeCell ref="G186:I186"/>
    <mergeCell ref="G190:I190"/>
    <mergeCell ref="G193:I193"/>
    <mergeCell ref="G199:I199"/>
    <mergeCell ref="G203:I203"/>
    <mergeCell ref="G207:I207"/>
    <mergeCell ref="J208:J211"/>
    <mergeCell ref="G213:I213"/>
    <mergeCell ref="G217:I217"/>
    <mergeCell ref="G235:I235"/>
    <mergeCell ref="J235:J236"/>
    <mergeCell ref="G221:I221"/>
    <mergeCell ref="J221:J223"/>
    <mergeCell ref="G225:I225"/>
    <mergeCell ref="J225:J226"/>
    <mergeCell ref="G228:I228"/>
    <mergeCell ref="J228:J229"/>
    <mergeCell ref="G231:I231"/>
    <mergeCell ref="G1:I1"/>
    <mergeCell ref="G2:I2"/>
    <mergeCell ref="J2:J3"/>
    <mergeCell ref="G5:I5"/>
    <mergeCell ref="J6:J9"/>
    <mergeCell ref="G11:I11"/>
    <mergeCell ref="G14:I14"/>
    <mergeCell ref="G20:I20"/>
    <mergeCell ref="G23:I23"/>
    <mergeCell ref="G27:I27"/>
    <mergeCell ref="G31:I31"/>
    <mergeCell ref="G34:I34"/>
    <mergeCell ref="G38:I38"/>
    <mergeCell ref="G44:I44"/>
    <mergeCell ref="J11:J12"/>
    <mergeCell ref="J15:J18"/>
    <mergeCell ref="J20:J21"/>
    <mergeCell ref="J39:J42"/>
    <mergeCell ref="J49:J52"/>
    <mergeCell ref="J58:J59"/>
    <mergeCell ref="J61:J62"/>
    <mergeCell ref="G48:I48"/>
    <mergeCell ref="G54:I54"/>
    <mergeCell ref="G58:I58"/>
    <mergeCell ref="G61:I61"/>
    <mergeCell ref="G64:I64"/>
    <mergeCell ref="G70:I70"/>
    <mergeCell ref="G76:I76"/>
    <mergeCell ref="J65:J68"/>
    <mergeCell ref="J71:J74"/>
    <mergeCell ref="J77:J80"/>
    <mergeCell ref="J90:J93"/>
    <mergeCell ref="J96:J99"/>
    <mergeCell ref="J108:J109"/>
    <mergeCell ref="J112:J115"/>
    <mergeCell ref="J117:J118"/>
    <mergeCell ref="J120:J121"/>
    <mergeCell ref="J123:J124"/>
    <mergeCell ref="J130:J133"/>
    <mergeCell ref="J140:J143"/>
    <mergeCell ref="J145:J146"/>
    <mergeCell ref="J148:J152"/>
    <mergeCell ref="J186:J188"/>
    <mergeCell ref="J190:J191"/>
    <mergeCell ref="J194:J19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9.38"/>
    <col customWidth="1" min="3" max="3" width="18.5"/>
    <col customWidth="1" min="4" max="4" width="14.63"/>
    <col customWidth="1" min="6" max="6" width="23.88"/>
    <col customWidth="1" min="7" max="7" width="17.75"/>
    <col customWidth="1" min="8" max="8" width="17.38"/>
    <col customWidth="1" min="9" max="9" width="21.63"/>
    <col customWidth="1" min="10" max="10" width="18.13"/>
    <col customWidth="1" min="11" max="11" width="19.5"/>
    <col customWidth="1" hidden="1" min="12" max="12" width="19.5"/>
  </cols>
  <sheetData>
    <row r="1">
      <c r="A1" s="217" t="str">
        <f>'Decorações'!C2</f>
        <v>Aumentar chance de fusão</v>
      </c>
      <c r="B1" s="218" t="str">
        <f>'Decorações'!C22</f>
        <v>Aumentar drop de chaves</v>
      </c>
      <c r="C1" s="219" t="str">
        <f>'Decorações'!C26</f>
        <v>Aumentar preço de venda</v>
      </c>
      <c r="D1" s="218" t="str">
        <f>'Decorações'!C30</f>
        <v>Bônus de Maestria</v>
      </c>
      <c r="E1" s="218" t="str">
        <f>'Decorações'!C44</f>
        <v>Bônus de XP</v>
      </c>
      <c r="F1" s="218" t="str">
        <f>'Decorações'!C51</f>
        <v>Capacidade de armazenamento</v>
      </c>
      <c r="G1" s="218" t="str">
        <f>'Decorações'!C54</f>
        <v>Reduzir quebra de item</v>
      </c>
      <c r="H1" s="218" t="str">
        <f>'Decorações'!C58</f>
        <v>Reduzir tempo de cura</v>
      </c>
      <c r="I1" s="218" t="str">
        <f>'Decorações'!C67</f>
        <v>Reduzir tempo de fabricação</v>
      </c>
      <c r="J1" s="218" t="str">
        <f>'Decorações'!C88</f>
        <v>Reduzir tempo de fusão</v>
      </c>
      <c r="K1" s="218" t="str">
        <f>'Decorações'!C105</f>
        <v>Reduzir tempo de missão</v>
      </c>
      <c r="L1" s="220" t="s">
        <v>1186</v>
      </c>
    </row>
    <row r="2">
      <c r="A2" s="217">
        <f>SUMIFS('Decorações'!$B$2:$B6, 'Decorações'!$C$2:$C6, A1)</f>
        <v>0.59</v>
      </c>
      <c r="B2" s="217">
        <f>SUMIFS('Decorações'!$B$2:$B6, 'Decorações'!$C$2:$C6, B1)</f>
        <v>0.16</v>
      </c>
      <c r="C2" s="217">
        <f>SUMIFS('Decorações'!$B$2:$B6, 'Decorações'!$C$2:$C6, C1)</f>
        <v>0.33</v>
      </c>
      <c r="D2" s="217">
        <f>SUMIFS('Decorações'!$B$2:$B6, 'Decorações'!$C$2:$C6, D1)</f>
        <v>0.54</v>
      </c>
      <c r="E2" s="217">
        <f>SUMIFS('Decorações'!$B$2:$B6, 'Decorações'!$C$2:$C6, E1)</f>
        <v>0.6</v>
      </c>
      <c r="F2" s="221">
        <f>SUMIFS('Decorações'!$B$2:$B6, 'Decorações'!$C$2:$C6, F1)</f>
        <v>80</v>
      </c>
      <c r="G2" s="217">
        <f>SUMIFS('Decorações'!$B$2:$B6, 'Decorações'!$C$2:$C6, G1)</f>
        <v>0.22</v>
      </c>
      <c r="H2" s="217">
        <f>SUMIFS('Decorações'!$B$2:$B6, 'Decorações'!$C$2:$C6, H1)</f>
        <v>0.52</v>
      </c>
      <c r="I2" s="217">
        <f>SUMIFS('Decorações'!$B$2:$B6, 'Decorações'!$C$2:$C6, I1)</f>
        <v>0.81</v>
      </c>
      <c r="J2" s="217">
        <f>SUMIFS('Decorações'!$B$2:$B6, 'Decorações'!$C$2:$C6, J1)</f>
        <v>0.72</v>
      </c>
      <c r="K2" s="217">
        <f>SUMIFS('Decorações'!$B$2:$B6, 'Decorações'!$C$2:$C6, K1)</f>
        <v>0.88</v>
      </c>
      <c r="L2" s="220" t="b">
        <v>1</v>
      </c>
    </row>
    <row r="3">
      <c r="A3" s="222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</row>
    <row r="4">
      <c r="A4" s="217" t="str">
        <f>'Decorações'!C5</f>
        <v>Aumentar chance de fusão</v>
      </c>
      <c r="B4" s="218" t="str">
        <f>'Decorações'!C25</f>
        <v>Aumentar drop de chaves</v>
      </c>
      <c r="C4" s="219" t="str">
        <f>'Decorações'!C29</f>
        <v>Aumentar preço de venda</v>
      </c>
      <c r="D4" s="218" t="str">
        <f>'Decorações'!C33</f>
        <v>Bônus de Maestria</v>
      </c>
      <c r="E4" s="218" t="str">
        <f>'Decorações'!C47</f>
        <v>Bônus de XP</v>
      </c>
      <c r="F4" s="218" t="str">
        <f>'Decorações'!C51</f>
        <v>Capacidade de armazenamento</v>
      </c>
      <c r="G4" s="218" t="str">
        <f>'Decorações'!C57</f>
        <v>Reduzir quebra de item</v>
      </c>
      <c r="H4" s="218" t="str">
        <f>'Decorações'!C61</f>
        <v>Reduzir tempo de cura</v>
      </c>
      <c r="I4" s="218" t="str">
        <f>'Decorações'!C70</f>
        <v>Reduzir tempo de fabricação</v>
      </c>
      <c r="J4" s="218" t="str">
        <f>'Decorações'!C91</f>
        <v>Reduzir tempo de fusão</v>
      </c>
      <c r="K4" s="218" t="str">
        <f>'Decorações'!C108</f>
        <v>Reduzir tempo de missão</v>
      </c>
      <c r="L4" s="220" t="s">
        <v>1186</v>
      </c>
    </row>
    <row r="5">
      <c r="A5" s="217">
        <f>SUMIFS('Decorações'!$B$2:$B6, 'Decorações'!$C$2:$C6, A4, 'Decorações'!$E$2:$E6, $L$2)</f>
        <v>0.3</v>
      </c>
      <c r="B5" s="217">
        <f>SUMIFS('Decorações'!$B$2:$B6, 'Decorações'!$C$2:$C6, B4, 'Decorações'!$E$2:$E6, $L$2)</f>
        <v>0.12</v>
      </c>
      <c r="C5" s="217">
        <f>SUMIFS('Decorações'!$B$2:$B6, 'Decorações'!$C$2:$C6, C4, 'Decorações'!$E$2:$E6, $L$2)</f>
        <v>0.23</v>
      </c>
      <c r="D5" s="217">
        <f>SUMIFS('Decorações'!$B$2:$B6, 'Decorações'!$C$2:$C6, D4, 'Decorações'!$E$2:$E6, $L$2)</f>
        <v>0.19</v>
      </c>
      <c r="E5" s="217">
        <f>SUMIFS('Decorações'!$B$2:$B6, 'Decorações'!$C$2:$C6, E4, 'Decorações'!$E$2:$E6, $L$2)</f>
        <v>0.22</v>
      </c>
      <c r="F5" s="221">
        <f>SUMIFS('Decorações'!$B$2:$B6, 'Decorações'!$C$2:$C6, F4, 'Decorações'!$E$2:$E6, $L$2)</f>
        <v>20</v>
      </c>
      <c r="G5" s="217">
        <f>SUMIFS('Decorações'!$B$2:$B6, 'Decorações'!$C$2:$C6, G4, 'Decorações'!$E$2:$E6, $L$2)</f>
        <v>0.14</v>
      </c>
      <c r="H5" s="217">
        <f>SUMIFS('Decorações'!$B$2:$B6, 'Decorações'!$C$2:$C6, H4, 'Decorações'!$E$2:$E6, $L$2)</f>
        <v>0.37</v>
      </c>
      <c r="I5" s="217">
        <f>SUMIFS('Decorações'!$B$2:$B6, 'Decorações'!$C$2:$C6, I4, 'Decorações'!$E$2:$E6, $L$2)</f>
        <v>0.34</v>
      </c>
      <c r="J5" s="217">
        <f>SUMIFS('Decorações'!$B$2:$B6, 'Decorações'!$C$2:$C6, J4, 'Decorações'!$E$2:$E6, $L$2)</f>
        <v>0.54</v>
      </c>
      <c r="K5" s="217">
        <f>SUMIFS('Decorações'!$B$2:$B6, 'Decorações'!$C$2:$C6, K4, 'Decorações'!$E$2:$E6, $L$2)</f>
        <v>0.32</v>
      </c>
      <c r="L5" s="220" t="b">
        <v>1</v>
      </c>
    </row>
    <row r="6">
      <c r="A6" s="222"/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.38"/>
  </cols>
  <sheetData>
    <row r="1">
      <c r="A1" s="224" t="str">
        <f>IFERROR(__xludf.DUMMYFUNCTION("if('Time 1'!$C3 = ""Albert"", query(IMPORTRANGE(""15YC3Wi7qFmdVjHeW_UCnbsoqaugkIEVJhDMDhRjct1c"", ""Habilidades!A:A""), ""Select Col1 where Col1 = 'Cuidadoso 1' or Col1 = 'Fornecedor 1' or Col1 = 'Suporte 1'""),     
if('Time 1'!C3 = ""Alicia"", query(IMP"&amp;"ORTRANGE(""15YC3Wi7qFmdVjHeW_UCnbsoqaugkIEVJhDMDhRjct1c"", ""Habilidades!A:A""), ""Select Col1 where Col1 = 'Amazona 3' or Col1 = 'Energético 3' or Col1 = 'Sortudo 3'""), 
if('Time 1'!C3 = ""Azula"", query(IMPORTRANGE(""15YC3Wi7qFmdVjHeW_UCnbsoqaugkIEVJhD"&amp;"MDhRjct1c"", ""Habilidades!A:A""), ""Select Col1 where Col1 = 'Arquimago 2' or Col1 = 'Curandeiro 3' or Col1 = 'Sábio 3'""), 
if('Time 1'!C3 = ""Charles"", query(IMPORTRANGE(""15YC3Wi7qFmdVjHeW_UCnbsoqaugkIEVJhDMDhRjct1c"", ""Habilidades!A:A""), ""Select "&amp;"Col1 where Col1 = 'Armadura do Mago' or Col1 = 'Detectar segredo' or Col1 = 'Encontrar mágica'""), 
if('Time 1'!C3 = ""Clovis"", query(IMPORTRANGE(""15YC3Wi7qFmdVjHeW_UCnbsoqaugkIEVJhDMDhRjct1c"", ""Habilidades!A:A""), ""Select Col1 where Col1 = 'Defesa' "&amp;"or Col1 = 'Protetor 1' or Col1 = 'Comandante 1'""), 
if('Time 1'!C3 = ""Darthos"", query(IMPORTRANGE(""15YC3Wi7qFmdVjHeW_UCnbsoqaugkIEVJhDMDhRjct1c"", ""Habilidades!A:A""), ""Select Col1 where Col1 = 'Velocista 2' or Col1 = 'Sábio 2' or Col1 = 'Companheir"&amp;"o de Guerra 3'""), 
if('Time 1'!C3 = ""Edward"", query(IMPORTRANGE(""15YC3Wi7qFmdVjHeW_UCnbsoqaugkIEVJhDMDhRjct1c"", ""Habilidades!A:A""), ""Select Col1 where Col1 = 'Líder 3' or Col1 = 'Reviver 3' or Col1 = 'Protetor 3'""), 
if('Time 1'!C3 = ""Fiora"", q"&amp;"uery(IMPORTRANGE(""15YC3Wi7qFmdVjHeW_UCnbsoqaugkIEVJhDMDhRjct1c"", ""Habilidades!A:A""), ""Select Col1 where Col1 = 'Comandante 2' or Col1 = 'Ganancioso 2' or Col1 = 'Reviver 2'""), 
if('Time 1'!C3 = ""Francesca"", query(IMPORTRANGE(""15YC3Wi7qFmdVjHeW_UC"&amp;"nbsoqaugkIEVJhDMDhRjct1c"", ""Habilidades!A:A""), ""Select Col1 where Col1 = 'Cuidadoso 3' or Col1 = 'Fornecedor 3' or Col1 = 'Resistente 1'""), 
if('Time 1'!C3 = ""Garreth"", query(IMPORTRANGE(""15YC3Wi7qFmdVjHeW_UCnbsoqaugkIEVJhDMDhRjct1c"", ""Habilidad"&amp;"es!A:A""), ""Select Col1 where Col1 = 'Sortudo 1' or Col1 = 'Caça-tesouros 1' or Col1 = 'Catador 1'""), 
if('Time 1'!C3 = ""Gauvin"", query(IMPORTRANGE(""15YC3Wi7qFmdVjHeW_UCnbsoqaugkIEVJhDMDhRjct1c"", ""Habilidades!A:A""), ""Select Col1 where Col1 = 'Líd"&amp;"er 1' or Col1 = 'Companheiro de Guerra 1' or Col1 = 'Resistente 2'""), 
if('Time 1'!C3 = ""Irene"", query(IMPORTRANGE(""15YC3Wi7qFmdVjHeW_UCnbsoqaugkIEVJhDMDhRjct1c"", ""Habilidades!A:A""), ""Select Col1 where Col1 = 'Gangster 1' or Col1 = 'Fornecedor 2' "&amp;"or Col1 = 'Engenhoso 1'""), 
if('Time 1'!C3 = ""Karal"", query(IMPORTRANGE(""15YC3Wi7qFmdVjHeW_UCnbsoqaugkIEVJhDMDhRjct1c"", ""Habilidades!A:A""), ""Select Col1 where Col1 = 'Amazona 1' or Col1 = 'Resistente 1' or Col1 = 'Esmagar'""), 
if('Time 1'!C3 = """&amp;"Kuro Shobi"", query(IMPORTRANGE(""15YC3Wi7qFmdVjHeW_UCnbsoqaugkIEVJhDMDhRjct1c"", ""Habilidades!A:A""), ""Select Col1 where Col1 = 'Gangster 3' or Col1 = 'Engenhoso 3' or Col1 = 'Velocista 3'""), 
if('Time 1'!C3 = ""Kurul"", query(IMPORTRANGE(""15YC3Wi7qF"&amp;"mdVjHeW_UCnbsoqaugkIEVJhDMDhRjct1c"", ""Habilidades!A:A""), ""Select Col1 where Col1 = 'Catador 2' or Col1 = 'Energético 2' or Col1 = 'Líder 2'""), 
if('Time 1'!C3 = ""Lancaster"", query(IMPORTRANGE(""15YC3Wi7qFmdVjHeW_UCnbsoqaugkIEVJhDMDhRjct1c"", ""Habi"&amp;"lidades!A:A""), ""Select Col1 where Col1 = 'Engenhoso 2' or Col1 = 'Protetor 2' or Col1 = 'Companheiro de Guerra 2'""), 
if('Time 1'!C3 = ""Lorelei"", query(IMPORTRANGE(""15YC3Wi7qFmdVjHeW_UCnbsoqaugkIEVJhDMDhRjct1c"", ""Habilidades!A:A""), ""Select Col1 "&amp;"where Col1 = 'Sortudo 3' or Col1 = 'Emboscada' or Col1 = 'Catador 3'""), 
if('Time 1'!C3 = ""Louca"", query(IMPORTRANGE(""15YC3Wi7qFmdVjHeW_UCnbsoqaugkIEVJhDMDhRjct1c"", ""Habilidades!A:A""), ""Select Col1 where Col1 = 'Caça-tesouros 3' or Col1 = 'Catador"&amp;" 3' or Col1 = 'Suporte 3'""), 
if('Time 1'!C3 = ""Melina"", query(IMPORTRANGE(""15YC3Wi7qFmdVjHeW_UCnbsoqaugkIEVJhDMDhRjct1c"", ""Habilidades!A:A""), ""Select Col1 where Col1 = 'Bola de fogo' or Col1 = 'Sábio 1' or Col1 = 'Velocista 1'""), 
if('Time 1'!C3"&amp;" = ""Mila"", query(IMPORTRANGE(""15YC3Wi7qFmdVjHeW_UCnbsoqaugkIEVJhDMDhRjct1c"", ""Habilidades!A:A""), ""Select Col1 where Col1 = 'Caça-tesouros 2' or Col1 = 'Sortudo 2' or Col1 = 'Ganancioso 1'""), 
if('Time 1'!C3 = ""Minh"", query(IMPORTRANGE(""15YC3Wi7"&amp;"qFmdVjHeW_UCnbsoqaugkIEVJhDMDhRjct1c"", ""Habilidades!A:A""), ""Select Col1 where Col1 = 'Sábio 1' or Col1 = 'Curandeiro 1' or Col1 = 'Reviver 1'""), 
if('Time 1'!C3 = ""Mojian"", query(IMPORTRANGE(""15YC3Wi7qFmdVjHeW_UCnbsoqaugkIEVJhDMDhRjct1c"", ""Habil"&amp;"idades!A:A""), ""Select Col1 where Col1 = 'Comandante 3' or Col1 = 'Arquimago 3' or Col1 = 'Raio elétrico'""), 
if('Time 1'!C3 = ""Nya"", query(IMPORTRANGE(""15YC3Wi7qFmdVjHeW_UCnbsoqaugkIEVJhDMDhRjct1c"", ""Habilidades!A:A""), ""Select Col1 where Col1 = "&amp;"'Reviver 1' or Col1 = 'Arquimago 1' or Col1 = 'Cone-gélido'""), 
if('Time 1'!C3 = ""Odette"", query(IMPORTRANGE(""15YC3Wi7qFmdVjHeW_UCnbsoqaugkIEVJhDMDhRjct1c"", ""Habilidades!A:A""), ""Select Col1 where Col1 = 'Cuidadoso 2' or Col1 = 'Amazona 2' or Col1 "&amp;"= 'Suporte 2'""), 
if('Time 1'!C3 = ""Oneira"", query(IMPORTRANGE(""15YC3Wi7qFmdVjHeW_UCnbsoqaugkIEVJhDMDhRjct1c"", ""Habilidades!A:A""), ""Select Col1 where Col1 = 'Ganancioso 3' or Col1 = 'Curandeiro 2' or Col1 = 'Suporte 2'""), 
if('Time 1'!C3 = ""Pala"&amp;"sh"", query(IMPORTRANGE(""15YC3Wi7qFmdVjHeW_UCnbsoqaugkIEVJhDMDhRjct1c"", ""Habilidades!A:A""), ""Select Col1 where Col1 = 'Catador 1' or Col1 = 'Resistente 1' or Col1 = 'Fornecedor 1'""), 
if('Time 1'!C3 = ""Theor"", query(IMPORTRANGE(""15YC3Wi7qFmdVjHeW"&amp;"_UCnbsoqaugkIEVJhDMDhRjct1c"", ""Habilidades!A:A""), ""Select Col1 where Col1 = 'Companheiro de Guerra 1' or Col1 = 'Energético 1' or Col1 = 'Cortar'""), 
if('Time 1'!C3 = ""Yue"", query(IMPORTRANGE(""15YC3Wi7qFmdVjHeW_UCnbsoqaugkIEVJhDMDhRjct1c"", ""Habi"&amp;"lidades!A:A""), ""Select Col1 where Col1 = 'Resistente 3' or Col1 = 'Mestre das armas' or Col1 = 'Comandante 3'"")))))))))))))))))))))))))))))"),"Energético 2")</f>
        <v>Energético 2</v>
      </c>
      <c r="B1" s="224" t="str">
        <f>IFERROR(__xludf.DUMMYFUNCTION("if('Time 1'!$C4 = ""Albert"", query(IMPORTRANGE(""15YC3Wi7qFmdVjHeW_UCnbsoqaugkIEVJhDMDhRjct1c"", ""Habilidades!A:A""), ""Select Col1 where Col1 = 'Cuidadoso 1' or Col1 = 'Fornecedor 1' or Col1 = 'Suporte 1'""),     
if('Time 1'!C4 = ""Alicia"", query(IMP"&amp;"ORTRANGE(""15YC3Wi7qFmdVjHeW_UCnbsoqaugkIEVJhDMDhRjct1c"", ""Habilidades!A:A""), ""Select Col1 where Col1 = 'Amazona 3' or Col1 = 'Energético 3' or Col1 = 'Sortudo 3'""), 
if('Time 1'!C4 = ""Azula"", query(IMPORTRANGE(""15YC3Wi7qFmdVjHeW_UCnbsoqaugkIEVJhD"&amp;"MDhRjct1c"", ""Habilidades!A:A""), ""Select Col1 where Col1 = 'Arquimago 2' or Col1 = 'Curandeiro 3' or Col1 = 'Sábio 3'""), 
if('Time 1'!C4 = ""Charles"", query(IMPORTRANGE(""15YC3Wi7qFmdVjHeW_UCnbsoqaugkIEVJhDMDhRjct1c"", ""Habilidades!A:A""), ""Select "&amp;"Col1 where Col1 = 'Armadura do Mago' or Col1 = 'Detectar segredo' or Col1 = 'Encontrar mágica'""), 
if('Time 1'!C4 = ""Clovis"", query(IMPORTRANGE(""15YC3Wi7qFmdVjHeW_UCnbsoqaugkIEVJhDMDhRjct1c"", ""Habilidades!A:A""), ""Select Col1 where Col1 = 'Defesa' "&amp;"or Col1 = 'Protetor 1' or Col1 = 'Comandante 1'""), 
if('Time 1'!C4 = ""Darthos"", query(IMPORTRANGE(""15YC3Wi7qFmdVjHeW_UCnbsoqaugkIEVJhDMDhRjct1c"", ""Habilidades!A:A""), ""Select Col1 where Col1 = 'Velocista 2' or Col1 = 'Sábio 2' or Col1 = 'Companheir"&amp;"o de Guerra 3'""), 
if('Time 1'!C4 = ""Edward"", query(IMPORTRANGE(""15YC3Wi7qFmdVjHeW_UCnbsoqaugkIEVJhDMDhRjct1c"", ""Habilidades!A:A""), ""Select Col1 where Col1 = 'Líder 3' or Col1 = 'Reviver 3' or Col1 = 'Protetor 3'""), 
if('Time 1'!C4 = ""Fiora"", q"&amp;"uery(IMPORTRANGE(""15YC3Wi7qFmdVjHeW_UCnbsoqaugkIEVJhDMDhRjct1c"", ""Habilidades!A:A""), ""Select Col1 where Col1 = 'Comandante 2' or Col1 = 'Ganancioso 2' or Col1 = 'Reviver 2'""), 
if('Time 1'!C4 = ""Francesca"", query(IMPORTRANGE(""15YC3Wi7qFmdVjHeW_UC"&amp;"nbsoqaugkIEVJhDMDhRjct1c"", ""Habilidades!A:A""), ""Select Col1 where Col1 = 'Cuidadoso 3' or Col1 = 'Fornecedor 3' or Col1 = 'Resistente 1'""), 
if('Time 1'!C4 = ""Garreth"", query(IMPORTRANGE(""15YC3Wi7qFmdVjHeW_UCnbsoqaugkIEVJhDMDhRjct1c"", ""Habilidad"&amp;"es!A:A""), ""Select Col1 where Col1 = 'Sortudo 1' or Col1 = 'Caça-tesouros 1' or Col1 = 'Catador 1'""), 
if('Time 1'!C4 = ""Gauvin"", query(IMPORTRANGE(""15YC3Wi7qFmdVjHeW_UCnbsoqaugkIEVJhDMDhRjct1c"", ""Habilidades!A:A""), ""Select Col1 where Col1 = 'Líd"&amp;"er 1' or Col1 = 'Companheiro de Guerra 1' or Col1 = 'Resistente 2'""), 
if('Time 1'!C4 = ""Irene"", query(IMPORTRANGE(""15YC3Wi7qFmdVjHeW_UCnbsoqaugkIEVJhDMDhRjct1c"", ""Habilidades!A:A""), ""Select Col1 where Col1 = 'Gangster 1' or Col1 = 'Fornecedor 2' "&amp;"or Col1 = 'Engenhoso 1'""), 
if('Time 1'!C4 = ""Karal"", query(IMPORTRANGE(""15YC3Wi7qFmdVjHeW_UCnbsoqaugkIEVJhDMDhRjct1c"", ""Habilidades!A:A""), ""Select Col1 where Col1 = 'Amazona 1' or Col1 = 'Resistente 1' or Col1 = 'Esmagar'""), 
if('Time 1'!C4 = """&amp;"Kuro Shobi"", query(IMPORTRANGE(""15YC3Wi7qFmdVjHeW_UCnbsoqaugkIEVJhDMDhRjct1c"", ""Habilidades!A:A""), ""Select Col1 where Col1 = 'Gangster 3' or Col1 = 'Engenhoso 3' or Col1 = 'Velocista 3'""), 
if('Time 1'!C4 = ""Kurul"", query(IMPORTRANGE(""15YC3Wi7qF"&amp;"mdVjHeW_UCnbsoqaugkIEVJhDMDhRjct1c"", ""Habilidades!A:A""), ""Select Col1 where Col1 = 'Catador 2' or Col1 = 'Energético 2' or Col1 = 'Líder 2'""), 
if('Time 1'!C4 = ""Lancaster"", query(IMPORTRANGE(""15YC3Wi7qFmdVjHeW_UCnbsoqaugkIEVJhDMDhRjct1c"", ""Habi"&amp;"lidades!A:A""), ""Select Col1 where Col1 = 'Engenhoso 2' or Col1 = 'Protetor 2' or Col1 = 'Companheiro de Guerra 2'""), 
if('Time 1'!C4 = ""Lorelei"", query(IMPORTRANGE(""15YC3Wi7qFmdVjHeW_UCnbsoqaugkIEVJhDMDhRjct1c"", ""Habilidades!A:A""), ""Select Col1 "&amp;"where Col1 = 'Sortudo 3' or Col1 = 'Emboscada' or Col1 = 'Catador 3'""), 
if('Time 1'!C4 = ""Louca"", query(IMPORTRANGE(""15YC3Wi7qFmdVjHeW_UCnbsoqaugkIEVJhDMDhRjct1c"", ""Habilidades!A:A""), ""Select Col1 where Col1 = 'Caça-tesouros 3' or Col1 = 'Catador"&amp;" 3' or Col1 = 'Suporte 3'""), 
if('Time 1'!C4 = ""Melina"", query(IMPORTRANGE(""15YC3Wi7qFmdVjHeW_UCnbsoqaugkIEVJhDMDhRjct1c"", ""Habilidades!A:A""), ""Select Col1 where Col1 = 'Bola de fogo' or Col1 = 'Sábio 1' or Col1 = 'Velocista 1'""), 
if('Time 1'!C4"&amp;" = ""Mila"", query(IMPORTRANGE(""15YC3Wi7qFmdVjHeW_UCnbsoqaugkIEVJhDMDhRjct1c"", ""Habilidades!A:A""), ""Select Col1 where Col1 = 'Caça-tesouros 2' or Col1 = 'Sortudo 2' or Col1 = 'Ganancioso 1'""), 
if('Time 1'!C4 = ""Minh"", query(IMPORTRANGE(""15YC3Wi7"&amp;"qFmdVjHeW_UCnbsoqaugkIEVJhDMDhRjct1c"", ""Habilidades!A:A""), ""Select Col1 where Col1 = 'Sábio 1' or Col1 = 'Curandeiro 1' or Col1 = 'Reviver 1'""), 
if('Time 1'!C4 = ""Mojian"", query(IMPORTRANGE(""15YC3Wi7qFmdVjHeW_UCnbsoqaugkIEVJhDMDhRjct1c"", ""Habil"&amp;"idades!A:A""), ""Select Col1 where Col1 = 'Comandante 3' or Col1 = 'Arquimago 3' or Col1 = 'Raio elétrico'""), 
if('Time 1'!C4 = ""Nya"", query(IMPORTRANGE(""15YC3Wi7qFmdVjHeW_UCnbsoqaugkIEVJhDMDhRjct1c"", ""Habilidades!A:A""), ""Select Col1 where Col1 = "&amp;"'Reviver 1' or Col1 = 'Arquimago 1' or Col1 = 'Cone-gélido'""), 
if('Time 1'!C4 = ""Odette"", query(IMPORTRANGE(""15YC3Wi7qFmdVjHeW_UCnbsoqaugkIEVJhDMDhRjct1c"", ""Habilidades!A:A""), ""Select Col1 where Col1 = 'Cuidadoso 2' or Col1 = 'Amazona 2' or Col1 "&amp;"= 'Suporte 2'""), 
if('Time 1'!C4 = ""Oneira"", query(IMPORTRANGE(""15YC3Wi7qFmdVjHeW_UCnbsoqaugkIEVJhDMDhRjct1c"", ""Habilidades!A:A""), ""Select Col1 where Col1 = 'Ganancioso 3' or Col1 = 'Curandeiro 2' or Col1 = 'Suporte 2'""), 
if('Time 1'!C4 = ""Pala"&amp;"sh"", query(IMPORTRANGE(""15YC3Wi7qFmdVjHeW_UCnbsoqaugkIEVJhDMDhRjct1c"", ""Habilidades!A:A""), ""Select Col1 where Col1 = 'Catador 1' or Col1 = 'Resistente 1' or Col1 = 'Fornecedor 1'""), 
if('Time 1'!C4 = ""Theor"", query(IMPORTRANGE(""15YC3Wi7qFmdVjHeW"&amp;"_UCnbsoqaugkIEVJhDMDhRjct1c"", ""Habilidades!A:A""), ""Select Col1 where Col1 = 'Companheiro de Guerra 1' or Col1 = 'Energético 1' or Col1 = 'Cortar'""), 
if('Time 1'!C4 = ""Yue"", query(IMPORTRANGE(""15YC3Wi7qFmdVjHeW_UCnbsoqaugkIEVJhDMDhRjct1c"", ""Habi"&amp;"lidades!A:A""), ""Select Col1 where Col1 = 'Resistente 3' or Col1 = 'Mestre das armas' or Col1 = 'Comandante 3'"")))))))))))))))))))))))))))))"),"Raio elétrico")</f>
        <v>Raio elétrico</v>
      </c>
      <c r="C1" s="224" t="str">
        <f>IFERROR(__xludf.DUMMYFUNCTION("if('Time 1'!$C5 = ""Albert"", query(IMPORTRANGE(""15YC3Wi7qFmdVjHeW_UCnbsoqaugkIEVJhDMDhRjct1c"", ""Habilidades!A:A""), ""Select Col1 where Col1 = 'Cuidadoso 1' or Col1 = 'Fornecedor 1' or Col1 = 'Suporte 1'""),     
if('Time 1'!C5 = ""Alicia"", query(IMP"&amp;"ORTRANGE(""15YC3Wi7qFmdVjHeW_UCnbsoqaugkIEVJhDMDhRjct1c"", ""Habilidades!A:A""), ""Select Col1 where Col1 = 'Amazona 3' or Col1 = 'Energético 3' or Col1 = 'Sortudo 3'""), 
if('Time 1'!C5 = ""Azula"", query(IMPORTRANGE(""15YC3Wi7qFmdVjHeW_UCnbsoqaugkIEVJhD"&amp;"MDhRjct1c"", ""Habilidades!A:A""), ""Select Col1 where Col1 = 'Arquimago 2' or Col1 = 'Curandeiro 3' or Col1 = 'Sábio 3'""), 
if('Time 1'!C5 = ""Charles"", query(IMPORTRANGE(""15YC3Wi7qFmdVjHeW_UCnbsoqaugkIEVJhDMDhRjct1c"", ""Habilidades!A:A""), ""Select "&amp;"Col1 where Col1 = 'Armadura do Mago' or Col1 = 'Detectar segredo' or Col1 = 'Encontrar mágica'""), 
if('Time 1'!C5 = ""Clovis"", query(IMPORTRANGE(""15YC3Wi7qFmdVjHeW_UCnbsoqaugkIEVJhDMDhRjct1c"", ""Habilidades!A:A""), ""Select Col1 where Col1 = 'Defesa' "&amp;"or Col1 = 'Protetor 1' or Col1 = 'Comandante 1'""), 
if('Time 1'!C5 = ""Darthos"", query(IMPORTRANGE(""15YC3Wi7qFmdVjHeW_UCnbsoqaugkIEVJhDMDhRjct1c"", ""Habilidades!A:A""), ""Select Col1 where Col1 = 'Velocista 2' or Col1 = 'Sábio 2' or Col1 = 'Companheir"&amp;"o de Guerra 3'""), 
if('Time 1'!C5 = ""Edward"", query(IMPORTRANGE(""15YC3Wi7qFmdVjHeW_UCnbsoqaugkIEVJhDMDhRjct1c"", ""Habilidades!A:A""), ""Select Col1 where Col1 = 'Líder 3' or Col1 = 'Reviver 3' or Col1 = 'Protetor 3'""), 
if('Time 1'!C5 = ""Fiora"", q"&amp;"uery(IMPORTRANGE(""15YC3Wi7qFmdVjHeW_UCnbsoqaugkIEVJhDMDhRjct1c"", ""Habilidades!A:A""), ""Select Col1 where Col1 = 'Comandante 2' or Col1 = 'Ganancioso 2' or Col1 = 'Reviver 2'""), 
if('Time 1'!C5 = ""Francesca"", query(IMPORTRANGE(""15YC3Wi7qFmdVjHeW_UC"&amp;"nbsoqaugkIEVJhDMDhRjct1c"", ""Habilidades!A:A""), ""Select Col1 where Col1 = 'Cuidadoso 3' or Col1 = 'Fornecedor 3' or Col1 = 'Resistente 1'""), 
if('Time 1'!C5 = ""Garreth"", query(IMPORTRANGE(""15YC3Wi7qFmdVjHeW_UCnbsoqaugkIEVJhDMDhRjct1c"", ""Habilidad"&amp;"es!A:A""), ""Select Col1 where Col1 = 'Sortudo 1' or Col1 = 'Caça-tesouros 1' or Col1 = 'Catador 1'""), 
if('Time 1'!C5 = ""Gauvin"", query(IMPORTRANGE(""15YC3Wi7qFmdVjHeW_UCnbsoqaugkIEVJhDMDhRjct1c"", ""Habilidades!A:A""), ""Select Col1 where Col1 = 'Líd"&amp;"er 1' or Col1 = 'Companheiro de Guerra 1' or Col1 = 'Resistente 2'""), 
if('Time 1'!C5 = ""Irene"", query(IMPORTRANGE(""15YC3Wi7qFmdVjHeW_UCnbsoqaugkIEVJhDMDhRjct1c"", ""Habilidades!A:A""), ""Select Col1 where Col1 = 'Gangster 1' or Col1 = 'Fornecedor 2' "&amp;"or Col1 = 'Engenhoso 1'""), 
if('Time 1'!C5 = ""Karal"", query(IMPORTRANGE(""15YC3Wi7qFmdVjHeW_UCnbsoqaugkIEVJhDMDhRjct1c"", ""Habilidades!A:A""), ""Select Col1 where Col1 = 'Amazona 1' or Col1 = 'Resistente 1' or Col1 = 'Esmagar'""), 
if('Time 1'!C5 = """&amp;"Kuro Shobi"", query(IMPORTRANGE(""15YC3Wi7qFmdVjHeW_UCnbsoqaugkIEVJhDMDhRjct1c"", ""Habilidades!A:A""), ""Select Col1 where Col1 = 'Gangster 3' or Col1 = 'Engenhoso 3' or Col1 = 'Velocista 3'""), 
if('Time 1'!C5 = ""Kurul"", query(IMPORTRANGE(""15YC3Wi7qF"&amp;"mdVjHeW_UCnbsoqaugkIEVJhDMDhRjct1c"", ""Habilidades!A:A""), ""Select Col1 where Col1 = 'Catador 2' or Col1 = 'Energético 2' or Col1 = 'Líder 2'""), 
if('Time 1'!C5 = ""Lancaster"", query(IMPORTRANGE(""15YC3Wi7qFmdVjHeW_UCnbsoqaugkIEVJhDMDhRjct1c"", ""Habi"&amp;"lidades!A:A""), ""Select Col1 where Col1 = 'Engenhoso 2' or Col1 = 'Protetor 2' or Col1 = 'Companheiro de Guerra 2'""), 
if('Time 1'!C5 = ""Lorelei"", query(IMPORTRANGE(""15YC3Wi7qFmdVjHeW_UCnbsoqaugkIEVJhDMDhRjct1c"", ""Habilidades!A:A""), ""Select Col1 "&amp;"where Col1 = 'Sortudo 3' or Col1 = 'Emboscada' or Col1 = 'Catador 3'""), 
if('Time 1'!C5 = ""Louca"", query(IMPORTRANGE(""15YC3Wi7qFmdVjHeW_UCnbsoqaugkIEVJhDMDhRjct1c"", ""Habilidades!A:A""), ""Select Col1 where Col1 = 'Caça-tesouros 3' or Col1 = 'Catador"&amp;" 3' or Col1 = 'Suporte 3'""), 
if('Time 1'!C5 = ""Melina"", query(IMPORTRANGE(""15YC3Wi7qFmdVjHeW_UCnbsoqaugkIEVJhDMDhRjct1c"", ""Habilidades!A:A""), ""Select Col1 where Col1 = 'Bola de fogo' or Col1 = 'Sábio 1' or Col1 = 'Velocista 1'""), 
if('Time 1'!C5"&amp;" = ""Mila"", query(IMPORTRANGE(""15YC3Wi7qFmdVjHeW_UCnbsoqaugkIEVJhDMDhRjct1c"", ""Habilidades!A:A""), ""Select Col1 where Col1 = 'Caça-tesouros 2' or Col1 = 'Sortudo 2' or Col1 = 'Ganancioso 1'""), 
if('Time 1'!C5 = ""Minh"", query(IMPORTRANGE(""15YC3Wi7"&amp;"qFmdVjHeW_UCnbsoqaugkIEVJhDMDhRjct1c"", ""Habilidades!A:A""), ""Select Col1 where Col1 = 'Sábio 1' or Col1 = 'Curandeiro 1' or Col1 = 'Reviver 1'""), 
if('Time 1'!C5 = ""Mojian"", query(IMPORTRANGE(""15YC3Wi7qFmdVjHeW_UCnbsoqaugkIEVJhDMDhRjct1c"", ""Habil"&amp;"idades!A:A""), ""Select Col1 where Col1 = 'Comandante 3' or Col1 = 'Arquimago 3' or Col1 = 'Raio elétrico'""), 
if('Time 1'!C5 = ""Nya"", query(IMPORTRANGE(""15YC3Wi7qFmdVjHeW_UCnbsoqaugkIEVJhDMDhRjct1c"", ""Habilidades!A:A""), ""Select Col1 where Col1 = "&amp;"'Reviver 1' or Col1 = 'Arquimago 1' or Col1 = 'Cone-gélido'""), 
if('Time 1'!C5 = ""Odette"", query(IMPORTRANGE(""15YC3Wi7qFmdVjHeW_UCnbsoqaugkIEVJhDMDhRjct1c"", ""Habilidades!A:A""), ""Select Col1 where Col1 = 'Cuidadoso 2' or Col1 = 'Amazona 2' or Col1 "&amp;"= 'Suporte 2'""), 
if('Time 1'!C5 = ""Oneira"", query(IMPORTRANGE(""15YC3Wi7qFmdVjHeW_UCnbsoqaugkIEVJhDMDhRjct1c"", ""Habilidades!A:A""), ""Select Col1 where Col1 = 'Ganancioso 3' or Col1 = 'Curandeiro 2' or Col1 = 'Suporte 2'""), 
if('Time 1'!C5 = ""Pala"&amp;"sh"", query(IMPORTRANGE(""15YC3Wi7qFmdVjHeW_UCnbsoqaugkIEVJhDMDhRjct1c"", ""Habilidades!A:A""), ""Select Col1 where Col1 = 'Catador 1' or Col1 = 'Resistente 1' or Col1 = 'Fornecedor 1'""), 
if('Time 1'!C5 = ""Theor"", query(IMPORTRANGE(""15YC3Wi7qFmdVjHeW"&amp;"_UCnbsoqaugkIEVJhDMDhRjct1c"", ""Habilidades!A:A""), ""Select Col1 where Col1 = 'Companheiro de Guerra 1' or Col1 = 'Energético 1' or Col1 = 'Cortar'""), 
if('Time 1'!C5 = ""Yue"", query(IMPORTRANGE(""15YC3Wi7qFmdVjHeW_UCnbsoqaugkIEVJhDMDhRjct1c"", ""Habi"&amp;"lidades!A:A""), ""Select Col1 where Col1 = 'Resistente 3' or Col1 = 'Mestre das armas' or Col1 = 'Comandante 3'"")))))))))))))))))))))))))))))"),"Protetor 3")</f>
        <v>Protetor 3</v>
      </c>
      <c r="D1" s="224" t="str">
        <f>IFERROR(__xludf.DUMMYFUNCTION("if('Time 1'!$C6 = ""Albert"", query(IMPORTRANGE(""15YC3Wi7qFmdVjHeW_UCnbsoqaugkIEVJhDMDhRjct1c"", ""Habilidades!A:A""), ""Select Col1 where Col1 = 'Cuidadoso 1' or Col1 = 'Fornecedor 1' or Col1 = 'Suporte 1'""),     
if('Time 1'!C6 = ""Alicia"", query(IMP"&amp;"ORTRANGE(""15YC3Wi7qFmdVjHeW_UCnbsoqaugkIEVJhDMDhRjct1c"", ""Habilidades!A:A""), ""Select Col1 where Col1 = 'Amazona 3' or Col1 = 'Energético 3' or Col1 = 'Sortudo 3'""), 
if('Time 1'!C6 = ""Azula"", query(IMPORTRANGE(""15YC3Wi7qFmdVjHeW_UCnbsoqaugkIEVJhD"&amp;"MDhRjct1c"", ""Habilidades!A:A""), ""Select Col1 where Col1 = 'Arquimago 2' or Col1 = 'Curandeiro 3' or Col1 = 'Sábio 3'""), 
if('Time 1'!C6 = ""Charles"", query(IMPORTRANGE(""15YC3Wi7qFmdVjHeW_UCnbsoqaugkIEVJhDMDhRjct1c"", ""Habilidades!A:A""), ""Select "&amp;"Col1 where Col1 = 'Armadura do Mago' or Col1 = 'Detectar segredo' or Col1 = 'Encontrar mágica'""), 
if('Time 1'!C6 = ""Clovis"", query(IMPORTRANGE(""15YC3Wi7qFmdVjHeW_UCnbsoqaugkIEVJhDMDhRjct1c"", ""Habilidades!A:A""), ""Select Col1 where Col1 = 'Defesa' "&amp;"or Col1 = 'Protetor 1' or Col1 = 'Comandante 1'""), 
if('Time 1'!C6 = ""Darthos"", query(IMPORTRANGE(""15YC3Wi7qFmdVjHeW_UCnbsoqaugkIEVJhDMDhRjct1c"", ""Habilidades!A:A""), ""Select Col1 where Col1 = 'Velocista 2' or Col1 = 'Sábio 2' or Col1 = 'Companheir"&amp;"o de Guerra 3'""), 
if('Time 1'!C6 = ""Edward"", query(IMPORTRANGE(""15YC3Wi7qFmdVjHeW_UCnbsoqaugkIEVJhDMDhRjct1c"", ""Habilidades!A:A""), ""Select Col1 where Col1 = 'Líder 3' or Col1 = 'Reviver 3' or Col1 = 'Protetor 3'""), 
if('Time 1'!C6 = ""Fiora"", q"&amp;"uery(IMPORTRANGE(""15YC3Wi7qFmdVjHeW_UCnbsoqaugkIEVJhDMDhRjct1c"", ""Habilidades!A:A""), ""Select Col1 where Col1 = 'Comandante 2' or Col1 = 'Ganancioso 2' or Col1 = 'Reviver 2'""), 
if('Time 1'!C6 = ""Francesca"", query(IMPORTRANGE(""15YC3Wi7qFmdVjHeW_UC"&amp;"nbsoqaugkIEVJhDMDhRjct1c"", ""Habilidades!A:A""), ""Select Col1 where Col1 = 'Cuidadoso 3' or Col1 = 'Fornecedor 3' or Col1 = 'Resistente 1'""), 
if('Time 1'!C6 = ""Garreth"", query(IMPORTRANGE(""15YC3Wi7qFmdVjHeW_UCnbsoqaugkIEVJhDMDhRjct1c"", ""Habilidad"&amp;"es!A:A""), ""Select Col1 where Col1 = 'Sortudo 1' or Col1 = 'Caça-tesouros 1' or Col1 = 'Catador 1'""), 
if('Time 1'!C6 = ""Gauvin"", query(IMPORTRANGE(""15YC3Wi7qFmdVjHeW_UCnbsoqaugkIEVJhDMDhRjct1c"", ""Habilidades!A:A""), ""Select Col1 where Col1 = 'Líd"&amp;"er 1' or Col1 = 'Companheiro de Guerra 1' or Col1 = 'Resistente 2'""), 
if('Time 1'!C6 = ""Irene"", query(IMPORTRANGE(""15YC3Wi7qFmdVjHeW_UCnbsoqaugkIEVJhDMDhRjct1c"", ""Habilidades!A:A""), ""Select Col1 where Col1 = 'Gangster 1' or Col1 = 'Fornecedor 2' "&amp;"or Col1 = 'Engenhoso 1'""), 
if('Time 1'!C6 = ""Karal"", query(IMPORTRANGE(""15YC3Wi7qFmdVjHeW_UCnbsoqaugkIEVJhDMDhRjct1c"", ""Habilidades!A:A""), ""Select Col1 where Col1 = 'Amazona 1' or Col1 = 'Resistente 1' or Col1 = 'Esmagar'""), 
if('Time 1'!C6 = """&amp;"Kuro Shobi"", query(IMPORTRANGE(""15YC3Wi7qFmdVjHeW_UCnbsoqaugkIEVJhDMDhRjct1c"", ""Habilidades!A:A""), ""Select Col1 where Col1 = 'Gangster 3' or Col1 = 'Engenhoso 3' or Col1 = 'Velocista 3'""), 
if('Time 1'!C6 = ""Kurul"", query(IMPORTRANGE(""15YC3Wi7qF"&amp;"mdVjHeW_UCnbsoqaugkIEVJhDMDhRjct1c"", ""Habilidades!A:A""), ""Select Col1 where Col1 = 'Catador 2' or Col1 = 'Energético 2' or Col1 = 'Líder 2'""), 
if('Time 1'!C6 = ""Lancaster"", query(IMPORTRANGE(""15YC3Wi7qFmdVjHeW_UCnbsoqaugkIEVJhDMDhRjct1c"", ""Habi"&amp;"lidades!A:A""), ""Select Col1 where Col1 = 'Engenhoso 2' or Col1 = 'Protetor 2' or Col1 = 'Companheiro de Guerra 2'""), 
if('Time 1'!C6 = ""Lorelei"", query(IMPORTRANGE(""15YC3Wi7qFmdVjHeW_UCnbsoqaugkIEVJhDMDhRjct1c"", ""Habilidades!A:A""), ""Select Col1 "&amp;"where Col1 = 'Sortudo 3' or Col1 = 'Emboscada' or Col1 = 'Catador 3'""), 
if('Time 1'!C6 = ""Louca"", query(IMPORTRANGE(""15YC3Wi7qFmdVjHeW_UCnbsoqaugkIEVJhDMDhRjct1c"", ""Habilidades!A:A""), ""Select Col1 where Col1 = 'Caça-tesouros 3' or Col1 = 'Catador"&amp;" 3' or Col1 = 'Suporte 3'""), 
if('Time 1'!C6 = ""Melina"", query(IMPORTRANGE(""15YC3Wi7qFmdVjHeW_UCnbsoqaugkIEVJhDMDhRjct1c"", ""Habilidades!A:A""), ""Select Col1 where Col1 = 'Bola de fogo' or Col1 = 'Sábio 1' or Col1 = 'Velocista 1'""), 
if('Time 1'!C6"&amp;" = ""Mila"", query(IMPORTRANGE(""15YC3Wi7qFmdVjHeW_UCnbsoqaugkIEVJhDMDhRjct1c"", ""Habilidades!A:A""), ""Select Col1 where Col1 = 'Caça-tesouros 2' or Col1 = 'Sortudo 2' or Col1 = 'Ganancioso 1'""), 
if('Time 1'!C6 = ""Minh"", query(IMPORTRANGE(""15YC3Wi7"&amp;"qFmdVjHeW_UCnbsoqaugkIEVJhDMDhRjct1c"", ""Habilidades!A:A""), ""Select Col1 where Col1 = 'Sábio 1' or Col1 = 'Curandeiro 1' or Col1 = 'Reviver 1'""), 
if('Time 1'!C6 = ""Mojian"", query(IMPORTRANGE(""15YC3Wi7qFmdVjHeW_UCnbsoqaugkIEVJhDMDhRjct1c"", ""Habil"&amp;"idades!A:A""), ""Select Col1 where Col1 = 'Comandante 3' or Col1 = 'Arquimago 3' or Col1 = 'Raio elétrico'""), 
if('Time 1'!C6 = ""Nya"", query(IMPORTRANGE(""15YC3Wi7qFmdVjHeW_UCnbsoqaugkIEVJhDMDhRjct1c"", ""Habilidades!A:A""), ""Select Col1 where Col1 = "&amp;"'Reviver 1' or Col1 = 'Arquimago 1' or Col1 = 'Cone-gélido'""), 
if('Time 1'!C6 = ""Odette"", query(IMPORTRANGE(""15YC3Wi7qFmdVjHeW_UCnbsoqaugkIEVJhDMDhRjct1c"", ""Habilidades!A:A""), ""Select Col1 where Col1 = 'Cuidadoso 2' or Col1 = 'Amazona 2' or Col1 "&amp;"= 'Suporte 2'""), 
if('Time 1'!C6 = ""Oneira"", query(IMPORTRANGE(""15YC3Wi7qFmdVjHeW_UCnbsoqaugkIEVJhDMDhRjct1c"", ""Habilidades!A:A""), ""Select Col1 where Col1 = 'Ganancioso 3' or Col1 = 'Curandeiro 2' or Col1 = 'Suporte 2'""), 
if('Time 1'!C6 = ""Pala"&amp;"sh"", query(IMPORTRANGE(""15YC3Wi7qFmdVjHeW_UCnbsoqaugkIEVJhDMDhRjct1c"", ""Habilidades!A:A""), ""Select Col1 where Col1 = 'Catador 1' or Col1 = 'Resistente 1' or Col1 = 'Fornecedor 1'""), 
if('Time 1'!C6 = ""Theor"", query(IMPORTRANGE(""15YC3Wi7qFmdVjHeW"&amp;"_UCnbsoqaugkIEVJhDMDhRjct1c"", ""Habilidades!A:A""), ""Select Col1 where Col1 = 'Companheiro de Guerra 1' or Col1 = 'Energético 1' or Col1 = 'Cortar'""), 
if('Time 1'!C6 = ""Yue"", query(IMPORTRANGE(""15YC3Wi7qFmdVjHeW_UCnbsoqaugkIEVJhDMDhRjct1c"", ""Habi"&amp;"lidades!A:A""), ""Select Col1 where Col1 = 'Resistente 3' or Col1 = 'Mestre das armas' or Col1 = 'Comandante 3'"")))))))))))))))))))))))))))))"),"Emboscada")</f>
        <v>Emboscada</v>
      </c>
      <c r="E1" s="224" t="str">
        <f>IFERROR(__xludf.DUMMYFUNCTION("if('Time 1'!$C7 = ""Albert"", query(IMPORTRANGE(""15YC3Wi7qFmdVjHeW_UCnbsoqaugkIEVJhDMDhRjct1c"", ""Habilidades!A:A""), ""Select Col1 where Col1 = 'Cuidadoso 1' or Col1 = 'Fornecedor 1' or Col1 = 'Suporte 1'""),     
if('Time 1'!C7 = ""Alicia"", query(IMP"&amp;"ORTRANGE(""15YC3Wi7qFmdVjHeW_UCnbsoqaugkIEVJhDMDhRjct1c"", ""Habilidades!A:A""), ""Select Col1 where Col1 = 'Amazona 3' or Col1 = 'Energético 3' or Col1 = 'Sortudo 3'""), 
if('Time 1'!C7 = ""Azula"", query(IMPORTRANGE(""15YC3Wi7qFmdVjHeW_UCnbsoqaugkIEVJhD"&amp;"MDhRjct1c"", ""Habilidades!A:A""), ""Select Col1 where Col1 = 'Arquimago 2' or Col1 = 'Curandeiro 3' or Col1 = 'Sábio 3'""), 
if('Time 1'!C7 = ""Charles"", query(IMPORTRANGE(""15YC3Wi7qFmdVjHeW_UCnbsoqaugkIEVJhDMDhRjct1c"", ""Habilidades!A:A""), ""Select "&amp;"Col1 where Col1 = 'Armadura do Mago' or Col1 = 'Detectar segredo' or Col1 = 'Encontrar mágica'""), 
if('Time 1'!C7 = ""Clovis"", query(IMPORTRANGE(""15YC3Wi7qFmdVjHeW_UCnbsoqaugkIEVJhDMDhRjct1c"", ""Habilidades!A:A""), ""Select Col1 where Col1 = 'Defesa' "&amp;"or Col1 = 'Protetor 1' or Col1 = 'Comandante 1'""), 
if('Time 1'!C7 = ""Darthos"", query(IMPORTRANGE(""15YC3Wi7qFmdVjHeW_UCnbsoqaugkIEVJhDMDhRjct1c"", ""Habilidades!A:A""), ""Select Col1 where Col1 = 'Velocista 2' or Col1 = 'Sábio 2' or Col1 = 'Companheir"&amp;"o de Guerra 3'""), 
if('Time 1'!C7 = ""Edward"", query(IMPORTRANGE(""15YC3Wi7qFmdVjHeW_UCnbsoqaugkIEVJhDMDhRjct1c"", ""Habilidades!A:A""), ""Select Col1 where Col1 = 'Líder 3' or Col1 = 'Reviver 3' or Col1 = 'Protetor 3'""), 
if('Time 1'!C7 = ""Fiora"", q"&amp;"uery(IMPORTRANGE(""15YC3Wi7qFmdVjHeW_UCnbsoqaugkIEVJhDMDhRjct1c"", ""Habilidades!A:A""), ""Select Col1 where Col1 = 'Comandante 2' or Col1 = 'Ganancioso 2' or Col1 = 'Reviver 2'""), 
if('Time 1'!C7 = ""Francesca"", query(IMPORTRANGE(""15YC3Wi7qFmdVjHeW_UC"&amp;"nbsoqaugkIEVJhDMDhRjct1c"", ""Habilidades!A:A""), ""Select Col1 where Col1 = 'Cuidadoso 3' or Col1 = 'Fornecedor 3' or Col1 = 'Resistente 1'""), 
if('Time 1'!C7 = ""Garreth"", query(IMPORTRANGE(""15YC3Wi7qFmdVjHeW_UCnbsoqaugkIEVJhDMDhRjct1c"", ""Habilidad"&amp;"es!A:A""), ""Select Col1 where Col1 = 'Sortudo 1' or Col1 = 'Caça-tesouros 1' or Col1 = 'Catador 1'""), 
if('Time 1'!C7 = ""Gauvin"", query(IMPORTRANGE(""15YC3Wi7qFmdVjHeW_UCnbsoqaugkIEVJhDMDhRjct1c"", ""Habilidades!A:A""), ""Select Col1 where Col1 = 'Líd"&amp;"er 1' or Col1 = 'Companheiro de Guerra 1' or Col1 = 'Resistente 2'""), 
if('Time 1'!C7 = ""Irene"", query(IMPORTRANGE(""15YC3Wi7qFmdVjHeW_UCnbsoqaugkIEVJhDMDhRjct1c"", ""Habilidades!A:A""), ""Select Col1 where Col1 = 'Gangster 1' or Col1 = 'Fornecedor 2' "&amp;"or Col1 = 'Engenhoso 1'""), 
if('Time 1'!C7 = ""Karal"", query(IMPORTRANGE(""15YC3Wi7qFmdVjHeW_UCnbsoqaugkIEVJhDMDhRjct1c"", ""Habilidades!A:A""), ""Select Col1 where Col1 = 'Amazona 1' or Col1 = 'Resistente 1' or Col1 = 'Esmagar'""), 
if('Time 1'!C7 = """&amp;"Kuro Shobi"", query(IMPORTRANGE(""15YC3Wi7qFmdVjHeW_UCnbsoqaugkIEVJhDMDhRjct1c"", ""Habilidades!A:A""), ""Select Col1 where Col1 = 'Gangster 3' or Col1 = 'Engenhoso 3' or Col1 = 'Velocista 3'""), 
if('Time 1'!C7 = ""Kurul"", query(IMPORTRANGE(""15YC3Wi7qF"&amp;"mdVjHeW_UCnbsoqaugkIEVJhDMDhRjct1c"", ""Habilidades!A:A""), ""Select Col1 where Col1 = 'Catador 2' or Col1 = 'Energético 2' or Col1 = 'Líder 2'""), 
if('Time 1'!C7 = ""Lancaster"", query(IMPORTRANGE(""15YC3Wi7qFmdVjHeW_UCnbsoqaugkIEVJhDMDhRjct1c"", ""Habi"&amp;"lidades!A:A""), ""Select Col1 where Col1 = 'Engenhoso 2' or Col1 = 'Protetor 2' or Col1 = 'Companheiro de Guerra 2'""), 
if('Time 1'!C7 = ""Lorelei"", query(IMPORTRANGE(""15YC3Wi7qFmdVjHeW_UCnbsoqaugkIEVJhDMDhRjct1c"", ""Habilidades!A:A""), ""Select Col1 "&amp;"where Col1 = 'Sortudo 3' or Col1 = 'Emboscada' or Col1 = 'Catador 3'""), 
if('Time 1'!C7 = ""Louca"", query(IMPORTRANGE(""15YC3Wi7qFmdVjHeW_UCnbsoqaugkIEVJhDMDhRjct1c"", ""Habilidades!A:A""), ""Select Col1 where Col1 = 'Caça-tesouros 3' or Col1 = 'Catador"&amp;" 3' or Col1 = 'Suporte 3'""), 
if('Time 1'!C7 = ""Melina"", query(IMPORTRANGE(""15YC3Wi7qFmdVjHeW_UCnbsoqaugkIEVJhDMDhRjct1c"", ""Habilidades!A:A""), ""Select Col1 where Col1 = 'Bola de fogo' or Col1 = 'Sábio 1' or Col1 = 'Velocista 1'""), 
if('Time 1'!C7"&amp;" = ""Mila"", query(IMPORTRANGE(""15YC3Wi7qFmdVjHeW_UCnbsoqaugkIEVJhDMDhRjct1c"", ""Habilidades!A:A""), ""Select Col1 where Col1 = 'Caça-tesouros 2' or Col1 = 'Sortudo 2' or Col1 = 'Ganancioso 1'""), 
if('Time 1'!C7 = ""Minh"", query(IMPORTRANGE(""15YC3Wi7"&amp;"qFmdVjHeW_UCnbsoqaugkIEVJhDMDhRjct1c"", ""Habilidades!A:A""), ""Select Col1 where Col1 = 'Sábio 1' or Col1 = 'Curandeiro 1' or Col1 = 'Reviver 1'""), 
if('Time 1'!C7 = ""Mojian"", query(IMPORTRANGE(""15YC3Wi7qFmdVjHeW_UCnbsoqaugkIEVJhDMDhRjct1c"", ""Habil"&amp;"idades!A:A""), ""Select Col1 where Col1 = 'Comandante 3' or Col1 = 'Arquimago 3' or Col1 = 'Raio elétrico'""), 
if('Time 1'!C7 = ""Nya"", query(IMPORTRANGE(""15YC3Wi7qFmdVjHeW_UCnbsoqaugkIEVJhDMDhRjct1c"", ""Habilidades!A:A""), ""Select Col1 where Col1 = "&amp;"'Reviver 1' or Col1 = 'Arquimago 1' or Col1 = 'Cone-gélido'""), 
if('Time 1'!C7 = ""Odette"", query(IMPORTRANGE(""15YC3Wi7qFmdVjHeW_UCnbsoqaugkIEVJhDMDhRjct1c"", ""Habilidades!A:A""), ""Select Col1 where Col1 = 'Cuidadoso 2' or Col1 = 'Amazona 2' or Col1 "&amp;"= 'Suporte 2'""), 
if('Time 1'!C7 = ""Oneira"", query(IMPORTRANGE(""15YC3Wi7qFmdVjHeW_UCnbsoqaugkIEVJhDMDhRjct1c"", ""Habilidades!A:A""), ""Select Col1 where Col1 = 'Ganancioso 3' or Col1 = 'Curandeiro 2' or Col1 = 'Suporte 2'""), 
if('Time 1'!C7 = ""Pala"&amp;"sh"", query(IMPORTRANGE(""15YC3Wi7qFmdVjHeW_UCnbsoqaugkIEVJhDMDhRjct1c"", ""Habilidades!A:A""), ""Select Col1 where Col1 = 'Catador 1' or Col1 = 'Resistente 1' or Col1 = 'Fornecedor 1'""), 
if('Time 1'!C7 = ""Theor"", query(IMPORTRANGE(""15YC3Wi7qFmdVjHeW"&amp;"_UCnbsoqaugkIEVJhDMDhRjct1c"", ""Habilidades!A:A""), ""Select Col1 where Col1 = 'Companheiro de Guerra 1' or Col1 = 'Energético 1' or Col1 = 'Cortar'""), 
if('Time 1'!C7 = ""Yue"", query(IMPORTRANGE(""15YC3Wi7qFmdVjHeW_UCnbsoqaugkIEVJhDMDhRjct1c"", ""Habi"&amp;"lidades!A:A""), ""Select Col1 where Col1 = 'Resistente 3' or Col1 = 'Mestre das armas' or Col1 = 'Comandante 3'"")))))))))))))))))))))))))))))"),"Engenhoso 1")</f>
        <v>Engenhoso 1</v>
      </c>
      <c r="F1" s="224" t="str">
        <f>IFERROR(__xludf.DUMMYFUNCTION("if('Time 1'!$C8 = ""Albert"", query(IMPORTRANGE(""15YC3Wi7qFmdVjHeW_UCnbsoqaugkIEVJhDMDhRjct1c"", ""Habilidades!A:A""), ""Select Col1 where Col1 = 'Cuidadoso 1' or Col1 = 'Fornecedor 1' or Col1 = 'Suporte 1'""),     
if('Time 1'!C8 = ""Alicia"", query(IMP"&amp;"ORTRANGE(""15YC3Wi7qFmdVjHeW_UCnbsoqaugkIEVJhDMDhRjct1c"", ""Habilidades!A:A""), ""Select Col1 where Col1 = 'Amazona 3' or Col1 = 'Energético 3' or Col1 = 'Sortudo 3'""), 
if('Time 1'!C8 = ""Azula"", query(IMPORTRANGE(""15YC3Wi7qFmdVjHeW_UCnbsoqaugkIEVJhD"&amp;"MDhRjct1c"", ""Habilidades!A:A""), ""Select Col1 where Col1 = 'Arquimago 2' or Col1 = 'Curandeiro 3' or Col1 = 'Sábio 3'""), 
if('Time 1'!C8 = ""Charles"", query(IMPORTRANGE(""15YC3Wi7qFmdVjHeW_UCnbsoqaugkIEVJhDMDhRjct1c"", ""Habilidades!A:A""), ""Select "&amp;"Col1 where Col1 = 'Armadura do Mago' or Col1 = 'Detectar segredo' or Col1 = 'Encontrar mágica'""), 
if('Time 1'!C8 = ""Clovis"", query(IMPORTRANGE(""15YC3Wi7qFmdVjHeW_UCnbsoqaugkIEVJhDMDhRjct1c"", ""Habilidades!A:A""), ""Select Col1 where Col1 = 'Defesa' "&amp;"or Col1 = 'Protetor 1' or Col1 = 'Comandante 1'""), 
if('Time 1'!C8 = ""Darthos"", query(IMPORTRANGE(""15YC3Wi7qFmdVjHeW_UCnbsoqaugkIEVJhDMDhRjct1c"", ""Habilidades!A:A""), ""Select Col1 where Col1 = 'Velocista 2' or Col1 = 'Sábio 2' or Col1 = 'Companheir"&amp;"o de Guerra 3'""), 
if('Time 1'!C8 = ""Edward"", query(IMPORTRANGE(""15YC3Wi7qFmdVjHeW_UCnbsoqaugkIEVJhDMDhRjct1c"", ""Habilidades!A:A""), ""Select Col1 where Col1 = 'Líder 3' or Col1 = 'Reviver 3' or Col1 = 'Protetor 3'""), 
if('Time 1'!C8 = ""Fiora"", q"&amp;"uery(IMPORTRANGE(""15YC3Wi7qFmdVjHeW_UCnbsoqaugkIEVJhDMDhRjct1c"", ""Habilidades!A:A""), ""Select Col1 where Col1 = 'Comandante 2' or Col1 = 'Ganancioso 2' or Col1 = 'Reviver 2'""), 
if('Time 1'!C8 = ""Francesca"", query(IMPORTRANGE(""15YC3Wi7qFmdVjHeW_UC"&amp;"nbsoqaugkIEVJhDMDhRjct1c"", ""Habilidades!A:A""), ""Select Col1 where Col1 = 'Cuidadoso 3' or Col1 = 'Fornecedor 3' or Col1 = 'Resistente 1'""), 
if('Time 1'!C8 = ""Garreth"", query(IMPORTRANGE(""15YC3Wi7qFmdVjHeW_UCnbsoqaugkIEVJhDMDhRjct1c"", ""Habilidad"&amp;"es!A:A""), ""Select Col1 where Col1 = 'Sortudo 1' or Col1 = 'Caça-tesouros 1' or Col1 = 'Catador 1'""), 
if('Time 1'!C8 = ""Gauvin"", query(IMPORTRANGE(""15YC3Wi7qFmdVjHeW_UCnbsoqaugkIEVJhDMDhRjct1c"", ""Habilidades!A:A""), ""Select Col1 where Col1 = 'Líd"&amp;"er 1' or Col1 = 'Companheiro de Guerra 1' or Col1 = 'Resistente 2'""), 
if('Time 1'!C8 = ""Irene"", query(IMPORTRANGE(""15YC3Wi7qFmdVjHeW_UCnbsoqaugkIEVJhDMDhRjct1c"", ""Habilidades!A:A""), ""Select Col1 where Col1 = 'Gangster 1' or Col1 = 'Fornecedor 2' "&amp;"or Col1 = 'Engenhoso 1'""), 
if('Time 1'!C8 = ""Karal"", query(IMPORTRANGE(""15YC3Wi7qFmdVjHeW_UCnbsoqaugkIEVJhDMDhRjct1c"", ""Habilidades!A:A""), ""Select Col1 where Col1 = 'Amazona 1' or Col1 = 'Resistente 1' or Col1 = 'Esmagar'""), 
if('Time 1'!C8 = """&amp;"Kuro Shobi"", query(IMPORTRANGE(""15YC3Wi7qFmdVjHeW_UCnbsoqaugkIEVJhDMDhRjct1c"", ""Habilidades!A:A""), ""Select Col1 where Col1 = 'Gangster 3' or Col1 = 'Engenhoso 3' or Col1 = 'Velocista 3'""), 
if('Time 1'!C8 = ""Kurul"", query(IMPORTRANGE(""15YC3Wi7qF"&amp;"mdVjHeW_UCnbsoqaugkIEVJhDMDhRjct1c"", ""Habilidades!A:A""), ""Select Col1 where Col1 = 'Catador 2' or Col1 = 'Energético 2' or Col1 = 'Líder 2'""), 
if('Time 1'!C8 = ""Lancaster"", query(IMPORTRANGE(""15YC3Wi7qFmdVjHeW_UCnbsoqaugkIEVJhDMDhRjct1c"", ""Habi"&amp;"lidades!A:A""), ""Select Col1 where Col1 = 'Engenhoso 2' or Col1 = 'Protetor 2' or Col1 = 'Companheiro de Guerra 2'""), 
if('Time 1'!C8 = ""Lorelei"", query(IMPORTRANGE(""15YC3Wi7qFmdVjHeW_UCnbsoqaugkIEVJhDMDhRjct1c"", ""Habilidades!A:A""), ""Select Col1 "&amp;"where Col1 = 'Sortudo 3' or Col1 = 'Emboscada' or Col1 = 'Catador 3'""), 
if('Time 1'!C8 = ""Louca"", query(IMPORTRANGE(""15YC3Wi7qFmdVjHeW_UCnbsoqaugkIEVJhDMDhRjct1c"", ""Habilidades!A:A""), ""Select Col1 where Col1 = 'Caça-tesouros 3' or Col1 = 'Catador"&amp;" 3' or Col1 = 'Suporte 3'""), 
if('Time 1'!C8 = ""Melina"", query(IMPORTRANGE(""15YC3Wi7qFmdVjHeW_UCnbsoqaugkIEVJhDMDhRjct1c"", ""Habilidades!A:A""), ""Select Col1 where Col1 = 'Bola de fogo' or Col1 = 'Sábio 1' or Col1 = 'Velocista 1'""), 
if('Time 1'!C8"&amp;" = ""Mila"", query(IMPORTRANGE(""15YC3Wi7qFmdVjHeW_UCnbsoqaugkIEVJhDMDhRjct1c"", ""Habilidades!A:A""), ""Select Col1 where Col1 = 'Caça-tesouros 2' or Col1 = 'Sortudo 2' or Col1 = 'Ganancioso 1'""), 
if('Time 1'!C8 = ""Minh"", query(IMPORTRANGE(""15YC3Wi7"&amp;"qFmdVjHeW_UCnbsoqaugkIEVJhDMDhRjct1c"", ""Habilidades!A:A""), ""Select Col1 where Col1 = 'Sábio 1' or Col1 = 'Curandeiro 1' or Col1 = 'Reviver 1'""), 
if('Time 1'!C8 = ""Mojian"", query(IMPORTRANGE(""15YC3Wi7qFmdVjHeW_UCnbsoqaugkIEVJhDMDhRjct1c"", ""Habil"&amp;"idades!A:A""), ""Select Col1 where Col1 = 'Comandante 3' or Col1 = 'Arquimago 3' or Col1 = 'Raio elétrico'""), 
if('Time 1'!C8 = ""Nya"", query(IMPORTRANGE(""15YC3Wi7qFmdVjHeW_UCnbsoqaugkIEVJhDMDhRjct1c"", ""Habilidades!A:A""), ""Select Col1 where Col1 = "&amp;"'Reviver 1' or Col1 = 'Arquimago 1' or Col1 = 'Cone-gélido'""), 
if('Time 1'!C8 = ""Odette"", query(IMPORTRANGE(""15YC3Wi7qFmdVjHeW_UCnbsoqaugkIEVJhDMDhRjct1c"", ""Habilidades!A:A""), ""Select Col1 where Col1 = 'Cuidadoso 2' or Col1 = 'Amazona 2' or Col1 "&amp;"= 'Suporte 2'""), 
if('Time 1'!C8 = ""Oneira"", query(IMPORTRANGE(""15YC3Wi7qFmdVjHeW_UCnbsoqaugkIEVJhDMDhRjct1c"", ""Habilidades!A:A""), ""Select Col1 where Col1 = 'Ganancioso 3' or Col1 = 'Curandeiro 2' or Col1 = 'Suporte 2'""), 
if('Time 1'!C8 = ""Pala"&amp;"sh"", query(IMPORTRANGE(""15YC3Wi7qFmdVjHeW_UCnbsoqaugkIEVJhDMDhRjct1c"", ""Habilidades!A:A""), ""Select Col1 where Col1 = 'Catador 1' or Col1 = 'Resistente 1' or Col1 = 'Fornecedor 1'""), 
if('Time 1'!C8 = ""Theor"", query(IMPORTRANGE(""15YC3Wi7qFmdVjHeW"&amp;"_UCnbsoqaugkIEVJhDMDhRjct1c"", ""Habilidades!A:A""), ""Select Col1 where Col1 = 'Companheiro de Guerra 1' or Col1 = 'Energético 1' or Col1 = 'Cortar'""), 
if('Time 1'!C8 = ""Yue"", query(IMPORTRANGE(""15YC3Wi7qFmdVjHeW_UCnbsoqaugkIEVJhDMDhRjct1c"", ""Habi"&amp;"lidades!A:A""), ""Select Col1 where Col1 = 'Resistente 3' or Col1 = 'Mestre das armas' or Col1 = 'Comandante 3'"")))))))))))))))))))))))))))))"),"Cuidadoso 1")</f>
        <v>Cuidadoso 1</v>
      </c>
      <c r="G1" s="47"/>
    </row>
    <row r="2">
      <c r="A2" s="224" t="str">
        <f>IFERROR(__xludf.DUMMYFUNCTION("""COMPUTED_VALUE"""),"Catador 2")</f>
        <v>Catador 2</v>
      </c>
      <c r="B2" s="224" t="str">
        <f>IFERROR(__xludf.DUMMYFUNCTION("""COMPUTED_VALUE"""),"Arquimago 3")</f>
        <v>Arquimago 3</v>
      </c>
      <c r="C2" s="224" t="str">
        <f>IFERROR(__xludf.DUMMYFUNCTION("""COMPUTED_VALUE"""),"Reviver 3")</f>
        <v>Reviver 3</v>
      </c>
      <c r="D2" s="224" t="str">
        <f>IFERROR(__xludf.DUMMYFUNCTION("""COMPUTED_VALUE"""),"Sortudo 3")</f>
        <v>Sortudo 3</v>
      </c>
      <c r="E2" s="224" t="str">
        <f>IFERROR(__xludf.DUMMYFUNCTION("""COMPUTED_VALUE"""),"Fornecedor 2")</f>
        <v>Fornecedor 2</v>
      </c>
      <c r="F2" s="224" t="str">
        <f>IFERROR(__xludf.DUMMYFUNCTION("""COMPUTED_VALUE"""),"Fornecedor 1")</f>
        <v>Fornecedor 1</v>
      </c>
      <c r="G2" s="47"/>
    </row>
    <row r="3">
      <c r="A3" s="224" t="str">
        <f>IFERROR(__xludf.DUMMYFUNCTION("""COMPUTED_VALUE"""),"Líder 2")</f>
        <v>Líder 2</v>
      </c>
      <c r="B3" s="224" t="str">
        <f>IFERROR(__xludf.DUMMYFUNCTION("""COMPUTED_VALUE"""),"Comandante 3")</f>
        <v>Comandante 3</v>
      </c>
      <c r="C3" s="224" t="str">
        <f>IFERROR(__xludf.DUMMYFUNCTION("""COMPUTED_VALUE"""),"Líder 3")</f>
        <v>Líder 3</v>
      </c>
      <c r="D3" s="224" t="str">
        <f>IFERROR(__xludf.DUMMYFUNCTION("""COMPUTED_VALUE"""),"Catador 3")</f>
        <v>Catador 3</v>
      </c>
      <c r="E3" s="224" t="str">
        <f>IFERROR(__xludf.DUMMYFUNCTION("""COMPUTED_VALUE"""),"Gangster 1")</f>
        <v>Gangster 1</v>
      </c>
      <c r="F3" s="224" t="str">
        <f>IFERROR(__xludf.DUMMYFUNCTION("""COMPUTED_VALUE"""),"Suporte 1")</f>
        <v>Suporte 1</v>
      </c>
      <c r="G3" s="47"/>
    </row>
    <row r="4">
      <c r="A4" s="47"/>
      <c r="B4" s="47"/>
      <c r="C4" s="47"/>
      <c r="D4" s="47"/>
      <c r="E4" s="47"/>
      <c r="F4" s="47"/>
      <c r="G4" s="47"/>
    </row>
    <row r="5">
      <c r="A5" s="224" t="str">
        <f>IFERROR(__xludf.DUMMYFUNCTION("if('Time 2'!$C3 = ""Albert"", query(IMPORTRANGE(""15YC3Wi7qFmdVjHeW_UCnbsoqaugkIEVJhDMDhRjct1c"", ""Habilidades!A:A""), ""Select Col1 where Col1 = 'Cuidadoso 1' or Col1 = 'Fornecedor 1' or Col1 = 'Suporte 1'""),     
if('Time 2'!C3 = ""Alicia"", query(IMP"&amp;"ORTRANGE(""15YC3Wi7qFmdVjHeW_UCnbsoqaugkIEVJhDMDhRjct1c"", ""Habilidades!A:A""), ""Select Col1 where Col1 = 'Amazona 3' or Col1 = 'Energético 3' or Col1 = 'Sortudo 3'""), 
if('Time 2'!C3 = ""Azula"", query(IMPORTRANGE(""15YC3Wi7qFmdVjHeW_UCnbsoqaugkIEVJhD"&amp;"MDhRjct1c"", ""Habilidades!A:A""), ""Select Col1 where Col1 = 'Arquimago 2' or Col1 = 'Curandeiro 3' or Col1 = 'Sábio 3'""), 
if('Time 2'!C3 = ""Charles"", query(IMPORTRANGE(""15YC3Wi7qFmdVjHeW_UCnbsoqaugkIEVJhDMDhRjct1c"", ""Habilidades!A:A""), ""Select "&amp;"Col1 where Col1 = 'Armadura do Mago' or Col1 = 'Detectar segredo' or Col1 = 'Encontrar mágica'""), 
if('Time 2'!C3 = ""Clovis"", query(IMPORTRANGE(""15YC3Wi7qFmdVjHeW_UCnbsoqaugkIEVJhDMDhRjct1c"", ""Habilidades!A:A""), ""Select Col1 where Col1 = 'Defesa' "&amp;"or Col1 = 'Protetor 1' or Col1 = 'Comandante 1'""), 
if('Time 2'!C3 = ""Darthos"", query(IMPORTRANGE(""15YC3Wi7qFmdVjHeW_UCnbsoqaugkIEVJhDMDhRjct1c"", ""Habilidades!A:A""), ""Select Col1 where Col1 = 'Velocista 2' or Col1 = 'Sábio 2' or Col1 = 'Companheir"&amp;"o de Guerra 3'""), 
if('Time 2'!C3 = ""Edward"", query(IMPORTRANGE(""15YC3Wi7qFmdVjHeW_UCnbsoqaugkIEVJhDMDhRjct1c"", ""Habilidades!A:A""), ""Select Col1 where Col1 = 'Líder 3' or Col1 = 'Reviver 3' or Col1 = 'Protetor 3'""), 
if('Time 2'!C3 = ""Fiora"", q"&amp;"uery(IMPORTRANGE(""15YC3Wi7qFmdVjHeW_UCnbsoqaugkIEVJhDMDhRjct1c"", ""Habilidades!A:A""), ""Select Col1 where Col1 = 'Comandante 2' or Col1 = 'Ganancioso 2' or Col1 = 'Reviver 2'""), 
if('Time 2'!C3 = ""Francesca"", query(IMPORTRANGE(""15YC3Wi7qFmdVjHeW_UC"&amp;"nbsoqaugkIEVJhDMDhRjct1c"", ""Habilidades!A:A""), ""Select Col1 where Col1 = 'Cuidadoso 3' or Col1 = 'Fornecedor 3' or Col1 = 'Resistente 1'""), 
if('Time 2'!C3 = ""Garreth"", query(IMPORTRANGE(""15YC3Wi7qFmdVjHeW_UCnbsoqaugkIEVJhDMDhRjct1c"", ""Habilidad"&amp;"es!A:A""), ""Select Col1 where Col1 = 'Sortudo 1' or Col1 = 'Caça-tesouros 1' or Col1 = 'Catador 1'""), 
if('Time 2'!C3 = ""Gauvin"", query(IMPORTRANGE(""15YC3Wi7qFmdVjHeW_UCnbsoqaugkIEVJhDMDhRjct1c"", ""Habilidades!A:A""), ""Select Col1 where Col1 = 'Líd"&amp;"er 1' or Col1 = 'Companheiro de Guerra 1' or Col1 = 'Resistente 2'""), 
if('Time 2'!C3 = ""Irene"", query(IMPORTRANGE(""15YC3Wi7qFmdVjHeW_UCnbsoqaugkIEVJhDMDhRjct1c"", ""Habilidades!A:A""), ""Select Col1 where Col1 = 'Gangster 1' or Col1 = 'Fornecedor 2' "&amp;"or Col1 = 'Engenhoso 1'""), 
if('Time 2'!C3 = ""Karal"", query(IMPORTRANGE(""15YC3Wi7qFmdVjHeW_UCnbsoqaugkIEVJhDMDhRjct1c"", ""Habilidades!A:A""), ""Select Col1 where Col1 = 'Amazona 1' or Col1 = 'Resistente 1' or Col1 = 'Esmagar'""), 
if('Time 2'!C3 = """&amp;"Kuro Shobi"", query(IMPORTRANGE(""15YC3Wi7qFmdVjHeW_UCnbsoqaugkIEVJhDMDhRjct1c"", ""Habilidades!A:A""), ""Select Col1 where Col1 = 'Gangster 3' or Col1 = 'Engenhoso 3' or Col1 = 'Velocista 3'""), 
if('Time 2'!C3 = ""Kurul"", query(IMPORTRANGE(""15YC3Wi7qF"&amp;"mdVjHeW_UCnbsoqaugkIEVJhDMDhRjct1c"", ""Habilidades!A:A""), ""Select Col1 where Col1 = 'Catador 2' or Col1 = 'Energético 2' or Col1 = 'Líder 2'""), 
if('Time 2'!C3 = ""Lancaster"", query(IMPORTRANGE(""15YC3Wi7qFmdVjHeW_UCnbsoqaugkIEVJhDMDhRjct1c"", ""Habi"&amp;"lidades!A:A""), ""Select Col1 where Col1 = 'Engenhoso 2' or Col1 = 'Protetor 2' or Col1 = 'Companheiro de Guerra 2'""), 
if('Time 2'!C3 = ""Lorelei"", query(IMPORTRANGE(""15YC3Wi7qFmdVjHeW_UCnbsoqaugkIEVJhDMDhRjct1c"", ""Habilidades!A:A""), ""Select Col1 "&amp;"where Col1 = 'Sortudo 3' or Col1 = 'Emboscada' or Col1 = 'Catador 3'""), 
if('Time 2'!C3 = ""Louca"", query(IMPORTRANGE(""15YC3Wi7qFmdVjHeW_UCnbsoqaugkIEVJhDMDhRjct1c"", ""Habilidades!A:A""), ""Select Col1 where Col1 = 'Caça-tesouros 3' or Col1 = 'Catador"&amp;" 3' or Col1 = 'Suporte 3'""), 
if('Time 2'!C3 = ""Melina"", query(IMPORTRANGE(""15YC3Wi7qFmdVjHeW_UCnbsoqaugkIEVJhDMDhRjct1c"", ""Habilidades!A:A""), ""Select Col1 where Col1 = 'Bola de fogo' or Col1 = 'Sábio 1' or Col1 = 'Velocista 1'""), 
if('Time 2'!C3"&amp;" = ""Mila"", query(IMPORTRANGE(""15YC3Wi7qFmdVjHeW_UCnbsoqaugkIEVJhDMDhRjct1c"", ""Habilidades!A:A""), ""Select Col1 where Col1 = 'Caça-tesouros 2' or Col1 = 'Sortudo 2' or Col1 = 'Ganancioso 1'""), 
if('Time 2'!C3 = ""Minh"", query(IMPORTRANGE(""15YC3Wi7"&amp;"qFmdVjHeW_UCnbsoqaugkIEVJhDMDhRjct1c"", ""Habilidades!A:A""), ""Select Col1 where Col1 = 'Sábio 1' or Col1 = 'Curandeiro 1' or Col1 = 'Reviver 1'""), 
if('Time 2'!C3 = ""Mojian"", query(IMPORTRANGE(""15YC3Wi7qFmdVjHeW_UCnbsoqaugkIEVJhDMDhRjct1c"", ""Habil"&amp;"idades!A:A""), ""Select Col1 where Col1 = 'Comandante 3' or Col1 = 'Arquimago 3' or Col1 = 'Raio elétrico'""), 
if('Time 2'!C3 = ""Nya"", query(IMPORTRANGE(""15YC3Wi7qFmdVjHeW_UCnbsoqaugkIEVJhDMDhRjct1c"", ""Habilidades!A:A""), ""Select Col1 where Col1 = "&amp;"'Reviver 1' or Col1 = 'Arquimago 1' or Col1 = 'Cone-gélido'""), 
if('Time 2'!C3 = ""Odette"", query(IMPORTRANGE(""15YC3Wi7qFmdVjHeW_UCnbsoqaugkIEVJhDMDhRjct1c"", ""Habilidades!A:A""), ""Select Col1 where Col1 = 'Cuidadoso 2' or Col1 = 'Amazona 2' or Col1 "&amp;"= 'Suporte 2'""), 
if('Time 2'!C3 = ""Oneira"", query(IMPORTRANGE(""15YC3Wi7qFmdVjHeW_UCnbsoqaugkIEVJhDMDhRjct1c"", ""Habilidades!A:A""), ""Select Col1 where Col1 = 'Ganancioso 3' or Col1 = 'Curandeiro 2' or Col1 = 'Suporte 2'""), 
if('Time 2'!C3 = ""Pala"&amp;"sh"", query(IMPORTRANGE(""15YC3Wi7qFmdVjHeW_UCnbsoqaugkIEVJhDMDhRjct1c"", ""Habilidades!A:A""), ""Select Col1 where Col1 = 'Catador 1' or Col1 = 'Resistente 1' or Col1 = 'Fornecedor 1'""), 
if('Time 2'!C3 = ""Theor"", query(IMPORTRANGE(""15YC3Wi7qFmdVjHeW"&amp;"_UCnbsoqaugkIEVJhDMDhRjct1c"", ""Habilidades!A:A""), ""Select Col1 where Col1 = 'Companheiro de Guerra 1' or Col1 = 'Energético 1' or Col1 = 'Cortar'""), 
if('Time 2'!C3 = ""Yue"", query(IMPORTRANGE(""15YC3Wi7qFmdVjHeW_UCnbsoqaugkIEVJhDMDhRjct1c"", ""Habi"&amp;"lidades!A:A""), ""Select Col1 where Col1 = 'Resistente 3' or Col1 = 'Mestre das armas' or Col1 = 'Comandante 3'"")))))))))))))))))))))))))))))"),"Engenhoso 3")</f>
        <v>Engenhoso 3</v>
      </c>
      <c r="B5" s="224" t="str">
        <f>IFERROR(__xludf.DUMMYFUNCTION("if('Time 2'!$C4 = ""Albert"", query(IMPORTRANGE(""15YC3Wi7qFmdVjHeW_UCnbsoqaugkIEVJhDMDhRjct1c"", ""Habilidades!A:A""), ""Select Col1 where Col1 = 'Cuidadoso 1' or Col1 = 'Fornecedor 1' or Col1 = 'Suporte 1'""),     
if('Time 2'!C4 = ""Alicia"", query(IMP"&amp;"ORTRANGE(""15YC3Wi7qFmdVjHeW_UCnbsoqaugkIEVJhDMDhRjct1c"", ""Habilidades!A:A""), ""Select Col1 where Col1 = 'Amazona 3' or Col1 = 'Energético 3' or Col1 = 'Sortudo 3'""), 
if('Time 2'!C4 = ""Azula"", query(IMPORTRANGE(""15YC3Wi7qFmdVjHeW_UCnbsoqaugkIEVJhD"&amp;"MDhRjct1c"", ""Habilidades!A:A""), ""Select Col1 where Col1 = 'Arquimago 2' or Col1 = 'Curandeiro 3' or Col1 = 'Sábio 3'""), 
if('Time 2'!C4 = ""Charles"", query(IMPORTRANGE(""15YC3Wi7qFmdVjHeW_UCnbsoqaugkIEVJhDMDhRjct1c"", ""Habilidades!A:A""), ""Select "&amp;"Col1 where Col1 = 'Armadura do Mago' or Col1 = 'Detectar segredo' or Col1 = 'Encontrar mágica'""), 
if('Time 2'!C4 = ""Clovis"", query(IMPORTRANGE(""15YC3Wi7qFmdVjHeW_UCnbsoqaugkIEVJhDMDhRjct1c"", ""Habilidades!A:A""), ""Select Col1 where Col1 = 'Defesa' "&amp;"or Col1 = 'Protetor 1' or Col1 = 'Comandante 1'""), 
if('Time 2'!C4 = ""Darthos"", query(IMPORTRANGE(""15YC3Wi7qFmdVjHeW_UCnbsoqaugkIEVJhDMDhRjct1c"", ""Habilidades!A:A""), ""Select Col1 where Col1 = 'Velocista 2' or Col1 = 'Sábio 2' or Col1 = 'Companheir"&amp;"o de Guerra 3'""), 
if('Time 2'!C4 = ""Edward"", query(IMPORTRANGE(""15YC3Wi7qFmdVjHeW_UCnbsoqaugkIEVJhDMDhRjct1c"", ""Habilidades!A:A""), ""Select Col1 where Col1 = 'Líder 3' or Col1 = 'Reviver 3' or Col1 = 'Protetor 3'""), 
if('Time 2'!C4 = ""Fiora"", q"&amp;"uery(IMPORTRANGE(""15YC3Wi7qFmdVjHeW_UCnbsoqaugkIEVJhDMDhRjct1c"", ""Habilidades!A:A""), ""Select Col1 where Col1 = 'Comandante 2' or Col1 = 'Ganancioso 2' or Col1 = 'Reviver 2'""), 
if('Time 2'!C4 = ""Francesca"", query(IMPORTRANGE(""15YC3Wi7qFmdVjHeW_UC"&amp;"nbsoqaugkIEVJhDMDhRjct1c"", ""Habilidades!A:A""), ""Select Col1 where Col1 = 'Cuidadoso 3' or Col1 = 'Fornecedor 3' or Col1 = 'Resistente 1'""), 
if('Time 2'!C4 = ""Garreth"", query(IMPORTRANGE(""15YC3Wi7qFmdVjHeW_UCnbsoqaugkIEVJhDMDhRjct1c"", ""Habilidad"&amp;"es!A:A""), ""Select Col1 where Col1 = 'Sortudo 1' or Col1 = 'Caça-tesouros 1' or Col1 = 'Catador 1'""), 
if('Time 2'!C4 = ""Gauvin"", query(IMPORTRANGE(""15YC3Wi7qFmdVjHeW_UCnbsoqaugkIEVJhDMDhRjct1c"", ""Habilidades!A:A""), ""Select Col1 where Col1 = 'Líd"&amp;"er 1' or Col1 = 'Companheiro de Guerra 1' or Col1 = 'Resistente 2'""), 
if('Time 2'!C4 = ""Irene"", query(IMPORTRANGE(""15YC3Wi7qFmdVjHeW_UCnbsoqaugkIEVJhDMDhRjct1c"", ""Habilidades!A:A""), ""Select Col1 where Col1 = 'Gangster 1' or Col1 = 'Fornecedor 2' "&amp;"or Col1 = 'Engenhoso 1'""), 
if('Time 2'!C4 = ""Karal"", query(IMPORTRANGE(""15YC3Wi7qFmdVjHeW_UCnbsoqaugkIEVJhDMDhRjct1c"", ""Habilidades!A:A""), ""Select Col1 where Col1 = 'Amazona 1' or Col1 = 'Resistente 1' or Col1 = 'Esmagar'""), 
if('Time 2'!C4 = """&amp;"Kuro Shobi"", query(IMPORTRANGE(""15YC3Wi7qFmdVjHeW_UCnbsoqaugkIEVJhDMDhRjct1c"", ""Habilidades!A:A""), ""Select Col1 where Col1 = 'Gangster 3' or Col1 = 'Engenhoso 3' or Col1 = 'Velocista 3'""), 
if('Time 2'!C4 = ""Kurul"", query(IMPORTRANGE(""15YC3Wi7qF"&amp;"mdVjHeW_UCnbsoqaugkIEVJhDMDhRjct1c"", ""Habilidades!A:A""), ""Select Col1 where Col1 = 'Catador 2' or Col1 = 'Energético 2' or Col1 = 'Líder 2'""), 
if('Time 2'!C4 = ""Lancaster"", query(IMPORTRANGE(""15YC3Wi7qFmdVjHeW_UCnbsoqaugkIEVJhDMDhRjct1c"", ""Habi"&amp;"lidades!A:A""), ""Select Col1 where Col1 = 'Engenhoso 2' or Col1 = 'Protetor 2' or Col1 = 'Companheiro de Guerra 2'""), 
if('Time 2'!C4 = ""Lorelei"", query(IMPORTRANGE(""15YC3Wi7qFmdVjHeW_UCnbsoqaugkIEVJhDMDhRjct1c"", ""Habilidades!A:A""), ""Select Col1 "&amp;"where Col1 = 'Sortudo 3' or Col1 = 'Emboscada' or Col1 = 'Catador 3'""), 
if('Time 2'!C4 = ""Louca"", query(IMPORTRANGE(""15YC3Wi7qFmdVjHeW_UCnbsoqaugkIEVJhDMDhRjct1c"", ""Habilidades!A:A""), ""Select Col1 where Col1 = 'Caça-tesouros 3' or Col1 = 'Catador"&amp;" 3' or Col1 = 'Suporte 3'""), 
if('Time 2'!C4 = ""Melina"", query(IMPORTRANGE(""15YC3Wi7qFmdVjHeW_UCnbsoqaugkIEVJhDMDhRjct1c"", ""Habilidades!A:A""), ""Select Col1 where Col1 = 'Bola de fogo' or Col1 = 'Sábio 1' or Col1 = 'Velocista 1'""), 
if('Time 2'!C4"&amp;" = ""Mila"", query(IMPORTRANGE(""15YC3Wi7qFmdVjHeW_UCnbsoqaugkIEVJhDMDhRjct1c"", ""Habilidades!A:A""), ""Select Col1 where Col1 = 'Caça-tesouros 2' or Col1 = 'Sortudo 2' or Col1 = 'Ganancioso 1'""), 
if('Time 2'!C4 = ""Minh"", query(IMPORTRANGE(""15YC3Wi7"&amp;"qFmdVjHeW_UCnbsoqaugkIEVJhDMDhRjct1c"", ""Habilidades!A:A""), ""Select Col1 where Col1 = 'Sábio 1' or Col1 = 'Curandeiro 1' or Col1 = 'Reviver 1'""), 
if('Time 2'!C4 = ""Mojian"", query(IMPORTRANGE(""15YC3Wi7qFmdVjHeW_UCnbsoqaugkIEVJhDMDhRjct1c"", ""Habil"&amp;"idades!A:A""), ""Select Col1 where Col1 = 'Comandante 3' or Col1 = 'Arquimago 3' or Col1 = 'Raio elétrico'""), 
if('Time 2'!C4 = ""Nya"", query(IMPORTRANGE(""15YC3Wi7qFmdVjHeW_UCnbsoqaugkIEVJhDMDhRjct1c"", ""Habilidades!A:A""), ""Select Col1 where Col1 = "&amp;"'Reviver 1' or Col1 = 'Arquimago 1' or Col1 = 'Cone-gélido'""), 
if('Time 2'!C4 = ""Odette"", query(IMPORTRANGE(""15YC3Wi7qFmdVjHeW_UCnbsoqaugkIEVJhDMDhRjct1c"", ""Habilidades!A:A""), ""Select Col1 where Col1 = 'Cuidadoso 2' or Col1 = 'Amazona 2' or Col1 "&amp;"= 'Suporte 2'""), 
if('Time 2'!C4 = ""Oneira"", query(IMPORTRANGE(""15YC3Wi7qFmdVjHeW_UCnbsoqaugkIEVJhDMDhRjct1c"", ""Habilidades!A:A""), ""Select Col1 where Col1 = 'Ganancioso 3' or Col1 = 'Curandeiro 2' or Col1 = 'Suporte 2'""), 
if('Time 2'!C4 = ""Pala"&amp;"sh"", query(IMPORTRANGE(""15YC3Wi7qFmdVjHeW_UCnbsoqaugkIEVJhDMDhRjct1c"", ""Habilidades!A:A""), ""Select Col1 where Col1 = 'Catador 1' or Col1 = 'Resistente 1' or Col1 = 'Fornecedor 1'""), 
if('Time 2'!C4 = ""Theor"", query(IMPORTRANGE(""15YC3Wi7qFmdVjHeW"&amp;"_UCnbsoqaugkIEVJhDMDhRjct1c"", ""Habilidades!A:A""), ""Select Col1 where Col1 = 'Companheiro de Guerra 1' or Col1 = 'Energético 1' or Col1 = 'Cortar'""), 
if('Time 2'!C4 = ""Yue"", query(IMPORTRANGE(""15YC3Wi7qFmdVjHeW_UCnbsoqaugkIEVJhDMDhRjct1c"", ""Habi"&amp;"lidades!A:A""), ""Select Col1 where Col1 = 'Resistente 3' or Col1 = 'Mestre das armas' or Col1 = 'Comandante 3'"")))))))))))))))))))))))))))))"),"Protetor 2")</f>
        <v>Protetor 2</v>
      </c>
      <c r="C5" s="224" t="str">
        <f>IFERROR(__xludf.DUMMYFUNCTION("if('Time 2'!$C5 = ""Albert"", query(IMPORTRANGE(""15YC3Wi7qFmdVjHeW_UCnbsoqaugkIEVJhDMDhRjct1c"", ""Habilidades!A:A""), ""Select Col1 where Col1 = 'Cuidadoso 1' or Col1 = 'Fornecedor 1' or Col1 = 'Suporte 1'""),     
if('Time 2'!C5 = ""Alicia"", query(IMP"&amp;"ORTRANGE(""15YC3Wi7qFmdVjHeW_UCnbsoqaugkIEVJhDMDhRjct1c"", ""Habilidades!A:A""), ""Select Col1 where Col1 = 'Amazona 3' or Col1 = 'Energético 3' or Col1 = 'Sortudo 3'""), 
if('Time 2'!C5 = ""Azula"", query(IMPORTRANGE(""15YC3Wi7qFmdVjHeW_UCnbsoqaugkIEVJhD"&amp;"MDhRjct1c"", ""Habilidades!A:A""), ""Select Col1 where Col1 = 'Arquimago 2' or Col1 = 'Curandeiro 3' or Col1 = 'Sábio 3'""), 
if('Time 2'!C5 = ""Charles"", query(IMPORTRANGE(""15YC3Wi7qFmdVjHeW_UCnbsoqaugkIEVJhDMDhRjct1c"", ""Habilidades!A:A""), ""Select "&amp;"Col1 where Col1 = 'Armadura do Mago' or Col1 = 'Detectar segredo' or Col1 = 'Encontrar mágica'""), 
if('Time 2'!C5 = ""Clovis"", query(IMPORTRANGE(""15YC3Wi7qFmdVjHeW_UCnbsoqaugkIEVJhDMDhRjct1c"", ""Habilidades!A:A""), ""Select Col1 where Col1 = 'Defesa' "&amp;"or Col1 = 'Protetor 1' or Col1 = 'Comandante 1'""), 
if('Time 2'!C5 = ""Darthos"", query(IMPORTRANGE(""15YC3Wi7qFmdVjHeW_UCnbsoqaugkIEVJhDMDhRjct1c"", ""Habilidades!A:A""), ""Select Col1 where Col1 = 'Velocista 2' or Col1 = 'Sábio 2' or Col1 = 'Companheir"&amp;"o de Guerra 3'""), 
if('Time 2'!C5 = ""Edward"", query(IMPORTRANGE(""15YC3Wi7qFmdVjHeW_UCnbsoqaugkIEVJhDMDhRjct1c"", ""Habilidades!A:A""), ""Select Col1 where Col1 = 'Líder 3' or Col1 = 'Reviver 3' or Col1 = 'Protetor 3'""), 
if('Time 2'!C5 = ""Fiora"", q"&amp;"uery(IMPORTRANGE(""15YC3Wi7qFmdVjHeW_UCnbsoqaugkIEVJhDMDhRjct1c"", ""Habilidades!A:A""), ""Select Col1 where Col1 = 'Comandante 2' or Col1 = 'Ganancioso 2' or Col1 = 'Reviver 2'""), 
if('Time 2'!C5 = ""Francesca"", query(IMPORTRANGE(""15YC3Wi7qFmdVjHeW_UC"&amp;"nbsoqaugkIEVJhDMDhRjct1c"", ""Habilidades!A:A""), ""Select Col1 where Col1 = 'Cuidadoso 3' or Col1 = 'Fornecedor 3' or Col1 = 'Resistente 1'""), 
if('Time 2'!C5 = ""Garreth"", query(IMPORTRANGE(""15YC3Wi7qFmdVjHeW_UCnbsoqaugkIEVJhDMDhRjct1c"", ""Habilidad"&amp;"es!A:A""), ""Select Col1 where Col1 = 'Sortudo 1' or Col1 = 'Caça-tesouros 1' or Col1 = 'Catador 1'""), 
if('Time 2'!C5 = ""Gauvin"", query(IMPORTRANGE(""15YC3Wi7qFmdVjHeW_UCnbsoqaugkIEVJhDMDhRjct1c"", ""Habilidades!A:A""), ""Select Col1 where Col1 = 'Líd"&amp;"er 1' or Col1 = 'Companheiro de Guerra 1' or Col1 = 'Resistente 2'""), 
if('Time 2'!C5 = ""Irene"", query(IMPORTRANGE(""15YC3Wi7qFmdVjHeW_UCnbsoqaugkIEVJhDMDhRjct1c"", ""Habilidades!A:A""), ""Select Col1 where Col1 = 'Gangster 1' or Col1 = 'Fornecedor 2' "&amp;"or Col1 = 'Engenhoso 1'""), 
if('Time 2'!C5 = ""Karal"", query(IMPORTRANGE(""15YC3Wi7qFmdVjHeW_UCnbsoqaugkIEVJhDMDhRjct1c"", ""Habilidades!A:A""), ""Select Col1 where Col1 = 'Amazona 1' or Col1 = 'Resistente 1' or Col1 = 'Esmagar'""), 
if('Time 2'!C5 = """&amp;"Kuro Shobi"", query(IMPORTRANGE(""15YC3Wi7qFmdVjHeW_UCnbsoqaugkIEVJhDMDhRjct1c"", ""Habilidades!A:A""), ""Select Col1 where Col1 = 'Gangster 3' or Col1 = 'Engenhoso 3' or Col1 = 'Velocista 3'""), 
if('Time 2'!C5 = ""Kurul"", query(IMPORTRANGE(""15YC3Wi7qF"&amp;"mdVjHeW_UCnbsoqaugkIEVJhDMDhRjct1c"", ""Habilidades!A:A""), ""Select Col1 where Col1 = 'Catador 2' or Col1 = 'Energético 2' or Col1 = 'Líder 2'""), 
if('Time 2'!C5 = ""Lancaster"", query(IMPORTRANGE(""15YC3Wi7qFmdVjHeW_UCnbsoqaugkIEVJhDMDhRjct1c"", ""Habi"&amp;"lidades!A:A""), ""Select Col1 where Col1 = 'Engenhoso 2' or Col1 = 'Protetor 2' or Col1 = 'Companheiro de Guerra 2'""), 
if('Time 2'!C5 = ""Lorelei"", query(IMPORTRANGE(""15YC3Wi7qFmdVjHeW_UCnbsoqaugkIEVJhDMDhRjct1c"", ""Habilidades!A:A""), ""Select Col1 "&amp;"where Col1 = 'Sortudo 3' or Col1 = 'Emboscada' or Col1 = 'Catador 3'""), 
if('Time 2'!C5 = ""Louca"", query(IMPORTRANGE(""15YC3Wi7qFmdVjHeW_UCnbsoqaugkIEVJhDMDhRjct1c"", ""Habilidades!A:A""), ""Select Col1 where Col1 = 'Caça-tesouros 3' or Col1 = 'Catador"&amp;" 3' or Col1 = 'Suporte 3'""), 
if('Time 2'!C5 = ""Melina"", query(IMPORTRANGE(""15YC3Wi7qFmdVjHeW_UCnbsoqaugkIEVJhDMDhRjct1c"", ""Habilidades!A:A""), ""Select Col1 where Col1 = 'Bola de fogo' or Col1 = 'Sábio 1' or Col1 = 'Velocista 1'""), 
if('Time 2'!C5"&amp;" = ""Mila"", query(IMPORTRANGE(""15YC3Wi7qFmdVjHeW_UCnbsoqaugkIEVJhDMDhRjct1c"", ""Habilidades!A:A""), ""Select Col1 where Col1 = 'Caça-tesouros 2' or Col1 = 'Sortudo 2' or Col1 = 'Ganancioso 1'""), 
if('Time 2'!C5 = ""Minh"", query(IMPORTRANGE(""15YC3Wi7"&amp;"qFmdVjHeW_UCnbsoqaugkIEVJhDMDhRjct1c"", ""Habilidades!A:A""), ""Select Col1 where Col1 = 'Sábio 1' or Col1 = 'Curandeiro 1' or Col1 = 'Reviver 1'""), 
if('Time 2'!C5 = ""Mojian"", query(IMPORTRANGE(""15YC3Wi7qFmdVjHeW_UCnbsoqaugkIEVJhDMDhRjct1c"", ""Habil"&amp;"idades!A:A""), ""Select Col1 where Col1 = 'Comandante 3' or Col1 = 'Arquimago 3' or Col1 = 'Raio elétrico'""), 
if('Time 2'!C5 = ""Nya"", query(IMPORTRANGE(""15YC3Wi7qFmdVjHeW_UCnbsoqaugkIEVJhDMDhRjct1c"", ""Habilidades!A:A""), ""Select Col1 where Col1 = "&amp;"'Reviver 1' or Col1 = 'Arquimago 1' or Col1 = 'Cone-gélido'""), 
if('Time 2'!C5 = ""Odette"", query(IMPORTRANGE(""15YC3Wi7qFmdVjHeW_UCnbsoqaugkIEVJhDMDhRjct1c"", ""Habilidades!A:A""), ""Select Col1 where Col1 = 'Cuidadoso 2' or Col1 = 'Amazona 2' or Col1 "&amp;"= 'Suporte 2'""), 
if('Time 2'!C5 = ""Oneira"", query(IMPORTRANGE(""15YC3Wi7qFmdVjHeW_UCnbsoqaugkIEVJhDMDhRjct1c"", ""Habilidades!A:A""), ""Select Col1 where Col1 = 'Ganancioso 3' or Col1 = 'Curandeiro 2' or Col1 = 'Suporte 2'""), 
if('Time 2'!C5 = ""Pala"&amp;"sh"", query(IMPORTRANGE(""15YC3Wi7qFmdVjHeW_UCnbsoqaugkIEVJhDMDhRjct1c"", ""Habilidades!A:A""), ""Select Col1 where Col1 = 'Catador 1' or Col1 = 'Resistente 1' or Col1 = 'Fornecedor 1'""), 
if('Time 2'!C5 = ""Theor"", query(IMPORTRANGE(""15YC3Wi7qFmdVjHeW"&amp;"_UCnbsoqaugkIEVJhDMDhRjct1c"", ""Habilidades!A:A""), ""Select Col1 where Col1 = 'Companheiro de Guerra 1' or Col1 = 'Energético 1' or Col1 = 'Cortar'""), 
if('Time 2'!C5 = ""Yue"", query(IMPORTRANGE(""15YC3Wi7qFmdVjHeW_UCnbsoqaugkIEVJhDMDhRjct1c"", ""Habi"&amp;"lidades!A:A""), ""Select Col1 where Col1 = 'Resistente 3' or Col1 = 'Mestre das armas' or Col1 = 'Comandante 3'"")))))))))))))))))))))))))))))"),"Defesa")</f>
        <v>Defesa</v>
      </c>
      <c r="D5" s="224" t="str">
        <f>IFERROR(__xludf.DUMMYFUNCTION("if('Time 2'!$C6 = ""Albert"", query(IMPORTRANGE(""15YC3Wi7qFmdVjHeW_UCnbsoqaugkIEVJhDMDhRjct1c"", ""Habilidades!A:A""), ""Select Col1 where Col1 = 'Cuidadoso 1' or Col1 = 'Fornecedor 1' or Col1 = 'Suporte 1'""),     
if('Time 2'!C6 = ""Alicia"", query(IMP"&amp;"ORTRANGE(""15YC3Wi7qFmdVjHeW_UCnbsoqaugkIEVJhDMDhRjct1c"", ""Habilidades!A:A""), ""Select Col1 where Col1 = 'Amazona 3' or Col1 = 'Energético 3' or Col1 = 'Sortudo 3'""), 
if('Time 2'!C6 = ""Azula"", query(IMPORTRANGE(""15YC3Wi7qFmdVjHeW_UCnbsoqaugkIEVJhD"&amp;"MDhRjct1c"", ""Habilidades!A:A""), ""Select Col1 where Col1 = 'Arquimago 2' or Col1 = 'Curandeiro 3' or Col1 = 'Sábio 3'""), 
if('Time 2'!C6 = ""Charles"", query(IMPORTRANGE(""15YC3Wi7qFmdVjHeW_UCnbsoqaugkIEVJhDMDhRjct1c"", ""Habilidades!A:A""), ""Select "&amp;"Col1 where Col1 = 'Armadura do Mago' or Col1 = 'Detectar segredo' or Col1 = 'Encontrar mágica'""), 
if('Time 2'!C6 = ""Clovis"", query(IMPORTRANGE(""15YC3Wi7qFmdVjHeW_UCnbsoqaugkIEVJhDMDhRjct1c"", ""Habilidades!A:A""), ""Select Col1 where Col1 = 'Defesa' "&amp;"or Col1 = 'Protetor 1' or Col1 = 'Comandante 1'""), 
if('Time 2'!C6 = ""Darthos"", query(IMPORTRANGE(""15YC3Wi7qFmdVjHeW_UCnbsoqaugkIEVJhDMDhRjct1c"", ""Habilidades!A:A""), ""Select Col1 where Col1 = 'Velocista 2' or Col1 = 'Sábio 2' or Col1 = 'Companheir"&amp;"o de Guerra 3'""), 
if('Time 2'!C6 = ""Edward"", query(IMPORTRANGE(""15YC3Wi7qFmdVjHeW_UCnbsoqaugkIEVJhDMDhRjct1c"", ""Habilidades!A:A""), ""Select Col1 where Col1 = 'Líder 3' or Col1 = 'Reviver 3' or Col1 = 'Protetor 3'""), 
if('Time 2'!C6 = ""Fiora"", q"&amp;"uery(IMPORTRANGE(""15YC3Wi7qFmdVjHeW_UCnbsoqaugkIEVJhDMDhRjct1c"", ""Habilidades!A:A""), ""Select Col1 where Col1 = 'Comandante 2' or Col1 = 'Ganancioso 2' or Col1 = 'Reviver 2'""), 
if('Time 2'!C6 = ""Francesca"", query(IMPORTRANGE(""15YC3Wi7qFmdVjHeW_UC"&amp;"nbsoqaugkIEVJhDMDhRjct1c"", ""Habilidades!A:A""), ""Select Col1 where Col1 = 'Cuidadoso 3' or Col1 = 'Fornecedor 3' or Col1 = 'Resistente 1'""), 
if('Time 2'!C6 = ""Garreth"", query(IMPORTRANGE(""15YC3Wi7qFmdVjHeW_UCnbsoqaugkIEVJhDMDhRjct1c"", ""Habilidad"&amp;"es!A:A""), ""Select Col1 where Col1 = 'Sortudo 1' or Col1 = 'Caça-tesouros 1' or Col1 = 'Catador 1'""), 
if('Time 2'!C6 = ""Gauvin"", query(IMPORTRANGE(""15YC3Wi7qFmdVjHeW_UCnbsoqaugkIEVJhDMDhRjct1c"", ""Habilidades!A:A""), ""Select Col1 where Col1 = 'Líd"&amp;"er 1' or Col1 = 'Companheiro de Guerra 1' or Col1 = 'Resistente 2'""), 
if('Time 2'!C6 = ""Irene"", query(IMPORTRANGE(""15YC3Wi7qFmdVjHeW_UCnbsoqaugkIEVJhDMDhRjct1c"", ""Habilidades!A:A""), ""Select Col1 where Col1 = 'Gangster 1' or Col1 = 'Fornecedor 2' "&amp;"or Col1 = 'Engenhoso 1'""), 
if('Time 2'!C6 = ""Karal"", query(IMPORTRANGE(""15YC3Wi7qFmdVjHeW_UCnbsoqaugkIEVJhDMDhRjct1c"", ""Habilidades!A:A""), ""Select Col1 where Col1 = 'Amazona 1' or Col1 = 'Resistente 1' or Col1 = 'Esmagar'""), 
if('Time 2'!C6 = """&amp;"Kuro Shobi"", query(IMPORTRANGE(""15YC3Wi7qFmdVjHeW_UCnbsoqaugkIEVJhDMDhRjct1c"", ""Habilidades!A:A""), ""Select Col1 where Col1 = 'Gangster 3' or Col1 = 'Engenhoso 3' or Col1 = 'Velocista 3'""), 
if('Time 2'!C6 = ""Kurul"", query(IMPORTRANGE(""15YC3Wi7qF"&amp;"mdVjHeW_UCnbsoqaugkIEVJhDMDhRjct1c"", ""Habilidades!A:A""), ""Select Col1 where Col1 = 'Catador 2' or Col1 = 'Energético 2' or Col1 = 'Líder 2'""), 
if('Time 2'!C6 = ""Lancaster"", query(IMPORTRANGE(""15YC3Wi7qFmdVjHeW_UCnbsoqaugkIEVJhDMDhRjct1c"", ""Habi"&amp;"lidades!A:A""), ""Select Col1 where Col1 = 'Engenhoso 2' or Col1 = 'Protetor 2' or Col1 = 'Companheiro de Guerra 2'""), 
if('Time 2'!C6 = ""Lorelei"", query(IMPORTRANGE(""15YC3Wi7qFmdVjHeW_UCnbsoqaugkIEVJhDMDhRjct1c"", ""Habilidades!A:A""), ""Select Col1 "&amp;"where Col1 = 'Sortudo 3' or Col1 = 'Emboscada' or Col1 = 'Catador 3'""), 
if('Time 2'!C6 = ""Louca"", query(IMPORTRANGE(""15YC3Wi7qFmdVjHeW_UCnbsoqaugkIEVJhDMDhRjct1c"", ""Habilidades!A:A""), ""Select Col1 where Col1 = 'Caça-tesouros 3' or Col1 = 'Catador"&amp;" 3' or Col1 = 'Suporte 3'""), 
if('Time 2'!C6 = ""Melina"", query(IMPORTRANGE(""15YC3Wi7qFmdVjHeW_UCnbsoqaugkIEVJhDMDhRjct1c"", ""Habilidades!A:A""), ""Select Col1 where Col1 = 'Bola de fogo' or Col1 = 'Sábio 1' or Col1 = 'Velocista 1'""), 
if('Time 2'!C6"&amp;" = ""Mila"", query(IMPORTRANGE(""15YC3Wi7qFmdVjHeW_UCnbsoqaugkIEVJhDMDhRjct1c"", ""Habilidades!A:A""), ""Select Col1 where Col1 = 'Caça-tesouros 2' or Col1 = 'Sortudo 2' or Col1 = 'Ganancioso 1'""), 
if('Time 2'!C6 = ""Minh"", query(IMPORTRANGE(""15YC3Wi7"&amp;"qFmdVjHeW_UCnbsoqaugkIEVJhDMDhRjct1c"", ""Habilidades!A:A""), ""Select Col1 where Col1 = 'Sábio 1' or Col1 = 'Curandeiro 1' or Col1 = 'Reviver 1'""), 
if('Time 2'!C6 = ""Mojian"", query(IMPORTRANGE(""15YC3Wi7qFmdVjHeW_UCnbsoqaugkIEVJhDMDhRjct1c"", ""Habil"&amp;"idades!A:A""), ""Select Col1 where Col1 = 'Comandante 3' or Col1 = 'Arquimago 3' or Col1 = 'Raio elétrico'""), 
if('Time 2'!C6 = ""Nya"", query(IMPORTRANGE(""15YC3Wi7qFmdVjHeW_UCnbsoqaugkIEVJhDMDhRjct1c"", ""Habilidades!A:A""), ""Select Col1 where Col1 = "&amp;"'Reviver 1' or Col1 = 'Arquimago 1' or Col1 = 'Cone-gélido'""), 
if('Time 2'!C6 = ""Odette"", query(IMPORTRANGE(""15YC3Wi7qFmdVjHeW_UCnbsoqaugkIEVJhDMDhRjct1c"", ""Habilidades!A:A""), ""Select Col1 where Col1 = 'Cuidadoso 2' or Col1 = 'Amazona 2' or Col1 "&amp;"= 'Suporte 2'""), 
if('Time 2'!C6 = ""Oneira"", query(IMPORTRANGE(""15YC3Wi7qFmdVjHeW_UCnbsoqaugkIEVJhDMDhRjct1c"", ""Habilidades!A:A""), ""Select Col1 where Col1 = 'Ganancioso 3' or Col1 = 'Curandeiro 2' or Col1 = 'Suporte 2'""), 
if('Time 2'!C6 = ""Pala"&amp;"sh"", query(IMPORTRANGE(""15YC3Wi7qFmdVjHeW_UCnbsoqaugkIEVJhDMDhRjct1c"", ""Habilidades!A:A""), ""Select Col1 where Col1 = 'Catador 1' or Col1 = 'Resistente 1' or Col1 = 'Fornecedor 1'""), 
if('Time 2'!C6 = ""Theor"", query(IMPORTRANGE(""15YC3Wi7qFmdVjHeW"&amp;"_UCnbsoqaugkIEVJhDMDhRjct1c"", ""Habilidades!A:A""), ""Select Col1 where Col1 = 'Companheiro de Guerra 1' or Col1 = 'Energético 1' or Col1 = 'Cortar'""), 
if('Time 2'!C6 = ""Yue"", query(IMPORTRANGE(""15YC3Wi7qFmdVjHeW_UCnbsoqaugkIEVJhDMDhRjct1c"", ""Habi"&amp;"lidades!A:A""), ""Select Col1 where Col1 = 'Resistente 3' or Col1 = 'Mestre das armas' or Col1 = 'Comandante 3'"")))))))))))))))))))))))))))))"),"Catador 3")</f>
        <v>Catador 3</v>
      </c>
      <c r="E5" s="224" t="str">
        <f>IFERROR(__xludf.DUMMYFUNCTION("if('Time 2'!$C7 = ""Albert"", query(IMPORTRANGE(""15YC3Wi7qFmdVjHeW_UCnbsoqaugkIEVJhDMDhRjct1c"", ""Habilidades!A:A""), ""Select Col1 where Col1 = 'Cuidadoso 1' or Col1 = 'Fornecedor 1' or Col1 = 'Suporte 1'""),     
if('Time 2'!C7 = ""Alicia"", query(IMP"&amp;"ORTRANGE(""15YC3Wi7qFmdVjHeW_UCnbsoqaugkIEVJhDMDhRjct1c"", ""Habilidades!A:A""), ""Select Col1 where Col1 = 'Amazona 3' or Col1 = 'Energético 3' or Col1 = 'Sortudo 3'""), 
if('Time 2'!C7 = ""Azula"", query(IMPORTRANGE(""15YC3Wi7qFmdVjHeW_UCnbsoqaugkIEVJhD"&amp;"MDhRjct1c"", ""Habilidades!A:A""), ""Select Col1 where Col1 = 'Arquimago 2' or Col1 = 'Curandeiro 3' or Col1 = 'Sábio 3'""), 
if('Time 2'!C7 = ""Charles"", query(IMPORTRANGE(""15YC3Wi7qFmdVjHeW_UCnbsoqaugkIEVJhDMDhRjct1c"", ""Habilidades!A:A""), ""Select "&amp;"Col1 where Col1 = 'Armadura do Mago' or Col1 = 'Detectar segredo' or Col1 = 'Encontrar mágica'""), 
if('Time 2'!C7 = ""Clovis"", query(IMPORTRANGE(""15YC3Wi7qFmdVjHeW_UCnbsoqaugkIEVJhDMDhRjct1c"", ""Habilidades!A:A""), ""Select Col1 where Col1 = 'Defesa' "&amp;"or Col1 = 'Protetor 1' or Col1 = 'Comandante 1'""), 
if('Time 2'!C7 = ""Darthos"", query(IMPORTRANGE(""15YC3Wi7qFmdVjHeW_UCnbsoqaugkIEVJhDMDhRjct1c"", ""Habilidades!A:A""), ""Select Col1 where Col1 = 'Velocista 2' or Col1 = 'Sábio 2' or Col1 = 'Companheir"&amp;"o de Guerra 3'""), 
if('Time 2'!C7 = ""Edward"", query(IMPORTRANGE(""15YC3Wi7qFmdVjHeW_UCnbsoqaugkIEVJhDMDhRjct1c"", ""Habilidades!A:A""), ""Select Col1 where Col1 = 'Líder 3' or Col1 = 'Reviver 3' or Col1 = 'Protetor 3'""), 
if('Time 2'!C7 = ""Fiora"", q"&amp;"uery(IMPORTRANGE(""15YC3Wi7qFmdVjHeW_UCnbsoqaugkIEVJhDMDhRjct1c"", ""Habilidades!A:A""), ""Select Col1 where Col1 = 'Comandante 2' or Col1 = 'Ganancioso 2' or Col1 = 'Reviver 2'""), 
if('Time 2'!C7 = ""Francesca"", query(IMPORTRANGE(""15YC3Wi7qFmdVjHeW_UC"&amp;"nbsoqaugkIEVJhDMDhRjct1c"", ""Habilidades!A:A""), ""Select Col1 where Col1 = 'Cuidadoso 3' or Col1 = 'Fornecedor 3' or Col1 = 'Resistente 1'""), 
if('Time 2'!C7 = ""Garreth"", query(IMPORTRANGE(""15YC3Wi7qFmdVjHeW_UCnbsoqaugkIEVJhDMDhRjct1c"", ""Habilidad"&amp;"es!A:A""), ""Select Col1 where Col1 = 'Sortudo 1' or Col1 = 'Caça-tesouros 1' or Col1 = 'Catador 1'""), 
if('Time 2'!C7 = ""Gauvin"", query(IMPORTRANGE(""15YC3Wi7qFmdVjHeW_UCnbsoqaugkIEVJhDMDhRjct1c"", ""Habilidades!A:A""), ""Select Col1 where Col1 = 'Líd"&amp;"er 1' or Col1 = 'Companheiro de Guerra 1' or Col1 = 'Resistente 2'""), 
if('Time 2'!C7 = ""Irene"", query(IMPORTRANGE(""15YC3Wi7qFmdVjHeW_UCnbsoqaugkIEVJhDMDhRjct1c"", ""Habilidades!A:A""), ""Select Col1 where Col1 = 'Gangster 1' or Col1 = 'Fornecedor 2' "&amp;"or Col1 = 'Engenhoso 1'""), 
if('Time 2'!C7 = ""Karal"", query(IMPORTRANGE(""15YC3Wi7qFmdVjHeW_UCnbsoqaugkIEVJhDMDhRjct1c"", ""Habilidades!A:A""), ""Select Col1 where Col1 = 'Amazona 1' or Col1 = 'Resistente 1' or Col1 = 'Esmagar'""), 
if('Time 2'!C7 = """&amp;"Kuro Shobi"", query(IMPORTRANGE(""15YC3Wi7qFmdVjHeW_UCnbsoqaugkIEVJhDMDhRjct1c"", ""Habilidades!A:A""), ""Select Col1 where Col1 = 'Gangster 3' or Col1 = 'Engenhoso 3' or Col1 = 'Velocista 3'""), 
if('Time 2'!C7 = ""Kurul"", query(IMPORTRANGE(""15YC3Wi7qF"&amp;"mdVjHeW_UCnbsoqaugkIEVJhDMDhRjct1c"", ""Habilidades!A:A""), ""Select Col1 where Col1 = 'Catador 2' or Col1 = 'Energético 2' or Col1 = 'Líder 2'""), 
if('Time 2'!C7 = ""Lancaster"", query(IMPORTRANGE(""15YC3Wi7qFmdVjHeW_UCnbsoqaugkIEVJhDMDhRjct1c"", ""Habi"&amp;"lidades!A:A""), ""Select Col1 where Col1 = 'Engenhoso 2' or Col1 = 'Protetor 2' or Col1 = 'Companheiro de Guerra 2'""), 
if('Time 2'!C7 = ""Lorelei"", query(IMPORTRANGE(""15YC3Wi7qFmdVjHeW_UCnbsoqaugkIEVJhDMDhRjct1c"", ""Habilidades!A:A""), ""Select Col1 "&amp;"where Col1 = 'Sortudo 3' or Col1 = 'Emboscada' or Col1 = 'Catador 3'""), 
if('Time 2'!C7 = ""Louca"", query(IMPORTRANGE(""15YC3Wi7qFmdVjHeW_UCnbsoqaugkIEVJhDMDhRjct1c"", ""Habilidades!A:A""), ""Select Col1 where Col1 = 'Caça-tesouros 3' or Col1 = 'Catador"&amp;" 3' or Col1 = 'Suporte 3'""), 
if('Time 2'!C7 = ""Melina"", query(IMPORTRANGE(""15YC3Wi7qFmdVjHeW_UCnbsoqaugkIEVJhDMDhRjct1c"", ""Habilidades!A:A""), ""Select Col1 where Col1 = 'Bola de fogo' or Col1 = 'Sábio 1' or Col1 = 'Velocista 1'""), 
if('Time 2'!C7"&amp;" = ""Mila"", query(IMPORTRANGE(""15YC3Wi7qFmdVjHeW_UCnbsoqaugkIEVJhDMDhRjct1c"", ""Habilidades!A:A""), ""Select Col1 where Col1 = 'Caça-tesouros 2' or Col1 = 'Sortudo 2' or Col1 = 'Ganancioso 1'""), 
if('Time 2'!C7 = ""Minh"", query(IMPORTRANGE(""15YC3Wi7"&amp;"qFmdVjHeW_UCnbsoqaugkIEVJhDMDhRjct1c"", ""Habilidades!A:A""), ""Select Col1 where Col1 = 'Sábio 1' or Col1 = 'Curandeiro 1' or Col1 = 'Reviver 1'""), 
if('Time 2'!C7 = ""Mojian"", query(IMPORTRANGE(""15YC3Wi7qFmdVjHeW_UCnbsoqaugkIEVJhDMDhRjct1c"", ""Habil"&amp;"idades!A:A""), ""Select Col1 where Col1 = 'Comandante 3' or Col1 = 'Arquimago 3' or Col1 = 'Raio elétrico'""), 
if('Time 2'!C7 = ""Nya"", query(IMPORTRANGE(""15YC3Wi7qFmdVjHeW_UCnbsoqaugkIEVJhDMDhRjct1c"", ""Habilidades!A:A""), ""Select Col1 where Col1 = "&amp;"'Reviver 1' or Col1 = 'Arquimago 1' or Col1 = 'Cone-gélido'""), 
if('Time 2'!C7 = ""Odette"", query(IMPORTRANGE(""15YC3Wi7qFmdVjHeW_UCnbsoqaugkIEVJhDMDhRjct1c"", ""Habilidades!A:A""), ""Select Col1 where Col1 = 'Cuidadoso 2' or Col1 = 'Amazona 2' or Col1 "&amp;"= 'Suporte 2'""), 
if('Time 2'!C7 = ""Oneira"", query(IMPORTRANGE(""15YC3Wi7qFmdVjHeW_UCnbsoqaugkIEVJhDMDhRjct1c"", ""Habilidades!A:A""), ""Select Col1 where Col1 = 'Ganancioso 3' or Col1 = 'Curandeiro 2' or Col1 = 'Suporte 2'""), 
if('Time 2'!C7 = ""Pala"&amp;"sh"", query(IMPORTRANGE(""15YC3Wi7qFmdVjHeW_UCnbsoqaugkIEVJhDMDhRjct1c"", ""Habilidades!A:A""), ""Select Col1 where Col1 = 'Catador 1' or Col1 = 'Resistente 1' or Col1 = 'Fornecedor 1'""), 
if('Time 2'!C7 = ""Theor"", query(IMPORTRANGE(""15YC3Wi7qFmdVjHeW"&amp;"_UCnbsoqaugkIEVJhDMDhRjct1c"", ""Habilidades!A:A""), ""Select Col1 where Col1 = 'Companheiro de Guerra 1' or Col1 = 'Energético 1' or Col1 = 'Cortar'""), 
if('Time 2'!C7 = ""Yue"", query(IMPORTRANGE(""15YC3Wi7qFmdVjHeW_UCnbsoqaugkIEVJhDMDhRjct1c"", ""Habi"&amp;"lidades!A:A""), ""Select Col1 where Col1 = 'Resistente 3' or Col1 = 'Mestre das armas' or Col1 = 'Comandante 3'"")))))))))))))))))))))))))))))"),"Mestre das armas")</f>
        <v>Mestre das armas</v>
      </c>
      <c r="F5" s="224" t="str">
        <f>IFERROR(__xludf.DUMMYFUNCTION("if('Time 2'!$C8 = ""Albert"", query(IMPORTRANGE(""15YC3Wi7qFmdVjHeW_UCnbsoqaugkIEVJhDMDhRjct1c"", ""Habilidades!A:A""), ""Select Col1 where Col1 = 'Cuidadoso 1' or Col1 = 'Fornecedor 1' or Col1 = 'Suporte 1'""),     
if('Time 2'!C8 = ""Alicia"", query(IMP"&amp;"ORTRANGE(""15YC3Wi7qFmdVjHeW_UCnbsoqaugkIEVJhDMDhRjct1c"", ""Habilidades!A:A""), ""Select Col1 where Col1 = 'Amazona 3' or Col1 = 'Energético 3' or Col1 = 'Sortudo 3'""), 
if('Time 2'!C8 = ""Azula"", query(IMPORTRANGE(""15YC3Wi7qFmdVjHeW_UCnbsoqaugkIEVJhD"&amp;"MDhRjct1c"", ""Habilidades!A:A""), ""Select Col1 where Col1 = 'Arquimago 2' or Col1 = 'Curandeiro 3' or Col1 = 'Sábio 3'""), 
if('Time 2'!C8 = ""Charles"", query(IMPORTRANGE(""15YC3Wi7qFmdVjHeW_UCnbsoqaugkIEVJhDMDhRjct1c"", ""Habilidades!A:A""), ""Select "&amp;"Col1 where Col1 = 'Armadura do Mago' or Col1 = 'Detectar segredo' or Col1 = 'Encontrar mágica'""), 
if('Time 2'!C8 = ""Clovis"", query(IMPORTRANGE(""15YC3Wi7qFmdVjHeW_UCnbsoqaugkIEVJhDMDhRjct1c"", ""Habilidades!A:A""), ""Select Col1 where Col1 = 'Defesa' "&amp;"or Col1 = 'Protetor 1' or Col1 = 'Comandante 1'""), 
if('Time 2'!C8 = ""Darthos"", query(IMPORTRANGE(""15YC3Wi7qFmdVjHeW_UCnbsoqaugkIEVJhDMDhRjct1c"", ""Habilidades!A:A""), ""Select Col1 where Col1 = 'Velocista 2' or Col1 = 'Sábio 2' or Col1 = 'Companheir"&amp;"o de Guerra 3'""), 
if('Time 2'!C8 = ""Edward"", query(IMPORTRANGE(""15YC3Wi7qFmdVjHeW_UCnbsoqaugkIEVJhDMDhRjct1c"", ""Habilidades!A:A""), ""Select Col1 where Col1 = 'Líder 3' or Col1 = 'Reviver 3' or Col1 = 'Protetor 3'""), 
if('Time 2'!C8 = ""Fiora"", q"&amp;"uery(IMPORTRANGE(""15YC3Wi7qFmdVjHeW_UCnbsoqaugkIEVJhDMDhRjct1c"", ""Habilidades!A:A""), ""Select Col1 where Col1 = 'Comandante 2' or Col1 = 'Ganancioso 2' or Col1 = 'Reviver 2'""), 
if('Time 2'!C8 = ""Francesca"", query(IMPORTRANGE(""15YC3Wi7qFmdVjHeW_UC"&amp;"nbsoqaugkIEVJhDMDhRjct1c"", ""Habilidades!A:A""), ""Select Col1 where Col1 = 'Cuidadoso 3' or Col1 = 'Fornecedor 3' or Col1 = 'Resistente 1'""), 
if('Time 2'!C8 = ""Garreth"", query(IMPORTRANGE(""15YC3Wi7qFmdVjHeW_UCnbsoqaugkIEVJhDMDhRjct1c"", ""Habilidad"&amp;"es!A:A""), ""Select Col1 where Col1 = 'Sortudo 1' or Col1 = 'Caça-tesouros 1' or Col1 = 'Catador 1'""), 
if('Time 2'!C8 = ""Gauvin"", query(IMPORTRANGE(""15YC3Wi7qFmdVjHeW_UCnbsoqaugkIEVJhDMDhRjct1c"", ""Habilidades!A:A""), ""Select Col1 where Col1 = 'Líd"&amp;"er 1' or Col1 = 'Companheiro de Guerra 1' or Col1 = 'Resistente 2'""), 
if('Time 2'!C8 = ""Irene"", query(IMPORTRANGE(""15YC3Wi7qFmdVjHeW_UCnbsoqaugkIEVJhDMDhRjct1c"", ""Habilidades!A:A""), ""Select Col1 where Col1 = 'Gangster 1' or Col1 = 'Fornecedor 2' "&amp;"or Col1 = 'Engenhoso 1'""), 
if('Time 2'!C8 = ""Karal"", query(IMPORTRANGE(""15YC3Wi7qFmdVjHeW_UCnbsoqaugkIEVJhDMDhRjct1c"", ""Habilidades!A:A""), ""Select Col1 where Col1 = 'Amazona 1' or Col1 = 'Resistente 1' or Col1 = 'Esmagar'""), 
if('Time 2'!C8 = """&amp;"Kuro Shobi"", query(IMPORTRANGE(""15YC3Wi7qFmdVjHeW_UCnbsoqaugkIEVJhDMDhRjct1c"", ""Habilidades!A:A""), ""Select Col1 where Col1 = 'Gangster 3' or Col1 = 'Engenhoso 3' or Col1 = 'Velocista 3'""), 
if('Time 2'!C8 = ""Kurul"", query(IMPORTRANGE(""15YC3Wi7qF"&amp;"mdVjHeW_UCnbsoqaugkIEVJhDMDhRjct1c"", ""Habilidades!A:A""), ""Select Col1 where Col1 = 'Catador 2' or Col1 = 'Energético 2' or Col1 = 'Líder 2'""), 
if('Time 2'!C8 = ""Lancaster"", query(IMPORTRANGE(""15YC3Wi7qFmdVjHeW_UCnbsoqaugkIEVJhDMDhRjct1c"", ""Habi"&amp;"lidades!A:A""), ""Select Col1 where Col1 = 'Engenhoso 2' or Col1 = 'Protetor 2' or Col1 = 'Companheiro de Guerra 2'""), 
if('Time 2'!C8 = ""Lorelei"", query(IMPORTRANGE(""15YC3Wi7qFmdVjHeW_UCnbsoqaugkIEVJhDMDhRjct1c"", ""Habilidades!A:A""), ""Select Col1 "&amp;"where Col1 = 'Sortudo 3' or Col1 = 'Emboscada' or Col1 = 'Catador 3'""), 
if('Time 2'!C8 = ""Louca"", query(IMPORTRANGE(""15YC3Wi7qFmdVjHeW_UCnbsoqaugkIEVJhDMDhRjct1c"", ""Habilidades!A:A""), ""Select Col1 where Col1 = 'Caça-tesouros 3' or Col1 = 'Catador"&amp;" 3' or Col1 = 'Suporte 3'""), 
if('Time 2'!C8 = ""Melina"", query(IMPORTRANGE(""15YC3Wi7qFmdVjHeW_UCnbsoqaugkIEVJhDMDhRjct1c"", ""Habilidades!A:A""), ""Select Col1 where Col1 = 'Bola de fogo' or Col1 = 'Sábio 1' or Col1 = 'Velocista 1'""), 
if('Time 2'!C8"&amp;" = ""Mila"", query(IMPORTRANGE(""15YC3Wi7qFmdVjHeW_UCnbsoqaugkIEVJhDMDhRjct1c"", ""Habilidades!A:A""), ""Select Col1 where Col1 = 'Caça-tesouros 2' or Col1 = 'Sortudo 2' or Col1 = 'Ganancioso 1'""), 
if('Time 2'!C8 = ""Minh"", query(IMPORTRANGE(""15YC3Wi7"&amp;"qFmdVjHeW_UCnbsoqaugkIEVJhDMDhRjct1c"", ""Habilidades!A:A""), ""Select Col1 where Col1 = 'Sábio 1' or Col1 = 'Curandeiro 1' or Col1 = 'Reviver 1'""), 
if('Time 2'!C8 = ""Mojian"", query(IMPORTRANGE(""15YC3Wi7qFmdVjHeW_UCnbsoqaugkIEVJhDMDhRjct1c"", ""Habil"&amp;"idades!A:A""), ""Select Col1 where Col1 = 'Comandante 3' or Col1 = 'Arquimago 3' or Col1 = 'Raio elétrico'""), 
if('Time 2'!C8 = ""Nya"", query(IMPORTRANGE(""15YC3Wi7qFmdVjHeW_UCnbsoqaugkIEVJhDMDhRjct1c"", ""Habilidades!A:A""), ""Select Col1 where Col1 = "&amp;"'Reviver 1' or Col1 = 'Arquimago 1' or Col1 = 'Cone-gélido'""), 
if('Time 2'!C8 = ""Odette"", query(IMPORTRANGE(""15YC3Wi7qFmdVjHeW_UCnbsoqaugkIEVJhDMDhRjct1c"", ""Habilidades!A:A""), ""Select Col1 where Col1 = 'Cuidadoso 2' or Col1 = 'Amazona 2' or Col1 "&amp;"= 'Suporte 2'""), 
if('Time 2'!C8 = ""Oneira"", query(IMPORTRANGE(""15YC3Wi7qFmdVjHeW_UCnbsoqaugkIEVJhDMDhRjct1c"", ""Habilidades!A:A""), ""Select Col1 where Col1 = 'Ganancioso 3' or Col1 = 'Curandeiro 2' or Col1 = 'Suporte 2'""), 
if('Time 2'!C8 = ""Pala"&amp;"sh"", query(IMPORTRANGE(""15YC3Wi7qFmdVjHeW_UCnbsoqaugkIEVJhDMDhRjct1c"", ""Habilidades!A:A""), ""Select Col1 where Col1 = 'Catador 1' or Col1 = 'Resistente 1' or Col1 = 'Fornecedor 1'""), 
if('Time 2'!C8 = ""Theor"", query(IMPORTRANGE(""15YC3Wi7qFmdVjHeW"&amp;"_UCnbsoqaugkIEVJhDMDhRjct1c"", ""Habilidades!A:A""), ""Select Col1 where Col1 = 'Companheiro de Guerra 1' or Col1 = 'Energético 1' or Col1 = 'Cortar'""), 
if('Time 2'!C8 = ""Yue"", query(IMPORTRANGE(""15YC3Wi7qFmdVjHeW_UCnbsoqaugkIEVJhDMDhRjct1c"", ""Habi"&amp;"lidades!A:A""), ""Select Col1 where Col1 = 'Resistente 3' or Col1 = 'Mestre das armas' or Col1 = 'Comandante 3'"")))))))))))))))))))))))))))))"),"Arquimago 2")</f>
        <v>Arquimago 2</v>
      </c>
      <c r="G5" s="47"/>
    </row>
    <row r="6">
      <c r="A6" s="224" t="str">
        <f>IFERROR(__xludf.DUMMYFUNCTION("""COMPUTED_VALUE"""),"Gangster 3")</f>
        <v>Gangster 3</v>
      </c>
      <c r="B6" s="224" t="str">
        <f>IFERROR(__xludf.DUMMYFUNCTION("""COMPUTED_VALUE"""),"Engenhoso 2")</f>
        <v>Engenhoso 2</v>
      </c>
      <c r="C6" s="224" t="str">
        <f>IFERROR(__xludf.DUMMYFUNCTION("""COMPUTED_VALUE"""),"Protetor 1")</f>
        <v>Protetor 1</v>
      </c>
      <c r="D6" s="224" t="str">
        <f>IFERROR(__xludf.DUMMYFUNCTION("""COMPUTED_VALUE"""),"Suporte 3")</f>
        <v>Suporte 3</v>
      </c>
      <c r="E6" s="224" t="str">
        <f>IFERROR(__xludf.DUMMYFUNCTION("""COMPUTED_VALUE"""),"Resistente 3")</f>
        <v>Resistente 3</v>
      </c>
      <c r="F6" s="224" t="str">
        <f>IFERROR(__xludf.DUMMYFUNCTION("""COMPUTED_VALUE"""),"Curandeiro 3")</f>
        <v>Curandeiro 3</v>
      </c>
      <c r="G6" s="47"/>
    </row>
    <row r="7">
      <c r="A7" s="224" t="str">
        <f>IFERROR(__xludf.DUMMYFUNCTION("""COMPUTED_VALUE"""),"Velocista 3")</f>
        <v>Velocista 3</v>
      </c>
      <c r="B7" s="224" t="str">
        <f>IFERROR(__xludf.DUMMYFUNCTION("""COMPUTED_VALUE"""),"Companheiro de Guerra 2")</f>
        <v>Companheiro de Guerra 2</v>
      </c>
      <c r="C7" s="224" t="str">
        <f>IFERROR(__xludf.DUMMYFUNCTION("""COMPUTED_VALUE"""),"Comandante 1")</f>
        <v>Comandante 1</v>
      </c>
      <c r="D7" s="224" t="str">
        <f>IFERROR(__xludf.DUMMYFUNCTION("""COMPUTED_VALUE"""),"Caça-tesouros 3")</f>
        <v>Caça-tesouros 3</v>
      </c>
      <c r="E7" s="224" t="str">
        <f>IFERROR(__xludf.DUMMYFUNCTION("""COMPUTED_VALUE"""),"Comandante 3")</f>
        <v>Comandante 3</v>
      </c>
      <c r="F7" s="224" t="str">
        <f>IFERROR(__xludf.DUMMYFUNCTION("""COMPUTED_VALUE"""),"Sábio 3")</f>
        <v>Sábio 3</v>
      </c>
      <c r="G7" s="47"/>
    </row>
    <row r="8">
      <c r="A8" s="47"/>
      <c r="B8" s="47"/>
      <c r="C8" s="47"/>
      <c r="D8" s="47"/>
      <c r="E8" s="47"/>
      <c r="F8" s="47"/>
      <c r="G8" s="47"/>
    </row>
    <row r="9">
      <c r="A9" s="224" t="str">
        <f>IFERROR(__xludf.DUMMYFUNCTION("if('Time 3'!$C3 = ""Albert"", query(IMPORTRANGE(""15YC3Wi7qFmdVjHeW_UCnbsoqaugkIEVJhDMDhRjct1c"", ""Habilidades!A:A""), ""Select Col1 where Col1 = 'Cuidadoso 1' or Col1 = 'Fornecedor 1' or Col1 = 'Suporte 1'""),     
if('Time 3'!C3 = ""Alicia"", query(IMP"&amp;"ORTRANGE(""15YC3Wi7qFmdVjHeW_UCnbsoqaugkIEVJhDMDhRjct1c"", ""Habilidades!A:A""), ""Select Col1 where Col1 = 'Amazona 3' or Col1 = 'Energético 3' or Col1 = 'Sortudo 3'""), 
if('Time 3'!C3 = ""Azula"", query(IMPORTRANGE(""15YC3Wi7qFmdVjHeW_UCnbsoqaugkIEVJhD"&amp;"MDhRjct1c"", ""Habilidades!A:A""), ""Select Col1 where Col1 = 'Arquimago 2' or Col1 = 'Curandeiro 3' or Col1 = 'Sábio 3'""), 
if('Time 3'!C3 = ""Charles"", query(IMPORTRANGE(""15YC3Wi7qFmdVjHeW_UCnbsoqaugkIEVJhDMDhRjct1c"", ""Habilidades!A:A""), ""Select "&amp;"Col1 where Col1 = 'Armadura do Mago' or Col1 = 'Detectar segredo' or Col1 = 'Encontrar mágica'""), 
if('Time 3'!C3 = ""Clovis"", query(IMPORTRANGE(""15YC3Wi7qFmdVjHeW_UCnbsoqaugkIEVJhDMDhRjct1c"", ""Habilidades!A:A""), ""Select Col1 where Col1 = 'Defesa' "&amp;"or Col1 = 'Protetor 1' or Col1 = 'Comandante 1'""), 
if('Time 3'!C3 = ""Darthos"", query(IMPORTRANGE(""15YC3Wi7qFmdVjHeW_UCnbsoqaugkIEVJhDMDhRjct1c"", ""Habilidades!A:A""), ""Select Col1 where Col1 = 'Velocista 2' or Col1 = 'Sábio 2' or Col1 = 'Companheir"&amp;"o de Guerra 3'""), 
if('Time 3'!C3 = ""Edward"", query(IMPORTRANGE(""15YC3Wi7qFmdVjHeW_UCnbsoqaugkIEVJhDMDhRjct1c"", ""Habilidades!A:A""), ""Select Col1 where Col1 = 'Líder 3' or Col1 = 'Reviver 3' or Col1 = 'Protetor 3'""), 
if('Time 3'!C3 = ""Fiora"", q"&amp;"uery(IMPORTRANGE(""15YC3Wi7qFmdVjHeW_UCnbsoqaugkIEVJhDMDhRjct1c"", ""Habilidades!A:A""), ""Select Col1 where Col1 = 'Comandante 2' or Col1 = 'Ganancioso 2' or Col1 = 'Reviver 2'""), 
if('Time 3'!C3 = ""Francesca"", query(IMPORTRANGE(""15YC3Wi7qFmdVjHeW_UC"&amp;"nbsoqaugkIEVJhDMDhRjct1c"", ""Habilidades!A:A""), ""Select Col1 where Col1 = 'Cuidadoso 3' or Col1 = 'Fornecedor 3' or Col1 = 'Resistente 1'""), 
if('Time 3'!C3 = ""Garreth"", query(IMPORTRANGE(""15YC3Wi7qFmdVjHeW_UCnbsoqaugkIEVJhDMDhRjct1c"", ""Habilidad"&amp;"es!A:A""), ""Select Col1 where Col1 = 'Sortudo 1' or Col1 = 'Caça-tesouros 1' or Col1 = 'Catador 1'""), 
if('Time 3'!C3 = ""Gauvin"", query(IMPORTRANGE(""15YC3Wi7qFmdVjHeW_UCnbsoqaugkIEVJhDMDhRjct1c"", ""Habilidades!A:A""), ""Select Col1 where Col1 = 'Líd"&amp;"er 1' or Col1 = 'Companheiro de Guerra 1' or Col1 = 'Resistente 2'""), 
if('Time 3'!C3 = ""Irene"", query(IMPORTRANGE(""15YC3Wi7qFmdVjHeW_UCnbsoqaugkIEVJhDMDhRjct1c"", ""Habilidades!A:A""), ""Select Col1 where Col1 = 'Gangster 1' or Col1 = 'Fornecedor 2' "&amp;"or Col1 = 'Engenhoso 1'""), 
if('Time 3'!C3 = ""Karal"", query(IMPORTRANGE(""15YC3Wi7qFmdVjHeW_UCnbsoqaugkIEVJhDMDhRjct1c"", ""Habilidades!A:A""), ""Select Col1 where Col1 = 'Amazona 1' or Col1 = 'Resistente 1' or Col1 = 'Esmagar'""), 
if('Time 3'!C3 = """&amp;"Kuro Shobi"", query(IMPORTRANGE(""15YC3Wi7qFmdVjHeW_UCnbsoqaugkIEVJhDMDhRjct1c"", ""Habilidades!A:A""), ""Select Col1 where Col1 = 'Gangster 3' or Col1 = 'Engenhoso 3' or Col1 = 'Velocista 3'""), 
if('Time 3'!C3 = ""Kurul"", query(IMPORTRANGE(""15YC3Wi7qF"&amp;"mdVjHeW_UCnbsoqaugkIEVJhDMDhRjct1c"", ""Habilidades!A:A""), ""Select Col1 where Col1 = 'Catador 2' or Col1 = 'Energético 2' or Col1 = 'Líder 2'""), 
if('Time 3'!C3 = ""Lancaster"", query(IMPORTRANGE(""15YC3Wi7qFmdVjHeW_UCnbsoqaugkIEVJhDMDhRjct1c"", ""Habi"&amp;"lidades!A:A""), ""Select Col1 where Col1 = 'Engenhoso 2' or Col1 = 'Protetor 2' or Col1 = 'Companheiro de Guerra 2'""), 
if('Time 3'!C3 = ""Lorelei"", query(IMPORTRANGE(""15YC3Wi7qFmdVjHeW_UCnbsoqaugkIEVJhDMDhRjct1c"", ""Habilidades!A:A""), ""Select Col1 "&amp;"where Col1 = 'Sortudo 3' or Col1 = 'Emboscada' or Col1 = 'Catador 3'""), 
if('Time 3'!C3 = ""Louca"", query(IMPORTRANGE(""15YC3Wi7qFmdVjHeW_UCnbsoqaugkIEVJhDMDhRjct1c"", ""Habilidades!A:A""), ""Select Col1 where Col1 = 'Caça-tesouros 3' or Col1 = 'Catador"&amp;" 3' or Col1 = 'Suporte 3'""), 
if('Time 3'!C3 = ""Melina"", query(IMPORTRANGE(""15YC3Wi7qFmdVjHeW_UCnbsoqaugkIEVJhDMDhRjct1c"", ""Habilidades!A:A""), ""Select Col1 where Col1 = 'Bola de fogo' or Col1 = 'Sábio 1' or Col1 = 'Velocista 1'""), 
if('Time 3'!C3"&amp;" = ""Mila"", query(IMPORTRANGE(""15YC3Wi7qFmdVjHeW_UCnbsoqaugkIEVJhDMDhRjct1c"", ""Habilidades!A:A""), ""Select Col1 where Col1 = 'Caça-tesouros 2' or Col1 = 'Sortudo 2' or Col1 = 'Ganancioso 1'""), 
if('Time 3'!C3 = ""Minh"", query(IMPORTRANGE(""15YC3Wi7"&amp;"qFmdVjHeW_UCnbsoqaugkIEVJhDMDhRjct1c"", ""Habilidades!A:A""), ""Select Col1 where Col1 = 'Sábio 1' or Col1 = 'Curandeiro 1' or Col1 = 'Reviver 1'""), 
if('Time 3'!C3 = ""Mojian"", query(IMPORTRANGE(""15YC3Wi7qFmdVjHeW_UCnbsoqaugkIEVJhDMDhRjct1c"", ""Habil"&amp;"idades!A:A""), ""Select Col1 where Col1 = 'Comandante 3' or Col1 = 'Arquimago 3' or Col1 = 'Raio elétrico'""), 
if('Time 3'!C3 = ""Nya"", query(IMPORTRANGE(""15YC3Wi7qFmdVjHeW_UCnbsoqaugkIEVJhDMDhRjct1c"", ""Habilidades!A:A""), ""Select Col1 where Col1 = "&amp;"'Reviver 1' or Col1 = 'Arquimago 1' or Col1 = 'Cone-gélido'""), 
if('Time 3'!C3 = ""Odette"", query(IMPORTRANGE(""15YC3Wi7qFmdVjHeW_UCnbsoqaugkIEVJhDMDhRjct1c"", ""Habilidades!A:A""), ""Select Col1 where Col1 = 'Cuidadoso 2' or Col1 = 'Amazona 2' or Col1 "&amp;"= 'Suporte 2'""), 
if('Time 3'!C3 = ""Oneira"", query(IMPORTRANGE(""15YC3Wi7qFmdVjHeW_UCnbsoqaugkIEVJhDMDhRjct1c"", ""Habilidades!A:A""), ""Select Col1 where Col1 = 'Ganancioso 3' or Col1 = 'Curandeiro 2' or Col1 = 'Suporte 2'""), 
if('Time 3'!C3 = ""Pala"&amp;"sh"", query(IMPORTRANGE(""15YC3Wi7qFmdVjHeW_UCnbsoqaugkIEVJhDMDhRjct1c"", ""Habilidades!A:A""), ""Select Col1 where Col1 = 'Catador 1' or Col1 = 'Resistente 1' or Col1 = 'Fornecedor 1'""), 
if('Time 3'!C3 = ""Theor"", query(IMPORTRANGE(""15YC3Wi7qFmdVjHeW"&amp;"_UCnbsoqaugkIEVJhDMDhRjct1c"", ""Habilidades!A:A""), ""Select Col1 where Col1 = 'Companheiro de Guerra 1' or Col1 = 'Energético 1' or Col1 = 'Cortar'""), 
if('Time 3'!C3 = ""Yue"", query(IMPORTRANGE(""15YC3Wi7qFmdVjHeW_UCnbsoqaugkIEVJhDMDhRjct1c"", ""Habi"&amp;"lidades!A:A""), ""Select Col1 where Col1 = 'Resistente 3' or Col1 = 'Mestre das armas' or Col1 = 'Comandante 3'"")))))))))))))))))))))))))))))"),"Sábio 2")</f>
        <v>Sábio 2</v>
      </c>
      <c r="B9" s="224" t="str">
        <f>IFERROR(__xludf.DUMMYFUNCTION("if('Time 3'!$C4 = ""Albert"", query(IMPORTRANGE(""15YC3Wi7qFmdVjHeW_UCnbsoqaugkIEVJhDMDhRjct1c"", ""Habilidades!A:A""), ""Select Col1 where Col1 = 'Cuidadoso 1' or Col1 = 'Fornecedor 1' or Col1 = 'Suporte 1'""),     
if('Time 3'!C4 = ""Alicia"", query(IMP"&amp;"ORTRANGE(""15YC3Wi7qFmdVjHeW_UCnbsoqaugkIEVJhDMDhRjct1c"", ""Habilidades!A:A""), ""Select Col1 where Col1 = 'Amazona 3' or Col1 = 'Energético 3' or Col1 = 'Sortudo 3'""), 
if('Time 3'!C4 = ""Azula"", query(IMPORTRANGE(""15YC3Wi7qFmdVjHeW_UCnbsoqaugkIEVJhD"&amp;"MDhRjct1c"", ""Habilidades!A:A""), ""Select Col1 where Col1 = 'Arquimago 2' or Col1 = 'Curandeiro 3' or Col1 = 'Sábio 3'""), 
if('Time 3'!C4 = ""Charles"", query(IMPORTRANGE(""15YC3Wi7qFmdVjHeW_UCnbsoqaugkIEVJhDMDhRjct1c"", ""Habilidades!A:A""), ""Select "&amp;"Col1 where Col1 = 'Armadura do Mago' or Col1 = 'Detectar segredo' or Col1 = 'Encontrar mágica'""), 
if('Time 3'!C4 = ""Clovis"", query(IMPORTRANGE(""15YC3Wi7qFmdVjHeW_UCnbsoqaugkIEVJhDMDhRjct1c"", ""Habilidades!A:A""), ""Select Col1 where Col1 = 'Defesa' "&amp;"or Col1 = 'Protetor 1' or Col1 = 'Comandante 1'""), 
if('Time 3'!C4 = ""Darthos"", query(IMPORTRANGE(""15YC3Wi7qFmdVjHeW_UCnbsoqaugkIEVJhDMDhRjct1c"", ""Habilidades!A:A""), ""Select Col1 where Col1 = 'Velocista 2' or Col1 = 'Sábio 2' or Col1 = 'Companheir"&amp;"o de Guerra 3'""), 
if('Time 3'!C4 = ""Edward"", query(IMPORTRANGE(""15YC3Wi7qFmdVjHeW_UCnbsoqaugkIEVJhDMDhRjct1c"", ""Habilidades!A:A""), ""Select Col1 where Col1 = 'Líder 3' or Col1 = 'Reviver 3' or Col1 = 'Protetor 3'""), 
if('Time 3'!C4 = ""Fiora"", q"&amp;"uery(IMPORTRANGE(""15YC3Wi7qFmdVjHeW_UCnbsoqaugkIEVJhDMDhRjct1c"", ""Habilidades!A:A""), ""Select Col1 where Col1 = 'Comandante 2' or Col1 = 'Ganancioso 2' or Col1 = 'Reviver 2'""), 
if('Time 3'!C4 = ""Francesca"", query(IMPORTRANGE(""15YC3Wi7qFmdVjHeW_UC"&amp;"nbsoqaugkIEVJhDMDhRjct1c"", ""Habilidades!A:A""), ""Select Col1 where Col1 = 'Cuidadoso 3' or Col1 = 'Fornecedor 3' or Col1 = 'Resistente 1'""), 
if('Time 3'!C4 = ""Garreth"", query(IMPORTRANGE(""15YC3Wi7qFmdVjHeW_UCnbsoqaugkIEVJhDMDhRjct1c"", ""Habilidad"&amp;"es!A:A""), ""Select Col1 where Col1 = 'Sortudo 1' or Col1 = 'Caça-tesouros 1' or Col1 = 'Catador 1'""), 
if('Time 3'!C4 = ""Gauvin"", query(IMPORTRANGE(""15YC3Wi7qFmdVjHeW_UCnbsoqaugkIEVJhDMDhRjct1c"", ""Habilidades!A:A""), ""Select Col1 where Col1 = 'Líd"&amp;"er 1' or Col1 = 'Companheiro de Guerra 1' or Col1 = 'Resistente 2'""), 
if('Time 3'!C4 = ""Irene"", query(IMPORTRANGE(""15YC3Wi7qFmdVjHeW_UCnbsoqaugkIEVJhDMDhRjct1c"", ""Habilidades!A:A""), ""Select Col1 where Col1 = 'Gangster 1' or Col1 = 'Fornecedor 2' "&amp;"or Col1 = 'Engenhoso 1'""), 
if('Time 3'!C4 = ""Karal"", query(IMPORTRANGE(""15YC3Wi7qFmdVjHeW_UCnbsoqaugkIEVJhDMDhRjct1c"", ""Habilidades!A:A""), ""Select Col1 where Col1 = 'Amazona 1' or Col1 = 'Resistente 1' or Col1 = 'Esmagar'""), 
if('Time 3'!C4 = """&amp;"Kuro Shobi"", query(IMPORTRANGE(""15YC3Wi7qFmdVjHeW_UCnbsoqaugkIEVJhDMDhRjct1c"", ""Habilidades!A:A""), ""Select Col1 where Col1 = 'Gangster 3' or Col1 = 'Engenhoso 3' or Col1 = 'Velocista 3'""), 
if('Time 3'!C4 = ""Kurul"", query(IMPORTRANGE(""15YC3Wi7qF"&amp;"mdVjHeW_UCnbsoqaugkIEVJhDMDhRjct1c"", ""Habilidades!A:A""), ""Select Col1 where Col1 = 'Catador 2' or Col1 = 'Energético 2' or Col1 = 'Líder 2'""), 
if('Time 3'!C4 = ""Lancaster"", query(IMPORTRANGE(""15YC3Wi7qFmdVjHeW_UCnbsoqaugkIEVJhDMDhRjct1c"", ""Habi"&amp;"lidades!A:A""), ""Select Col1 where Col1 = 'Engenhoso 2' or Col1 = 'Protetor 2' or Col1 = 'Companheiro de Guerra 2'""), 
if('Time 3'!C4 = ""Lorelei"", query(IMPORTRANGE(""15YC3Wi7qFmdVjHeW_UCnbsoqaugkIEVJhDMDhRjct1c"", ""Habilidades!A:A""), ""Select Col1 "&amp;"where Col1 = 'Sortudo 3' or Col1 = 'Emboscada' or Col1 = 'Catador 3'""), 
if('Time 3'!C4 = ""Louca"", query(IMPORTRANGE(""15YC3Wi7qFmdVjHeW_UCnbsoqaugkIEVJhDMDhRjct1c"", ""Habilidades!A:A""), ""Select Col1 where Col1 = 'Caça-tesouros 3' or Col1 = 'Catador"&amp;" 3' or Col1 = 'Suporte 3'""), 
if('Time 3'!C4 = ""Melina"", query(IMPORTRANGE(""15YC3Wi7qFmdVjHeW_UCnbsoqaugkIEVJhDMDhRjct1c"", ""Habilidades!A:A""), ""Select Col1 where Col1 = 'Bola de fogo' or Col1 = 'Sábio 1' or Col1 = 'Velocista 1'""), 
if('Time 3'!C4"&amp;" = ""Mila"", query(IMPORTRANGE(""15YC3Wi7qFmdVjHeW_UCnbsoqaugkIEVJhDMDhRjct1c"", ""Habilidades!A:A""), ""Select Col1 where Col1 = 'Caça-tesouros 2' or Col1 = 'Sortudo 2' or Col1 = 'Ganancioso 1'""), 
if('Time 3'!C4 = ""Minh"", query(IMPORTRANGE(""15YC3Wi7"&amp;"qFmdVjHeW_UCnbsoqaugkIEVJhDMDhRjct1c"", ""Habilidades!A:A""), ""Select Col1 where Col1 = 'Sábio 1' or Col1 = 'Curandeiro 1' or Col1 = 'Reviver 1'""), 
if('Time 3'!C4 = ""Mojian"", query(IMPORTRANGE(""15YC3Wi7qFmdVjHeW_UCnbsoqaugkIEVJhDMDhRjct1c"", ""Habil"&amp;"idades!A:A""), ""Select Col1 where Col1 = 'Comandante 3' or Col1 = 'Arquimago 3' or Col1 = 'Raio elétrico'""), 
if('Time 3'!C4 = ""Nya"", query(IMPORTRANGE(""15YC3Wi7qFmdVjHeW_UCnbsoqaugkIEVJhDMDhRjct1c"", ""Habilidades!A:A""), ""Select Col1 where Col1 = "&amp;"'Reviver 1' or Col1 = 'Arquimago 1' or Col1 = 'Cone-gélido'""), 
if('Time 3'!C4 = ""Odette"", query(IMPORTRANGE(""15YC3Wi7qFmdVjHeW_UCnbsoqaugkIEVJhDMDhRjct1c"", ""Habilidades!A:A""), ""Select Col1 where Col1 = 'Cuidadoso 2' or Col1 = 'Amazona 2' or Col1 "&amp;"= 'Suporte 2'""), 
if('Time 3'!C4 = ""Oneira"", query(IMPORTRANGE(""15YC3Wi7qFmdVjHeW_UCnbsoqaugkIEVJhDMDhRjct1c"", ""Habilidades!A:A""), ""Select Col1 where Col1 = 'Ganancioso 3' or Col1 = 'Curandeiro 2' or Col1 = 'Suporte 2'""), 
if('Time 3'!C4 = ""Pala"&amp;"sh"", query(IMPORTRANGE(""15YC3Wi7qFmdVjHeW_UCnbsoqaugkIEVJhDMDhRjct1c"", ""Habilidades!A:A""), ""Select Col1 where Col1 = 'Catador 1' or Col1 = 'Resistente 1' or Col1 = 'Fornecedor 1'""), 
if('Time 3'!C4 = ""Theor"", query(IMPORTRANGE(""15YC3Wi7qFmdVjHeW"&amp;"_UCnbsoqaugkIEVJhDMDhRjct1c"", ""Habilidades!A:A""), ""Select Col1 where Col1 = 'Companheiro de Guerra 1' or Col1 = 'Energético 1' or Col1 = 'Cortar'""), 
if('Time 3'!C4 = ""Yue"", query(IMPORTRANGE(""15YC3Wi7qFmdVjHeW_UCnbsoqaugkIEVJhDMDhRjct1c"", ""Habi"&amp;"lidades!A:A""), ""Select Col1 where Col1 = 'Resistente 3' or Col1 = 'Mestre das armas' or Col1 = 'Comandante 3'"")))))))))))))))))))))))))))))"),"Curandeiro 1")</f>
        <v>Curandeiro 1</v>
      </c>
      <c r="C9" s="224" t="str">
        <f>IFERROR(__xludf.DUMMYFUNCTION("if('Time 3'!$C5 = ""Albert"", query(IMPORTRANGE(""15YC3Wi7qFmdVjHeW_UCnbsoqaugkIEVJhDMDhRjct1c"", ""Habilidades!A:A""), ""Select Col1 where Col1 = 'Cuidadoso 1' or Col1 = 'Fornecedor 1' or Col1 = 'Suporte 1'""),     
if('Time 3'!C5 = ""Alicia"", query(IMP"&amp;"ORTRANGE(""15YC3Wi7qFmdVjHeW_UCnbsoqaugkIEVJhDMDhRjct1c"", ""Habilidades!A:A""), ""Select Col1 where Col1 = 'Amazona 3' or Col1 = 'Energético 3' or Col1 = 'Sortudo 3'""), 
if('Time 3'!C5 = ""Azula"", query(IMPORTRANGE(""15YC3Wi7qFmdVjHeW_UCnbsoqaugkIEVJhD"&amp;"MDhRjct1c"", ""Habilidades!A:A""), ""Select Col1 where Col1 = 'Arquimago 2' or Col1 = 'Curandeiro 3' or Col1 = 'Sábio 3'""), 
if('Time 3'!C5 = ""Charles"", query(IMPORTRANGE(""15YC3Wi7qFmdVjHeW_UCnbsoqaugkIEVJhDMDhRjct1c"", ""Habilidades!A:A""), ""Select "&amp;"Col1 where Col1 = 'Armadura do Mago' or Col1 = 'Detectar segredo' or Col1 = 'Encontrar mágica'""), 
if('Time 3'!C5 = ""Clovis"", query(IMPORTRANGE(""15YC3Wi7qFmdVjHeW_UCnbsoqaugkIEVJhDMDhRjct1c"", ""Habilidades!A:A""), ""Select Col1 where Col1 = 'Defesa' "&amp;"or Col1 = 'Protetor 1' or Col1 = 'Comandante 1'""), 
if('Time 3'!C5 = ""Darthos"", query(IMPORTRANGE(""15YC3Wi7qFmdVjHeW_UCnbsoqaugkIEVJhDMDhRjct1c"", ""Habilidades!A:A""), ""Select Col1 where Col1 = 'Velocista 2' or Col1 = 'Sábio 2' or Col1 = 'Companheir"&amp;"o de Guerra 3'""), 
if('Time 3'!C5 = ""Edward"", query(IMPORTRANGE(""15YC3Wi7qFmdVjHeW_UCnbsoqaugkIEVJhDMDhRjct1c"", ""Habilidades!A:A""), ""Select Col1 where Col1 = 'Líder 3' or Col1 = 'Reviver 3' or Col1 = 'Protetor 3'""), 
if('Time 3'!C5 = ""Fiora"", q"&amp;"uery(IMPORTRANGE(""15YC3Wi7qFmdVjHeW_UCnbsoqaugkIEVJhDMDhRjct1c"", ""Habilidades!A:A""), ""Select Col1 where Col1 = 'Comandante 2' or Col1 = 'Ganancioso 2' or Col1 = 'Reviver 2'""), 
if('Time 3'!C5 = ""Francesca"", query(IMPORTRANGE(""15YC3Wi7qFmdVjHeW_UC"&amp;"nbsoqaugkIEVJhDMDhRjct1c"", ""Habilidades!A:A""), ""Select Col1 where Col1 = 'Cuidadoso 3' or Col1 = 'Fornecedor 3' or Col1 = 'Resistente 1'""), 
if('Time 3'!C5 = ""Garreth"", query(IMPORTRANGE(""15YC3Wi7qFmdVjHeW_UCnbsoqaugkIEVJhDMDhRjct1c"", ""Habilidad"&amp;"es!A:A""), ""Select Col1 where Col1 = 'Sortudo 1' or Col1 = 'Caça-tesouros 1' or Col1 = 'Catador 1'""), 
if('Time 3'!C5 = ""Gauvin"", query(IMPORTRANGE(""15YC3Wi7qFmdVjHeW_UCnbsoqaugkIEVJhDMDhRjct1c"", ""Habilidades!A:A""), ""Select Col1 where Col1 = 'Líd"&amp;"er 1' or Col1 = 'Companheiro de Guerra 1' or Col1 = 'Resistente 2'""), 
if('Time 3'!C5 = ""Irene"", query(IMPORTRANGE(""15YC3Wi7qFmdVjHeW_UCnbsoqaugkIEVJhDMDhRjct1c"", ""Habilidades!A:A""), ""Select Col1 where Col1 = 'Gangster 1' or Col1 = 'Fornecedor 2' "&amp;"or Col1 = 'Engenhoso 1'""), 
if('Time 3'!C5 = ""Karal"", query(IMPORTRANGE(""15YC3Wi7qFmdVjHeW_UCnbsoqaugkIEVJhDMDhRjct1c"", ""Habilidades!A:A""), ""Select Col1 where Col1 = 'Amazona 1' or Col1 = 'Resistente 1' or Col1 = 'Esmagar'""), 
if('Time 3'!C5 = """&amp;"Kuro Shobi"", query(IMPORTRANGE(""15YC3Wi7qFmdVjHeW_UCnbsoqaugkIEVJhDMDhRjct1c"", ""Habilidades!A:A""), ""Select Col1 where Col1 = 'Gangster 3' or Col1 = 'Engenhoso 3' or Col1 = 'Velocista 3'""), 
if('Time 3'!C5 = ""Kurul"", query(IMPORTRANGE(""15YC3Wi7qF"&amp;"mdVjHeW_UCnbsoqaugkIEVJhDMDhRjct1c"", ""Habilidades!A:A""), ""Select Col1 where Col1 = 'Catador 2' or Col1 = 'Energético 2' or Col1 = 'Líder 2'""), 
if('Time 3'!C5 = ""Lancaster"", query(IMPORTRANGE(""15YC3Wi7qFmdVjHeW_UCnbsoqaugkIEVJhDMDhRjct1c"", ""Habi"&amp;"lidades!A:A""), ""Select Col1 where Col1 = 'Engenhoso 2' or Col1 = 'Protetor 2' or Col1 = 'Companheiro de Guerra 2'""), 
if('Time 3'!C5 = ""Lorelei"", query(IMPORTRANGE(""15YC3Wi7qFmdVjHeW_UCnbsoqaugkIEVJhDMDhRjct1c"", ""Habilidades!A:A""), ""Select Col1 "&amp;"where Col1 = 'Sortudo 3' or Col1 = 'Emboscada' or Col1 = 'Catador 3'""), 
if('Time 3'!C5 = ""Louca"", query(IMPORTRANGE(""15YC3Wi7qFmdVjHeW_UCnbsoqaugkIEVJhDMDhRjct1c"", ""Habilidades!A:A""), ""Select Col1 where Col1 = 'Caça-tesouros 3' or Col1 = 'Catador"&amp;" 3' or Col1 = 'Suporte 3'""), 
if('Time 3'!C5 = ""Melina"", query(IMPORTRANGE(""15YC3Wi7qFmdVjHeW_UCnbsoqaugkIEVJhDMDhRjct1c"", ""Habilidades!A:A""), ""Select Col1 where Col1 = 'Bola de fogo' or Col1 = 'Sábio 1' or Col1 = 'Velocista 1'""), 
if('Time 3'!C5"&amp;" = ""Mila"", query(IMPORTRANGE(""15YC3Wi7qFmdVjHeW_UCnbsoqaugkIEVJhDMDhRjct1c"", ""Habilidades!A:A""), ""Select Col1 where Col1 = 'Caça-tesouros 2' or Col1 = 'Sortudo 2' or Col1 = 'Ganancioso 1'""), 
if('Time 3'!C5 = ""Minh"", query(IMPORTRANGE(""15YC3Wi7"&amp;"qFmdVjHeW_UCnbsoqaugkIEVJhDMDhRjct1c"", ""Habilidades!A:A""), ""Select Col1 where Col1 = 'Sábio 1' or Col1 = 'Curandeiro 1' or Col1 = 'Reviver 1'""), 
if('Time 3'!C5 = ""Mojian"", query(IMPORTRANGE(""15YC3Wi7qFmdVjHeW_UCnbsoqaugkIEVJhDMDhRjct1c"", ""Habil"&amp;"idades!A:A""), ""Select Col1 where Col1 = 'Comandante 3' or Col1 = 'Arquimago 3' or Col1 = 'Raio elétrico'""), 
if('Time 3'!C5 = ""Nya"", query(IMPORTRANGE(""15YC3Wi7qFmdVjHeW_UCnbsoqaugkIEVJhDMDhRjct1c"", ""Habilidades!A:A""), ""Select Col1 where Col1 = "&amp;"'Reviver 1' or Col1 = 'Arquimago 1' or Col1 = 'Cone-gélido'""), 
if('Time 3'!C5 = ""Odette"", query(IMPORTRANGE(""15YC3Wi7qFmdVjHeW_UCnbsoqaugkIEVJhDMDhRjct1c"", ""Habilidades!A:A""), ""Select Col1 where Col1 = 'Cuidadoso 2' or Col1 = 'Amazona 2' or Col1 "&amp;"= 'Suporte 2'""), 
if('Time 3'!C5 = ""Oneira"", query(IMPORTRANGE(""15YC3Wi7qFmdVjHeW_UCnbsoqaugkIEVJhDMDhRjct1c"", ""Habilidades!A:A""), ""Select Col1 where Col1 = 'Ganancioso 3' or Col1 = 'Curandeiro 2' or Col1 = 'Suporte 2'""), 
if('Time 3'!C5 = ""Pala"&amp;"sh"", query(IMPORTRANGE(""15YC3Wi7qFmdVjHeW_UCnbsoqaugkIEVJhDMDhRjct1c"", ""Habilidades!A:A""), ""Select Col1 where Col1 = 'Catador 1' or Col1 = 'Resistente 1' or Col1 = 'Fornecedor 1'""), 
if('Time 3'!C5 = ""Theor"", query(IMPORTRANGE(""15YC3Wi7qFmdVjHeW"&amp;"_UCnbsoqaugkIEVJhDMDhRjct1c"", ""Habilidades!A:A""), ""Select Col1 where Col1 = 'Companheiro de Guerra 1' or Col1 = 'Energético 1' or Col1 = 'Cortar'""), 
if('Time 3'!C5 = ""Yue"", query(IMPORTRANGE(""15YC3Wi7qFmdVjHeW_UCnbsoqaugkIEVJhDMDhRjct1c"", ""Habi"&amp;"lidades!A:A""), ""Select Col1 where Col1 = 'Resistente 3' or Col1 = 'Mestre das armas' or Col1 = 'Comandante 3'"")))))))))))))))))))))))))))))"),"Resistente 2")</f>
        <v>Resistente 2</v>
      </c>
      <c r="D9" s="224" t="str">
        <f>IFERROR(__xludf.DUMMYFUNCTION("if('Time 3'!$C6 = ""Albert"", query(IMPORTRANGE(""15YC3Wi7qFmdVjHeW_UCnbsoqaugkIEVJhDMDhRjct1c"", ""Habilidades!A:A""), ""Select Col1 where Col1 = 'Cuidadoso 1' or Col1 = 'Fornecedor 1' or Col1 = 'Suporte 1'""),     
if('Time 3'!C6 = ""Alicia"", query(IMP"&amp;"ORTRANGE(""15YC3Wi7qFmdVjHeW_UCnbsoqaugkIEVJhDMDhRjct1c"", ""Habilidades!A:A""), ""Select Col1 where Col1 = 'Amazona 3' or Col1 = 'Energético 3' or Col1 = 'Sortudo 3'""), 
if('Time 3'!C6 = ""Azula"", query(IMPORTRANGE(""15YC3Wi7qFmdVjHeW_UCnbsoqaugkIEVJhD"&amp;"MDhRjct1c"", ""Habilidades!A:A""), ""Select Col1 where Col1 = 'Arquimago 2' or Col1 = 'Curandeiro 3' or Col1 = 'Sábio 3'""), 
if('Time 3'!C6 = ""Charles"", query(IMPORTRANGE(""15YC3Wi7qFmdVjHeW_UCnbsoqaugkIEVJhDMDhRjct1c"", ""Habilidades!A:A""), ""Select "&amp;"Col1 where Col1 = 'Armadura do Mago' or Col1 = 'Detectar segredo' or Col1 = 'Encontrar mágica'""), 
if('Time 3'!C6 = ""Clovis"", query(IMPORTRANGE(""15YC3Wi7qFmdVjHeW_UCnbsoqaugkIEVJhDMDhRjct1c"", ""Habilidades!A:A""), ""Select Col1 where Col1 = 'Defesa' "&amp;"or Col1 = 'Protetor 1' or Col1 = 'Comandante 1'""), 
if('Time 3'!C6 = ""Darthos"", query(IMPORTRANGE(""15YC3Wi7qFmdVjHeW_UCnbsoqaugkIEVJhDMDhRjct1c"", ""Habilidades!A:A""), ""Select Col1 where Col1 = 'Velocista 2' or Col1 = 'Sábio 2' or Col1 = 'Companheir"&amp;"o de Guerra 3'""), 
if('Time 3'!C6 = ""Edward"", query(IMPORTRANGE(""15YC3Wi7qFmdVjHeW_UCnbsoqaugkIEVJhDMDhRjct1c"", ""Habilidades!A:A""), ""Select Col1 where Col1 = 'Líder 3' or Col1 = 'Reviver 3' or Col1 = 'Protetor 3'""), 
if('Time 3'!C6 = ""Fiora"", q"&amp;"uery(IMPORTRANGE(""15YC3Wi7qFmdVjHeW_UCnbsoqaugkIEVJhDMDhRjct1c"", ""Habilidades!A:A""), ""Select Col1 where Col1 = 'Comandante 2' or Col1 = 'Ganancioso 2' or Col1 = 'Reviver 2'""), 
if('Time 3'!C6 = ""Francesca"", query(IMPORTRANGE(""15YC3Wi7qFmdVjHeW_UC"&amp;"nbsoqaugkIEVJhDMDhRjct1c"", ""Habilidades!A:A""), ""Select Col1 where Col1 = 'Cuidadoso 3' or Col1 = 'Fornecedor 3' or Col1 = 'Resistente 1'""), 
if('Time 3'!C6 = ""Garreth"", query(IMPORTRANGE(""15YC3Wi7qFmdVjHeW_UCnbsoqaugkIEVJhDMDhRjct1c"", ""Habilidad"&amp;"es!A:A""), ""Select Col1 where Col1 = 'Sortudo 1' or Col1 = 'Caça-tesouros 1' or Col1 = 'Catador 1'""), 
if('Time 3'!C6 = ""Gauvin"", query(IMPORTRANGE(""15YC3Wi7qFmdVjHeW_UCnbsoqaugkIEVJhDMDhRjct1c"", ""Habilidades!A:A""), ""Select Col1 where Col1 = 'Líd"&amp;"er 1' or Col1 = 'Companheiro de Guerra 1' or Col1 = 'Resistente 2'""), 
if('Time 3'!C6 = ""Irene"", query(IMPORTRANGE(""15YC3Wi7qFmdVjHeW_UCnbsoqaugkIEVJhDMDhRjct1c"", ""Habilidades!A:A""), ""Select Col1 where Col1 = 'Gangster 1' or Col1 = 'Fornecedor 2' "&amp;"or Col1 = 'Engenhoso 1'""), 
if('Time 3'!C6 = ""Karal"", query(IMPORTRANGE(""15YC3Wi7qFmdVjHeW_UCnbsoqaugkIEVJhDMDhRjct1c"", ""Habilidades!A:A""), ""Select Col1 where Col1 = 'Amazona 1' or Col1 = 'Resistente 1' or Col1 = 'Esmagar'""), 
if('Time 3'!C6 = """&amp;"Kuro Shobi"", query(IMPORTRANGE(""15YC3Wi7qFmdVjHeW_UCnbsoqaugkIEVJhDMDhRjct1c"", ""Habilidades!A:A""), ""Select Col1 where Col1 = 'Gangster 3' or Col1 = 'Engenhoso 3' or Col1 = 'Velocista 3'""), 
if('Time 3'!C6 = ""Kurul"", query(IMPORTRANGE(""15YC3Wi7qF"&amp;"mdVjHeW_UCnbsoqaugkIEVJhDMDhRjct1c"", ""Habilidades!A:A""), ""Select Col1 where Col1 = 'Catador 2' or Col1 = 'Energético 2' or Col1 = 'Líder 2'""), 
if('Time 3'!C6 = ""Lancaster"", query(IMPORTRANGE(""15YC3Wi7qFmdVjHeW_UCnbsoqaugkIEVJhDMDhRjct1c"", ""Habi"&amp;"lidades!A:A""), ""Select Col1 where Col1 = 'Engenhoso 2' or Col1 = 'Protetor 2' or Col1 = 'Companheiro de Guerra 2'""), 
if('Time 3'!C6 = ""Lorelei"", query(IMPORTRANGE(""15YC3Wi7qFmdVjHeW_UCnbsoqaugkIEVJhDMDhRjct1c"", ""Habilidades!A:A""), ""Select Col1 "&amp;"where Col1 = 'Sortudo 3' or Col1 = 'Emboscada' or Col1 = 'Catador 3'""), 
if('Time 3'!C6 = ""Louca"", query(IMPORTRANGE(""15YC3Wi7qFmdVjHeW_UCnbsoqaugkIEVJhDMDhRjct1c"", ""Habilidades!A:A""), ""Select Col1 where Col1 = 'Caça-tesouros 3' or Col1 = 'Catador"&amp;" 3' or Col1 = 'Suporte 3'""), 
if('Time 3'!C6 = ""Melina"", query(IMPORTRANGE(""15YC3Wi7qFmdVjHeW_UCnbsoqaugkIEVJhDMDhRjct1c"", ""Habilidades!A:A""), ""Select Col1 where Col1 = 'Bola de fogo' or Col1 = 'Sábio 1' or Col1 = 'Velocista 1'""), 
if('Time 3'!C6"&amp;" = ""Mila"", query(IMPORTRANGE(""15YC3Wi7qFmdVjHeW_UCnbsoqaugkIEVJhDMDhRjct1c"", ""Habilidades!A:A""), ""Select Col1 where Col1 = 'Caça-tesouros 2' or Col1 = 'Sortudo 2' or Col1 = 'Ganancioso 1'""), 
if('Time 3'!C6 = ""Minh"", query(IMPORTRANGE(""15YC3Wi7"&amp;"qFmdVjHeW_UCnbsoqaugkIEVJhDMDhRjct1c"", ""Habilidades!A:A""), ""Select Col1 where Col1 = 'Sábio 1' or Col1 = 'Curandeiro 1' or Col1 = 'Reviver 1'""), 
if('Time 3'!C6 = ""Mojian"", query(IMPORTRANGE(""15YC3Wi7qFmdVjHeW_UCnbsoqaugkIEVJhDMDhRjct1c"", ""Habil"&amp;"idades!A:A""), ""Select Col1 where Col1 = 'Comandante 3' or Col1 = 'Arquimago 3' or Col1 = 'Raio elétrico'""), 
if('Time 3'!C6 = ""Nya"", query(IMPORTRANGE(""15YC3Wi7qFmdVjHeW_UCnbsoqaugkIEVJhDMDhRjct1c"", ""Habilidades!A:A""), ""Select Col1 where Col1 = "&amp;"'Reviver 1' or Col1 = 'Arquimago 1' or Col1 = 'Cone-gélido'""), 
if('Time 3'!C6 = ""Odette"", query(IMPORTRANGE(""15YC3Wi7qFmdVjHeW_UCnbsoqaugkIEVJhDMDhRjct1c"", ""Habilidades!A:A""), ""Select Col1 where Col1 = 'Cuidadoso 2' or Col1 = 'Amazona 2' or Col1 "&amp;"= 'Suporte 2'""), 
if('Time 3'!C6 = ""Oneira"", query(IMPORTRANGE(""15YC3Wi7qFmdVjHeW_UCnbsoqaugkIEVJhDMDhRjct1c"", ""Habilidades!A:A""), ""Select Col1 where Col1 = 'Ganancioso 3' or Col1 = 'Curandeiro 2' or Col1 = 'Suporte 2'""), 
if('Time 3'!C6 = ""Pala"&amp;"sh"", query(IMPORTRANGE(""15YC3Wi7qFmdVjHeW_UCnbsoqaugkIEVJhDMDhRjct1c"", ""Habilidades!A:A""), ""Select Col1 where Col1 = 'Catador 1' or Col1 = 'Resistente 1' or Col1 = 'Fornecedor 1'""), 
if('Time 3'!C6 = ""Theor"", query(IMPORTRANGE(""15YC3Wi7qFmdVjHeW"&amp;"_UCnbsoqaugkIEVJhDMDhRjct1c"", ""Habilidades!A:A""), ""Select Col1 where Col1 = 'Companheiro de Guerra 1' or Col1 = 'Energético 1' or Col1 = 'Cortar'""), 
if('Time 3'!C6 = ""Yue"", query(IMPORTRANGE(""15YC3Wi7qFmdVjHeW_UCnbsoqaugkIEVJhDMDhRjct1c"", ""Habi"&amp;"lidades!A:A""), ""Select Col1 where Col1 = 'Resistente 3' or Col1 = 'Mestre das armas' or Col1 = 'Comandante 3'"")))))))))))))))))))))))))))))"),"Sortudo 1")</f>
        <v>Sortudo 1</v>
      </c>
      <c r="E9" s="224" t="str">
        <f>IFERROR(__xludf.DUMMYFUNCTION("if('Time 3'!$C7 = ""Albert"", query(IMPORTRANGE(""15YC3Wi7qFmdVjHeW_UCnbsoqaugkIEVJhDMDhRjct1c"", ""Habilidades!A:A""), ""Select Col1 where Col1 = 'Cuidadoso 1' or Col1 = 'Fornecedor 1' or Col1 = 'Suporte 1'""),     
if('Time 3'!C7 = ""Alicia"", query(IMP"&amp;"ORTRANGE(""15YC3Wi7qFmdVjHeW_UCnbsoqaugkIEVJhDMDhRjct1c"", ""Habilidades!A:A""), ""Select Col1 where Col1 = 'Amazona 3' or Col1 = 'Energético 3' or Col1 = 'Sortudo 3'""), 
if('Time 3'!C7 = ""Azula"", query(IMPORTRANGE(""15YC3Wi7qFmdVjHeW_UCnbsoqaugkIEVJhD"&amp;"MDhRjct1c"", ""Habilidades!A:A""), ""Select Col1 where Col1 = 'Arquimago 2' or Col1 = 'Curandeiro 3' or Col1 = 'Sábio 3'""), 
if('Time 3'!C7 = ""Charles"", query(IMPORTRANGE(""15YC3Wi7qFmdVjHeW_UCnbsoqaugkIEVJhDMDhRjct1c"", ""Habilidades!A:A""), ""Select "&amp;"Col1 where Col1 = 'Armadura do Mago' or Col1 = 'Detectar segredo' or Col1 = 'Encontrar mágica'""), 
if('Time 3'!C7 = ""Clovis"", query(IMPORTRANGE(""15YC3Wi7qFmdVjHeW_UCnbsoqaugkIEVJhDMDhRjct1c"", ""Habilidades!A:A""), ""Select Col1 where Col1 = 'Defesa' "&amp;"or Col1 = 'Protetor 1' or Col1 = 'Comandante 1'""), 
if('Time 3'!C7 = ""Darthos"", query(IMPORTRANGE(""15YC3Wi7qFmdVjHeW_UCnbsoqaugkIEVJhDMDhRjct1c"", ""Habilidades!A:A""), ""Select Col1 where Col1 = 'Velocista 2' or Col1 = 'Sábio 2' or Col1 = 'Companheir"&amp;"o de Guerra 3'""), 
if('Time 3'!C7 = ""Edward"", query(IMPORTRANGE(""15YC3Wi7qFmdVjHeW_UCnbsoqaugkIEVJhDMDhRjct1c"", ""Habilidades!A:A""), ""Select Col1 where Col1 = 'Líder 3' or Col1 = 'Reviver 3' or Col1 = 'Protetor 3'""), 
if('Time 3'!C7 = ""Fiora"", q"&amp;"uery(IMPORTRANGE(""15YC3Wi7qFmdVjHeW_UCnbsoqaugkIEVJhDMDhRjct1c"", ""Habilidades!A:A""), ""Select Col1 where Col1 = 'Comandante 2' or Col1 = 'Ganancioso 2' or Col1 = 'Reviver 2'""), 
if('Time 3'!C7 = ""Francesca"", query(IMPORTRANGE(""15YC3Wi7qFmdVjHeW_UC"&amp;"nbsoqaugkIEVJhDMDhRjct1c"", ""Habilidades!A:A""), ""Select Col1 where Col1 = 'Cuidadoso 3' or Col1 = 'Fornecedor 3' or Col1 = 'Resistente 1'""), 
if('Time 3'!C7 = ""Garreth"", query(IMPORTRANGE(""15YC3Wi7qFmdVjHeW_UCnbsoqaugkIEVJhDMDhRjct1c"", ""Habilidad"&amp;"es!A:A""), ""Select Col1 where Col1 = 'Sortudo 1' or Col1 = 'Caça-tesouros 1' or Col1 = 'Catador 1'""), 
if('Time 3'!C7 = ""Gauvin"", query(IMPORTRANGE(""15YC3Wi7qFmdVjHeW_UCnbsoqaugkIEVJhDMDhRjct1c"", ""Habilidades!A:A""), ""Select Col1 where Col1 = 'Líd"&amp;"er 1' or Col1 = 'Companheiro de Guerra 1' or Col1 = 'Resistente 2'""), 
if('Time 3'!C7 = ""Irene"", query(IMPORTRANGE(""15YC3Wi7qFmdVjHeW_UCnbsoqaugkIEVJhDMDhRjct1c"", ""Habilidades!A:A""), ""Select Col1 where Col1 = 'Gangster 1' or Col1 = 'Fornecedor 2' "&amp;"or Col1 = 'Engenhoso 1'""), 
if('Time 3'!C7 = ""Karal"", query(IMPORTRANGE(""15YC3Wi7qFmdVjHeW_UCnbsoqaugkIEVJhDMDhRjct1c"", ""Habilidades!A:A""), ""Select Col1 where Col1 = 'Amazona 1' or Col1 = 'Resistente 1' or Col1 = 'Esmagar'""), 
if('Time 3'!C7 = """&amp;"Kuro Shobi"", query(IMPORTRANGE(""15YC3Wi7qFmdVjHeW_UCnbsoqaugkIEVJhDMDhRjct1c"", ""Habilidades!A:A""), ""Select Col1 where Col1 = 'Gangster 3' or Col1 = 'Engenhoso 3' or Col1 = 'Velocista 3'""), 
if('Time 3'!C7 = ""Kurul"", query(IMPORTRANGE(""15YC3Wi7qF"&amp;"mdVjHeW_UCnbsoqaugkIEVJhDMDhRjct1c"", ""Habilidades!A:A""), ""Select Col1 where Col1 = 'Catador 2' or Col1 = 'Energético 2' or Col1 = 'Líder 2'""), 
if('Time 3'!C7 = ""Lancaster"", query(IMPORTRANGE(""15YC3Wi7qFmdVjHeW_UCnbsoqaugkIEVJhDMDhRjct1c"", ""Habi"&amp;"lidades!A:A""), ""Select Col1 where Col1 = 'Engenhoso 2' or Col1 = 'Protetor 2' or Col1 = 'Companheiro de Guerra 2'""), 
if('Time 3'!C7 = ""Lorelei"", query(IMPORTRANGE(""15YC3Wi7qFmdVjHeW_UCnbsoqaugkIEVJhDMDhRjct1c"", ""Habilidades!A:A""), ""Select Col1 "&amp;"where Col1 = 'Sortudo 3' or Col1 = 'Emboscada' or Col1 = 'Catador 3'""), 
if('Time 3'!C7 = ""Louca"", query(IMPORTRANGE(""15YC3Wi7qFmdVjHeW_UCnbsoqaugkIEVJhDMDhRjct1c"", ""Habilidades!A:A""), ""Select Col1 where Col1 = 'Caça-tesouros 3' or Col1 = 'Catador"&amp;" 3' or Col1 = 'Suporte 3'""), 
if('Time 3'!C7 = ""Melina"", query(IMPORTRANGE(""15YC3Wi7qFmdVjHeW_UCnbsoqaugkIEVJhDMDhRjct1c"", ""Habilidades!A:A""), ""Select Col1 where Col1 = 'Bola de fogo' or Col1 = 'Sábio 1' or Col1 = 'Velocista 1'""), 
if('Time 3'!C7"&amp;" = ""Mila"", query(IMPORTRANGE(""15YC3Wi7qFmdVjHeW_UCnbsoqaugkIEVJhDMDhRjct1c"", ""Habilidades!A:A""), ""Select Col1 where Col1 = 'Caça-tesouros 2' or Col1 = 'Sortudo 2' or Col1 = 'Ganancioso 1'""), 
if('Time 3'!C7 = ""Minh"", query(IMPORTRANGE(""15YC3Wi7"&amp;"qFmdVjHeW_UCnbsoqaugkIEVJhDMDhRjct1c"", ""Habilidades!A:A""), ""Select Col1 where Col1 = 'Sábio 1' or Col1 = 'Curandeiro 1' or Col1 = 'Reviver 1'""), 
if('Time 3'!C7 = ""Mojian"", query(IMPORTRANGE(""15YC3Wi7qFmdVjHeW_UCnbsoqaugkIEVJhDMDhRjct1c"", ""Habil"&amp;"idades!A:A""), ""Select Col1 where Col1 = 'Comandante 3' or Col1 = 'Arquimago 3' or Col1 = 'Raio elétrico'""), 
if('Time 3'!C7 = ""Nya"", query(IMPORTRANGE(""15YC3Wi7qFmdVjHeW_UCnbsoqaugkIEVJhDMDhRjct1c"", ""Habilidades!A:A""), ""Select Col1 where Col1 = "&amp;"'Reviver 1' or Col1 = 'Arquimago 1' or Col1 = 'Cone-gélido'""), 
if('Time 3'!C7 = ""Odette"", query(IMPORTRANGE(""15YC3Wi7qFmdVjHeW_UCnbsoqaugkIEVJhDMDhRjct1c"", ""Habilidades!A:A""), ""Select Col1 where Col1 = 'Cuidadoso 2' or Col1 = 'Amazona 2' or Col1 "&amp;"= 'Suporte 2'""), 
if('Time 3'!C7 = ""Oneira"", query(IMPORTRANGE(""15YC3Wi7qFmdVjHeW_UCnbsoqaugkIEVJhDMDhRjct1c"", ""Habilidades!A:A""), ""Select Col1 where Col1 = 'Ganancioso 3' or Col1 = 'Curandeiro 2' or Col1 = 'Suporte 2'""), 
if('Time 3'!C7 = ""Pala"&amp;"sh"", query(IMPORTRANGE(""15YC3Wi7qFmdVjHeW_UCnbsoqaugkIEVJhDMDhRjct1c"", ""Habilidades!A:A""), ""Select Col1 where Col1 = 'Catador 1' or Col1 = 'Resistente 1' or Col1 = 'Fornecedor 1'""), 
if('Time 3'!C7 = ""Theor"", query(IMPORTRANGE(""15YC3Wi7qFmdVjHeW"&amp;"_UCnbsoqaugkIEVJhDMDhRjct1c"", ""Habilidades!A:A""), ""Select Col1 where Col1 = 'Companheiro de Guerra 1' or Col1 = 'Energético 1' or Col1 = 'Cortar'""), 
if('Time 3'!C7 = ""Yue"", query(IMPORTRANGE(""15YC3Wi7qFmdVjHeW_UCnbsoqaugkIEVJhDMDhRjct1c"", ""Habi"&amp;"lidades!A:A""), ""Select Col1 where Col1 = 'Resistente 3' or Col1 = 'Mestre das armas' or Col1 = 'Comandante 3'"")))))))))))))))))))))))))))))"),"Resistente 1")</f>
        <v>Resistente 1</v>
      </c>
      <c r="F9" s="224" t="str">
        <f>IFERROR(__xludf.DUMMYFUNCTION("if('Time 3'!$C8 = ""Albert"", query(IMPORTRANGE(""15YC3Wi7qFmdVjHeW_UCnbsoqaugkIEVJhDMDhRjct1c"", ""Habilidades!A:A""), ""Select Col1 where Col1 = 'Cuidadoso 1' or Col1 = 'Fornecedor 1' or Col1 = 'Suporte 1'""),     
if('Time 3'!C8 = ""Alicia"", query(IMP"&amp;"ORTRANGE(""15YC3Wi7qFmdVjHeW_UCnbsoqaugkIEVJhDMDhRjct1c"", ""Habilidades!A:A""), ""Select Col1 where Col1 = 'Amazona 3' or Col1 = 'Energético 3' or Col1 = 'Sortudo 3'""), 
if('Time 3'!C8 = ""Azula"", query(IMPORTRANGE(""15YC3Wi7qFmdVjHeW_UCnbsoqaugkIEVJhD"&amp;"MDhRjct1c"", ""Habilidades!A:A""), ""Select Col1 where Col1 = 'Arquimago 2' or Col1 = 'Curandeiro 3' or Col1 = 'Sábio 3'""), 
if('Time 3'!C8 = ""Charles"", query(IMPORTRANGE(""15YC3Wi7qFmdVjHeW_UCnbsoqaugkIEVJhDMDhRjct1c"", ""Habilidades!A:A""), ""Select "&amp;"Col1 where Col1 = 'Armadura do Mago' or Col1 = 'Detectar segredo' or Col1 = 'Encontrar mágica'""), 
if('Time 3'!C8 = ""Clovis"", query(IMPORTRANGE(""15YC3Wi7qFmdVjHeW_UCnbsoqaugkIEVJhDMDhRjct1c"", ""Habilidades!A:A""), ""Select Col1 where Col1 = 'Defesa' "&amp;"or Col1 = 'Protetor 1' or Col1 = 'Comandante 1'""), 
if('Time 3'!C8 = ""Darthos"", query(IMPORTRANGE(""15YC3Wi7qFmdVjHeW_UCnbsoqaugkIEVJhDMDhRjct1c"", ""Habilidades!A:A""), ""Select Col1 where Col1 = 'Velocista 2' or Col1 = 'Sábio 2' or Col1 = 'Companheir"&amp;"o de Guerra 3'""), 
if('Time 3'!C8 = ""Edward"", query(IMPORTRANGE(""15YC3Wi7qFmdVjHeW_UCnbsoqaugkIEVJhDMDhRjct1c"", ""Habilidades!A:A""), ""Select Col1 where Col1 = 'Líder 3' or Col1 = 'Reviver 3' or Col1 = 'Protetor 3'""), 
if('Time 3'!C8 = ""Fiora"", q"&amp;"uery(IMPORTRANGE(""15YC3Wi7qFmdVjHeW_UCnbsoqaugkIEVJhDMDhRjct1c"", ""Habilidades!A:A""), ""Select Col1 where Col1 = 'Comandante 2' or Col1 = 'Ganancioso 2' or Col1 = 'Reviver 2'""), 
if('Time 3'!C8 = ""Francesca"", query(IMPORTRANGE(""15YC3Wi7qFmdVjHeW_UC"&amp;"nbsoqaugkIEVJhDMDhRjct1c"", ""Habilidades!A:A""), ""Select Col1 where Col1 = 'Cuidadoso 3' or Col1 = 'Fornecedor 3' or Col1 = 'Resistente 1'""), 
if('Time 3'!C8 = ""Garreth"", query(IMPORTRANGE(""15YC3Wi7qFmdVjHeW_UCnbsoqaugkIEVJhDMDhRjct1c"", ""Habilidad"&amp;"es!A:A""), ""Select Col1 where Col1 = 'Sortudo 1' or Col1 = 'Caça-tesouros 1' or Col1 = 'Catador 1'""), 
if('Time 3'!C8 = ""Gauvin"", query(IMPORTRANGE(""15YC3Wi7qFmdVjHeW_UCnbsoqaugkIEVJhDMDhRjct1c"", ""Habilidades!A:A""), ""Select Col1 where Col1 = 'Líd"&amp;"er 1' or Col1 = 'Companheiro de Guerra 1' or Col1 = 'Resistente 2'""), 
if('Time 3'!C8 = ""Irene"", query(IMPORTRANGE(""15YC3Wi7qFmdVjHeW_UCnbsoqaugkIEVJhDMDhRjct1c"", ""Habilidades!A:A""), ""Select Col1 where Col1 = 'Gangster 1' or Col1 = 'Fornecedor 2' "&amp;"or Col1 = 'Engenhoso 1'""), 
if('Time 3'!C8 = ""Karal"", query(IMPORTRANGE(""15YC3Wi7qFmdVjHeW_UCnbsoqaugkIEVJhDMDhRjct1c"", ""Habilidades!A:A""), ""Select Col1 where Col1 = 'Amazona 1' or Col1 = 'Resistente 1' or Col1 = 'Esmagar'""), 
if('Time 3'!C8 = """&amp;"Kuro Shobi"", query(IMPORTRANGE(""15YC3Wi7qFmdVjHeW_UCnbsoqaugkIEVJhDMDhRjct1c"", ""Habilidades!A:A""), ""Select Col1 where Col1 = 'Gangster 3' or Col1 = 'Engenhoso 3' or Col1 = 'Velocista 3'""), 
if('Time 3'!C8 = ""Kurul"", query(IMPORTRANGE(""15YC3Wi7qF"&amp;"mdVjHeW_UCnbsoqaugkIEVJhDMDhRjct1c"", ""Habilidades!A:A""), ""Select Col1 where Col1 = 'Catador 2' or Col1 = 'Energético 2' or Col1 = 'Líder 2'""), 
if('Time 3'!C8 = ""Lancaster"", query(IMPORTRANGE(""15YC3Wi7qFmdVjHeW_UCnbsoqaugkIEVJhDMDhRjct1c"", ""Habi"&amp;"lidades!A:A""), ""Select Col1 where Col1 = 'Engenhoso 2' or Col1 = 'Protetor 2' or Col1 = 'Companheiro de Guerra 2'""), 
if('Time 3'!C8 = ""Lorelei"", query(IMPORTRANGE(""15YC3Wi7qFmdVjHeW_UCnbsoqaugkIEVJhDMDhRjct1c"", ""Habilidades!A:A""), ""Select Col1 "&amp;"where Col1 = 'Sortudo 3' or Col1 = 'Emboscada' or Col1 = 'Catador 3'""), 
if('Time 3'!C8 = ""Louca"", query(IMPORTRANGE(""15YC3Wi7qFmdVjHeW_UCnbsoqaugkIEVJhDMDhRjct1c"", ""Habilidades!A:A""), ""Select Col1 where Col1 = 'Caça-tesouros 3' or Col1 = 'Catador"&amp;" 3' or Col1 = 'Suporte 3'""), 
if('Time 3'!C8 = ""Melina"", query(IMPORTRANGE(""15YC3Wi7qFmdVjHeW_UCnbsoqaugkIEVJhDMDhRjct1c"", ""Habilidades!A:A""), ""Select Col1 where Col1 = 'Bola de fogo' or Col1 = 'Sábio 1' or Col1 = 'Velocista 1'""), 
if('Time 3'!C8"&amp;" = ""Mila"", query(IMPORTRANGE(""15YC3Wi7qFmdVjHeW_UCnbsoqaugkIEVJhDMDhRjct1c"", ""Habilidades!A:A""), ""Select Col1 where Col1 = 'Caça-tesouros 2' or Col1 = 'Sortudo 2' or Col1 = 'Ganancioso 1'""), 
if('Time 3'!C8 = ""Minh"", query(IMPORTRANGE(""15YC3Wi7"&amp;"qFmdVjHeW_UCnbsoqaugkIEVJhDMDhRjct1c"", ""Habilidades!A:A""), ""Select Col1 where Col1 = 'Sábio 1' or Col1 = 'Curandeiro 1' or Col1 = 'Reviver 1'""), 
if('Time 3'!C8 = ""Mojian"", query(IMPORTRANGE(""15YC3Wi7qFmdVjHeW_UCnbsoqaugkIEVJhDMDhRjct1c"", ""Habil"&amp;"idades!A:A""), ""Select Col1 where Col1 = 'Comandante 3' or Col1 = 'Arquimago 3' or Col1 = 'Raio elétrico'""), 
if('Time 3'!C8 = ""Nya"", query(IMPORTRANGE(""15YC3Wi7qFmdVjHeW_UCnbsoqaugkIEVJhDMDhRjct1c"", ""Habilidades!A:A""), ""Select Col1 where Col1 = "&amp;"'Reviver 1' or Col1 = 'Arquimago 1' or Col1 = 'Cone-gélido'""), 
if('Time 3'!C8 = ""Odette"", query(IMPORTRANGE(""15YC3Wi7qFmdVjHeW_UCnbsoqaugkIEVJhDMDhRjct1c"", ""Habilidades!A:A""), ""Select Col1 where Col1 = 'Cuidadoso 2' or Col1 = 'Amazona 2' or Col1 "&amp;"= 'Suporte 2'""), 
if('Time 3'!C8 = ""Oneira"", query(IMPORTRANGE(""15YC3Wi7qFmdVjHeW_UCnbsoqaugkIEVJhDMDhRjct1c"", ""Habilidades!A:A""), ""Select Col1 where Col1 = 'Ganancioso 3' or Col1 = 'Curandeiro 2' or Col1 = 'Suporte 2'""), 
if('Time 3'!C8 = ""Pala"&amp;"sh"", query(IMPORTRANGE(""15YC3Wi7qFmdVjHeW_UCnbsoqaugkIEVJhDMDhRjct1c"", ""Habilidades!A:A""), ""Select Col1 where Col1 = 'Catador 1' or Col1 = 'Resistente 1' or Col1 = 'Fornecedor 1'""), 
if('Time 3'!C8 = ""Theor"", query(IMPORTRANGE(""15YC3Wi7qFmdVjHeW"&amp;"_UCnbsoqaugkIEVJhDMDhRjct1c"", ""Habilidades!A:A""), ""Select Col1 where Col1 = 'Companheiro de Guerra 1' or Col1 = 'Energético 1' or Col1 = 'Cortar'""), 
if('Time 3'!C8 = ""Yue"", query(IMPORTRANGE(""15YC3Wi7qFmdVjHeW_UCnbsoqaugkIEVJhDMDhRjct1c"", ""Habi"&amp;"lidades!A:A""), ""Select Col1 where Col1 = 'Resistente 3' or Col1 = 'Mestre das armas' or Col1 = 'Comandante 3'"")))))))))))))))))))))))))))))"),"Detectar segredo")</f>
        <v>Detectar segredo</v>
      </c>
      <c r="G9" s="47"/>
    </row>
    <row r="10">
      <c r="A10" s="224" t="str">
        <f>IFERROR(__xludf.DUMMYFUNCTION("""COMPUTED_VALUE"""),"Companheiro de Guerra 3")</f>
        <v>Companheiro de Guerra 3</v>
      </c>
      <c r="B10" s="224" t="str">
        <f>IFERROR(__xludf.DUMMYFUNCTION("""COMPUTED_VALUE"""),"Reviver 1")</f>
        <v>Reviver 1</v>
      </c>
      <c r="C10" s="224" t="str">
        <f>IFERROR(__xludf.DUMMYFUNCTION("""COMPUTED_VALUE"""),"Companheiro de Guerra 1")</f>
        <v>Companheiro de Guerra 1</v>
      </c>
      <c r="D10" s="224" t="str">
        <f>IFERROR(__xludf.DUMMYFUNCTION("""COMPUTED_VALUE"""),"Catador 1")</f>
        <v>Catador 1</v>
      </c>
      <c r="E10" s="224" t="str">
        <f>IFERROR(__xludf.DUMMYFUNCTION("""COMPUTED_VALUE"""),"Catador 1")</f>
        <v>Catador 1</v>
      </c>
      <c r="F10" s="224" t="str">
        <f>IFERROR(__xludf.DUMMYFUNCTION("""COMPUTED_VALUE"""),"Encontrar mágica")</f>
        <v>Encontrar mágica</v>
      </c>
      <c r="G10" s="47"/>
    </row>
    <row r="11">
      <c r="A11" s="224" t="str">
        <f>IFERROR(__xludf.DUMMYFUNCTION("""COMPUTED_VALUE"""),"Velocista 2")</f>
        <v>Velocista 2</v>
      </c>
      <c r="B11" s="224" t="str">
        <f>IFERROR(__xludf.DUMMYFUNCTION("""COMPUTED_VALUE"""),"Sábio 1")</f>
        <v>Sábio 1</v>
      </c>
      <c r="C11" s="224" t="str">
        <f>IFERROR(__xludf.DUMMYFUNCTION("""COMPUTED_VALUE"""),"Líder 1")</f>
        <v>Líder 1</v>
      </c>
      <c r="D11" s="224" t="str">
        <f>IFERROR(__xludf.DUMMYFUNCTION("""COMPUTED_VALUE"""),"Caça-tesouros 1")</f>
        <v>Caça-tesouros 1</v>
      </c>
      <c r="E11" s="224" t="str">
        <f>IFERROR(__xludf.DUMMYFUNCTION("""COMPUTED_VALUE"""),"Fornecedor 1")</f>
        <v>Fornecedor 1</v>
      </c>
      <c r="F11" s="224" t="str">
        <f>IFERROR(__xludf.DUMMYFUNCTION("""COMPUTED_VALUE"""),"Armadura do Mago")</f>
        <v>Armadura do Mago</v>
      </c>
      <c r="G11" s="47"/>
    </row>
    <row r="12">
      <c r="A12" s="47"/>
      <c r="B12" s="47"/>
      <c r="C12" s="47"/>
      <c r="D12" s="47"/>
      <c r="E12" s="47"/>
      <c r="F12" s="47"/>
      <c r="G12" s="47"/>
    </row>
    <row r="13">
      <c r="A13" s="224" t="str">
        <f>IFERROR(__xludf.DUMMYFUNCTION("if('Time 4'!$C3 = ""Albert"", query(IMPORTRANGE(""15YC3Wi7qFmdVjHeW_UCnbsoqaugkIEVJhDMDhRjct1c"", ""Habilidades!A:A""), ""Select Col1 where Col1 = 'Cuidadoso 1' or Col1 = 'Fornecedor 1' or Col1 = 'Suporte 1'""),     
if('Time 4'!C3 = ""Alicia"", query(IMP"&amp;"ORTRANGE(""15YC3Wi7qFmdVjHeW_UCnbsoqaugkIEVJhDMDhRjct1c"", ""Habilidades!A:A""), ""Select Col1 where Col1 = 'Amazona 3' or Col1 = 'Energético 3' or Col1 = 'Sortudo 3'""), 
if('Time 4'!C3 = ""Azula"", query(IMPORTRANGE(""15YC3Wi7qFmdVjHeW_UCnbsoqaugkIEVJhD"&amp;"MDhRjct1c"", ""Habilidades!A:A""), ""Select Col1 where Col1 = 'Arquimago 2' or Col1 = 'Curandeiro 3' or Col1 = 'Sábio 3'""), 
if('Time 4'!C3 = ""Charles"", query(IMPORTRANGE(""15YC3Wi7qFmdVjHeW_UCnbsoqaugkIEVJhDMDhRjct1c"", ""Habilidades!A:A""), ""Select "&amp;"Col1 where Col1 = 'Armadura do Mago' or Col1 = 'Detectar segredo' or Col1 = 'Encontrar mágica'""), 
if('Time 4'!C3 = ""Clovis"", query(IMPORTRANGE(""15YC3Wi7qFmdVjHeW_UCnbsoqaugkIEVJhDMDhRjct1c"", ""Habilidades!A:A""), ""Select Col1 where Col1 = 'Defesa' "&amp;"or Col1 = 'Protetor 1' or Col1 = 'Comandante 1'""), 
if('Time 4'!C3 = ""Darthos"", query(IMPORTRANGE(""15YC3Wi7qFmdVjHeW_UCnbsoqaugkIEVJhDMDhRjct1c"", ""Habilidades!A:A""), ""Select Col1 where Col1 = 'Velocista 2' or Col1 = 'Sábio 2' or Col1 = 'Companheir"&amp;"o de Guerra 3'""), 
if('Time 4'!C3 = ""Edward"", query(IMPORTRANGE(""15YC3Wi7qFmdVjHeW_UCnbsoqaugkIEVJhDMDhRjct1c"", ""Habilidades!A:A""), ""Select Col1 where Col1 = 'Líder 3' or Col1 = 'Reviver 3' or Col1 = 'Protetor 3'""), 
if('Time 4'!C3 = ""Fiora"", q"&amp;"uery(IMPORTRANGE(""15YC3Wi7qFmdVjHeW_UCnbsoqaugkIEVJhDMDhRjct1c"", ""Habilidades!A:A""), ""Select Col1 where Col1 = 'Comandante 2' or Col1 = 'Ganancioso 2' or Col1 = 'Reviver 2'""), 
if('Time 4'!C3 = ""Francesca"", query(IMPORTRANGE(""15YC3Wi7qFmdVjHeW_UC"&amp;"nbsoqaugkIEVJhDMDhRjct1c"", ""Habilidades!A:A""), ""Select Col1 where Col1 = 'Cuidadoso 3' or Col1 = 'Fornecedor 3' or Col1 = 'Resistente 1'""), 
if('Time 4'!C3 = ""Garreth"", query(IMPORTRANGE(""15YC3Wi7qFmdVjHeW_UCnbsoqaugkIEVJhDMDhRjct1c"", ""Habilidad"&amp;"es!A:A""), ""Select Col1 where Col1 = 'Sortudo 1' or Col1 = 'Caça-tesouros 1' or Col1 = 'Catador 1'""), 
if('Time 4'!C3 = ""Gauvin"", query(IMPORTRANGE(""15YC3Wi7qFmdVjHeW_UCnbsoqaugkIEVJhDMDhRjct1c"", ""Habilidades!A:A""), ""Select Col1 where Col1 = 'Líd"&amp;"er 1' or Col1 = 'Companheiro de Guerra 1' or Col1 = 'Resistente 2'""), 
if('Time 4'!C3 = ""Irene"", query(IMPORTRANGE(""15YC3Wi7qFmdVjHeW_UCnbsoqaugkIEVJhDMDhRjct1c"", ""Habilidades!A:A""), ""Select Col1 where Col1 = 'Gangster 1' or Col1 = 'Fornecedor 2' "&amp;"or Col1 = 'Engenhoso 1'""), 
if('Time 4'!C3 = ""Karal"", query(IMPORTRANGE(""15YC3Wi7qFmdVjHeW_UCnbsoqaugkIEVJhDMDhRjct1c"", ""Habilidades!A:A""), ""Select Col1 where Col1 = 'Amazona 1' or Col1 = 'Resistente 1' or Col1 = 'Esmagar'""), 
if('Time 4'!C3 = """&amp;"Kuro Shobi"", query(IMPORTRANGE(""15YC3Wi7qFmdVjHeW_UCnbsoqaugkIEVJhDMDhRjct1c"", ""Habilidades!A:A""), ""Select Col1 where Col1 = 'Gangster 3' or Col1 = 'Engenhoso 3' or Col1 = 'Velocista 3'""), 
if('Time 4'!C3 = ""Kurul"", query(IMPORTRANGE(""15YC3Wi7qF"&amp;"mdVjHeW_UCnbsoqaugkIEVJhDMDhRjct1c"", ""Habilidades!A:A""), ""Select Col1 where Col1 = 'Catador 2' or Col1 = 'Energético 2' or Col1 = 'Líder 2'""), 
if('Time 4'!C3 = ""Lancaster"", query(IMPORTRANGE(""15YC3Wi7qFmdVjHeW_UCnbsoqaugkIEVJhDMDhRjct1c"", ""Habi"&amp;"lidades!A:A""), ""Select Col1 where Col1 = 'Engenhoso 2' or Col1 = 'Protetor 2' or Col1 = 'Companheiro de Guerra 2'""), 
if('Time 4'!C3 = ""Lorelei"", query(IMPORTRANGE(""15YC3Wi7qFmdVjHeW_UCnbsoqaugkIEVJhDMDhRjct1c"", ""Habilidades!A:A""), ""Select Col1 "&amp;"where Col1 = 'Sortudo 3' or Col1 = 'Emboscada' or Col1 = 'Catador 3'""), 
if('Time 4'!C3 = ""Louca"", query(IMPORTRANGE(""15YC3Wi7qFmdVjHeW_UCnbsoqaugkIEVJhDMDhRjct1c"", ""Habilidades!A:A""), ""Select Col1 where Col1 = 'Caça-tesouros 3' or Col1 = 'Catador"&amp;" 3' or Col1 = 'Suporte 3'""), 
if('Time 4'!C3 = ""Melina"", query(IMPORTRANGE(""15YC3Wi7qFmdVjHeW_UCnbsoqaugkIEVJhDMDhRjct1c"", ""Habilidades!A:A""), ""Select Col1 where Col1 = 'Bola de fogo' or Col1 = 'Sábio 1' or Col1 = 'Velocista 1'""), 
if('Time 4'!C3"&amp;" = ""Mila"", query(IMPORTRANGE(""15YC3Wi7qFmdVjHeW_UCnbsoqaugkIEVJhDMDhRjct1c"", ""Habilidades!A:A""), ""Select Col1 where Col1 = 'Caça-tesouros 2' or Col1 = 'Sortudo 2' or Col1 = 'Ganancioso 1'""), 
if('Time 4'!C3 = ""Minh"", query(IMPORTRANGE(""15YC3Wi7"&amp;"qFmdVjHeW_UCnbsoqaugkIEVJhDMDhRjct1c"", ""Habilidades!A:A""), ""Select Col1 where Col1 = 'Sábio 1' or Col1 = 'Curandeiro 1' or Col1 = 'Reviver 1'""), 
if('Time 4'!C3 = ""Mojian"", query(IMPORTRANGE(""15YC3Wi7qFmdVjHeW_UCnbsoqaugkIEVJhDMDhRjct1c"", ""Habil"&amp;"idades!A:A""), ""Select Col1 where Col1 = 'Comandante 3' or Col1 = 'Arquimago 3' or Col1 = 'Raio elétrico'""), 
if('Time 4'!C3 = ""Nya"", query(IMPORTRANGE(""15YC3Wi7qFmdVjHeW_UCnbsoqaugkIEVJhDMDhRjct1c"", ""Habilidades!A:A""), ""Select Col1 where Col1 = "&amp;"'Reviver 1' or Col1 = 'Arquimago 1' or Col1 = 'Cone-gélido'""), 
if('Time 4'!C3 = ""Odette"", query(IMPORTRANGE(""15YC3Wi7qFmdVjHeW_UCnbsoqaugkIEVJhDMDhRjct1c"", ""Habilidades!A:A""), ""Select Col1 where Col1 = 'Cuidadoso 2' or Col1 = 'Amazona 2' or Col1 "&amp;"= 'Suporte 2'""), 
if('Time 4'!C3 = ""Oneira"", query(IMPORTRANGE(""15YC3Wi7qFmdVjHeW_UCnbsoqaugkIEVJhDMDhRjct1c"", ""Habilidades!A:A""), ""Select Col1 where Col1 = 'Ganancioso 3' or Col1 = 'Curandeiro 2' or Col1 = 'Suporte 2'""), 
if('Time 4'!C3 = ""Pala"&amp;"sh"", query(IMPORTRANGE(""15YC3Wi7qFmdVjHeW_UCnbsoqaugkIEVJhDMDhRjct1c"", ""Habilidades!A:A""), ""Select Col1 where Col1 = 'Catador 1' or Col1 = 'Resistente 1' or Col1 = 'Fornecedor 1'""), 
if('Time 4'!C3 = ""Theor"", query(IMPORTRANGE(""15YC3Wi7qFmdVjHeW"&amp;"_UCnbsoqaugkIEVJhDMDhRjct1c"", ""Habilidades!A:A""), ""Select Col1 where Col1 = 'Companheiro de Guerra 1' or Col1 = 'Energético 1' or Col1 = 'Cortar'""), 
if('Time 4'!C3 = ""Yue"", query(IMPORTRANGE(""15YC3Wi7qFmdVjHeW_UCnbsoqaugkIEVJhDMDhRjct1c"", ""Habi"&amp;"lidades!A:A""), ""Select Col1 where Col1 = 'Resistente 3' or Col1 = 'Mestre das armas' or Col1 = 'Comandante 3'"")))))))))))))))))))))))))))))"),"Cuidadoso 2")</f>
        <v>Cuidadoso 2</v>
      </c>
      <c r="B13" s="224" t="str">
        <f>IFERROR(__xludf.DUMMYFUNCTION("if('Time 4'!$C4 = ""Albert"", query(IMPORTRANGE(""15YC3Wi7qFmdVjHeW_UCnbsoqaugkIEVJhDMDhRjct1c"", ""Habilidades!A:A""), ""Select Col1 where Col1 = 'Cuidadoso 1' or Col1 = 'Fornecedor 1' or Col1 = 'Suporte 1'""),     
if('Time 4'!C4 = ""Alicia"", query(IMP"&amp;"ORTRANGE(""15YC3Wi7qFmdVjHeW_UCnbsoqaugkIEVJhDMDhRjct1c"", ""Habilidades!A:A""), ""Select Col1 where Col1 = 'Amazona 3' or Col1 = 'Energético 3' or Col1 = 'Sortudo 3'""), 
if('Time 4'!C4 = ""Azula"", query(IMPORTRANGE(""15YC3Wi7qFmdVjHeW_UCnbsoqaugkIEVJhD"&amp;"MDhRjct1c"", ""Habilidades!A:A""), ""Select Col1 where Col1 = 'Arquimago 2' or Col1 = 'Curandeiro 3' or Col1 = 'Sábio 3'""), 
if('Time 4'!C4 = ""Charles"", query(IMPORTRANGE(""15YC3Wi7qFmdVjHeW_UCnbsoqaugkIEVJhDMDhRjct1c"", ""Habilidades!A:A""), ""Select "&amp;"Col1 where Col1 = 'Armadura do Mago' or Col1 = 'Detectar segredo' or Col1 = 'Encontrar mágica'""), 
if('Time 4'!C4 = ""Clovis"", query(IMPORTRANGE(""15YC3Wi7qFmdVjHeW_UCnbsoqaugkIEVJhDMDhRjct1c"", ""Habilidades!A:A""), ""Select Col1 where Col1 = 'Defesa' "&amp;"or Col1 = 'Protetor 1' or Col1 = 'Comandante 1'""), 
if('Time 4'!C4 = ""Darthos"", query(IMPORTRANGE(""15YC3Wi7qFmdVjHeW_UCnbsoqaugkIEVJhDMDhRjct1c"", ""Habilidades!A:A""), ""Select Col1 where Col1 = 'Velocista 2' or Col1 = 'Sábio 2' or Col1 = 'Companheir"&amp;"o de Guerra 3'""), 
if('Time 4'!C4 = ""Edward"", query(IMPORTRANGE(""15YC3Wi7qFmdVjHeW_UCnbsoqaugkIEVJhDMDhRjct1c"", ""Habilidades!A:A""), ""Select Col1 where Col1 = 'Líder 3' or Col1 = 'Reviver 3' or Col1 = 'Protetor 3'""), 
if('Time 4'!C4 = ""Fiora"", q"&amp;"uery(IMPORTRANGE(""15YC3Wi7qFmdVjHeW_UCnbsoqaugkIEVJhDMDhRjct1c"", ""Habilidades!A:A""), ""Select Col1 where Col1 = 'Comandante 2' or Col1 = 'Ganancioso 2' or Col1 = 'Reviver 2'""), 
if('Time 4'!C4 = ""Francesca"", query(IMPORTRANGE(""15YC3Wi7qFmdVjHeW_UC"&amp;"nbsoqaugkIEVJhDMDhRjct1c"", ""Habilidades!A:A""), ""Select Col1 where Col1 = 'Cuidadoso 3' or Col1 = 'Fornecedor 3' or Col1 = 'Resistente 1'""), 
if('Time 4'!C4 = ""Garreth"", query(IMPORTRANGE(""15YC3Wi7qFmdVjHeW_UCnbsoqaugkIEVJhDMDhRjct1c"", ""Habilidad"&amp;"es!A:A""), ""Select Col1 where Col1 = 'Sortudo 1' or Col1 = 'Caça-tesouros 1' or Col1 = 'Catador 1'""), 
if('Time 4'!C4 = ""Gauvin"", query(IMPORTRANGE(""15YC3Wi7qFmdVjHeW_UCnbsoqaugkIEVJhDMDhRjct1c"", ""Habilidades!A:A""), ""Select Col1 where Col1 = 'Líd"&amp;"er 1' or Col1 = 'Companheiro de Guerra 1' or Col1 = 'Resistente 2'""), 
if('Time 4'!C4 = ""Irene"", query(IMPORTRANGE(""15YC3Wi7qFmdVjHeW_UCnbsoqaugkIEVJhDMDhRjct1c"", ""Habilidades!A:A""), ""Select Col1 where Col1 = 'Gangster 1' or Col1 = 'Fornecedor 2' "&amp;"or Col1 = 'Engenhoso 1'""), 
if('Time 4'!C4 = ""Karal"", query(IMPORTRANGE(""15YC3Wi7qFmdVjHeW_UCnbsoqaugkIEVJhDMDhRjct1c"", ""Habilidades!A:A""), ""Select Col1 where Col1 = 'Amazona 1' or Col1 = 'Resistente 1' or Col1 = 'Esmagar'""), 
if('Time 4'!C4 = """&amp;"Kuro Shobi"", query(IMPORTRANGE(""15YC3Wi7qFmdVjHeW_UCnbsoqaugkIEVJhDMDhRjct1c"", ""Habilidades!A:A""), ""Select Col1 where Col1 = 'Gangster 3' or Col1 = 'Engenhoso 3' or Col1 = 'Velocista 3'""), 
if('Time 4'!C4 = ""Kurul"", query(IMPORTRANGE(""15YC3Wi7qF"&amp;"mdVjHeW_UCnbsoqaugkIEVJhDMDhRjct1c"", ""Habilidades!A:A""), ""Select Col1 where Col1 = 'Catador 2' or Col1 = 'Energético 2' or Col1 = 'Líder 2'""), 
if('Time 4'!C4 = ""Lancaster"", query(IMPORTRANGE(""15YC3Wi7qFmdVjHeW_UCnbsoqaugkIEVJhDMDhRjct1c"", ""Habi"&amp;"lidades!A:A""), ""Select Col1 where Col1 = 'Engenhoso 2' or Col1 = 'Protetor 2' or Col1 = 'Companheiro de Guerra 2'""), 
if('Time 4'!C4 = ""Lorelei"", query(IMPORTRANGE(""15YC3Wi7qFmdVjHeW_UCnbsoqaugkIEVJhDMDhRjct1c"", ""Habilidades!A:A""), ""Select Col1 "&amp;"where Col1 = 'Sortudo 3' or Col1 = 'Emboscada' or Col1 = 'Catador 3'""), 
if('Time 4'!C4 = ""Louca"", query(IMPORTRANGE(""15YC3Wi7qFmdVjHeW_UCnbsoqaugkIEVJhDMDhRjct1c"", ""Habilidades!A:A""), ""Select Col1 where Col1 = 'Caça-tesouros 3' or Col1 = 'Catador"&amp;" 3' or Col1 = 'Suporte 3'""), 
if('Time 4'!C4 = ""Melina"", query(IMPORTRANGE(""15YC3Wi7qFmdVjHeW_UCnbsoqaugkIEVJhDMDhRjct1c"", ""Habilidades!A:A""), ""Select Col1 where Col1 = 'Bola de fogo' or Col1 = 'Sábio 1' or Col1 = 'Velocista 1'""), 
if('Time 4'!C4"&amp;" = ""Mila"", query(IMPORTRANGE(""15YC3Wi7qFmdVjHeW_UCnbsoqaugkIEVJhDMDhRjct1c"", ""Habilidades!A:A""), ""Select Col1 where Col1 = 'Caça-tesouros 2' or Col1 = 'Sortudo 2' or Col1 = 'Ganancioso 1'""), 
if('Time 4'!C4 = ""Minh"", query(IMPORTRANGE(""15YC3Wi7"&amp;"qFmdVjHeW_UCnbsoqaugkIEVJhDMDhRjct1c"", ""Habilidades!A:A""), ""Select Col1 where Col1 = 'Sábio 1' or Col1 = 'Curandeiro 1' or Col1 = 'Reviver 1'""), 
if('Time 4'!C4 = ""Mojian"", query(IMPORTRANGE(""15YC3Wi7qFmdVjHeW_UCnbsoqaugkIEVJhDMDhRjct1c"", ""Habil"&amp;"idades!A:A""), ""Select Col1 where Col1 = 'Comandante 3' or Col1 = 'Arquimago 3' or Col1 = 'Raio elétrico'""), 
if('Time 4'!C4 = ""Nya"", query(IMPORTRANGE(""15YC3Wi7qFmdVjHeW_UCnbsoqaugkIEVJhDMDhRjct1c"", ""Habilidades!A:A""), ""Select Col1 where Col1 = "&amp;"'Reviver 1' or Col1 = 'Arquimago 1' or Col1 = 'Cone-gélido'""), 
if('Time 4'!C4 = ""Odette"", query(IMPORTRANGE(""15YC3Wi7qFmdVjHeW_UCnbsoqaugkIEVJhDMDhRjct1c"", ""Habilidades!A:A""), ""Select Col1 where Col1 = 'Cuidadoso 2' or Col1 = 'Amazona 2' or Col1 "&amp;"= 'Suporte 2'""), 
if('Time 4'!C4 = ""Oneira"", query(IMPORTRANGE(""15YC3Wi7qFmdVjHeW_UCnbsoqaugkIEVJhDMDhRjct1c"", ""Habilidades!A:A""), ""Select Col1 where Col1 = 'Ganancioso 3' or Col1 = 'Curandeiro 2' or Col1 = 'Suporte 2'""), 
if('Time 4'!C4 = ""Pala"&amp;"sh"", query(IMPORTRANGE(""15YC3Wi7qFmdVjHeW_UCnbsoqaugkIEVJhDMDhRjct1c"", ""Habilidades!A:A""), ""Select Col1 where Col1 = 'Catador 1' or Col1 = 'Resistente 1' or Col1 = 'Fornecedor 1'""), 
if('Time 4'!C4 = ""Theor"", query(IMPORTRANGE(""15YC3Wi7qFmdVjHeW"&amp;"_UCnbsoqaugkIEVJhDMDhRjct1c"", ""Habilidades!A:A""), ""Select Col1 where Col1 = 'Companheiro de Guerra 1' or Col1 = 'Energético 1' or Col1 = 'Cortar'""), 
if('Time 4'!C4 = ""Yue"", query(IMPORTRANGE(""15YC3Wi7qFmdVjHeW_UCnbsoqaugkIEVJhDMDhRjct1c"", ""Habi"&amp;"lidades!A:A""), ""Select Col1 where Col1 = 'Resistente 3' or Col1 = 'Mestre das armas' or Col1 = 'Comandante 3'"")))))))))))))))))))))))))))))"),"Cuidadoso 3")</f>
        <v>Cuidadoso 3</v>
      </c>
      <c r="C13" s="224" t="str">
        <f>IFERROR(__xludf.DUMMYFUNCTION("if('Time 4'!$C5 = ""Albert"", query(IMPORTRANGE(""15YC3Wi7qFmdVjHeW_UCnbsoqaugkIEVJhDMDhRjct1c"", ""Habilidades!A:A""), ""Select Col1 where Col1 = 'Cuidadoso 1' or Col1 = 'Fornecedor 1' or Col1 = 'Suporte 1'""),     
if('Time 4'!C5 = ""Alicia"", query(IMP"&amp;"ORTRANGE(""15YC3Wi7qFmdVjHeW_UCnbsoqaugkIEVJhDMDhRjct1c"", ""Habilidades!A:A""), ""Select Col1 where Col1 = 'Amazona 3' or Col1 = 'Energético 3' or Col1 = 'Sortudo 3'""), 
if('Time 4'!C5 = ""Azula"", query(IMPORTRANGE(""15YC3Wi7qFmdVjHeW_UCnbsoqaugkIEVJhD"&amp;"MDhRjct1c"", ""Habilidades!A:A""), ""Select Col1 where Col1 = 'Arquimago 2' or Col1 = 'Curandeiro 3' or Col1 = 'Sábio 3'""), 
if('Time 4'!C5 = ""Charles"", query(IMPORTRANGE(""15YC3Wi7qFmdVjHeW_UCnbsoqaugkIEVJhDMDhRjct1c"", ""Habilidades!A:A""), ""Select "&amp;"Col1 where Col1 = 'Armadura do Mago' or Col1 = 'Detectar segredo' or Col1 = 'Encontrar mágica'""), 
if('Time 4'!C5 = ""Clovis"", query(IMPORTRANGE(""15YC3Wi7qFmdVjHeW_UCnbsoqaugkIEVJhDMDhRjct1c"", ""Habilidades!A:A""), ""Select Col1 where Col1 = 'Defesa' "&amp;"or Col1 = 'Protetor 1' or Col1 = 'Comandante 1'""), 
if('Time 4'!C5 = ""Darthos"", query(IMPORTRANGE(""15YC3Wi7qFmdVjHeW_UCnbsoqaugkIEVJhDMDhRjct1c"", ""Habilidades!A:A""), ""Select Col1 where Col1 = 'Velocista 2' or Col1 = 'Sábio 2' or Col1 = 'Companheir"&amp;"o de Guerra 3'""), 
if('Time 4'!C5 = ""Edward"", query(IMPORTRANGE(""15YC3Wi7qFmdVjHeW_UCnbsoqaugkIEVJhDMDhRjct1c"", ""Habilidades!A:A""), ""Select Col1 where Col1 = 'Líder 3' or Col1 = 'Reviver 3' or Col1 = 'Protetor 3'""), 
if('Time 4'!C5 = ""Fiora"", q"&amp;"uery(IMPORTRANGE(""15YC3Wi7qFmdVjHeW_UCnbsoqaugkIEVJhDMDhRjct1c"", ""Habilidades!A:A""), ""Select Col1 where Col1 = 'Comandante 2' or Col1 = 'Ganancioso 2' or Col1 = 'Reviver 2'""), 
if('Time 4'!C5 = ""Francesca"", query(IMPORTRANGE(""15YC3Wi7qFmdVjHeW_UC"&amp;"nbsoqaugkIEVJhDMDhRjct1c"", ""Habilidades!A:A""), ""Select Col1 where Col1 = 'Cuidadoso 3' or Col1 = 'Fornecedor 3' or Col1 = 'Resistente 1'""), 
if('Time 4'!C5 = ""Garreth"", query(IMPORTRANGE(""15YC3Wi7qFmdVjHeW_UCnbsoqaugkIEVJhDMDhRjct1c"", ""Habilidad"&amp;"es!A:A""), ""Select Col1 where Col1 = 'Sortudo 1' or Col1 = 'Caça-tesouros 1' or Col1 = 'Catador 1'""), 
if('Time 4'!C5 = ""Gauvin"", query(IMPORTRANGE(""15YC3Wi7qFmdVjHeW_UCnbsoqaugkIEVJhDMDhRjct1c"", ""Habilidades!A:A""), ""Select Col1 where Col1 = 'Líd"&amp;"er 1' or Col1 = 'Companheiro de Guerra 1' or Col1 = 'Resistente 2'""), 
if('Time 4'!C5 = ""Irene"", query(IMPORTRANGE(""15YC3Wi7qFmdVjHeW_UCnbsoqaugkIEVJhDMDhRjct1c"", ""Habilidades!A:A""), ""Select Col1 where Col1 = 'Gangster 1' or Col1 = 'Fornecedor 2' "&amp;"or Col1 = 'Engenhoso 1'""), 
if('Time 4'!C5 = ""Karal"", query(IMPORTRANGE(""15YC3Wi7qFmdVjHeW_UCnbsoqaugkIEVJhDMDhRjct1c"", ""Habilidades!A:A""), ""Select Col1 where Col1 = 'Amazona 1' or Col1 = 'Resistente 1' or Col1 = 'Esmagar'""), 
if('Time 4'!C5 = """&amp;"Kuro Shobi"", query(IMPORTRANGE(""15YC3Wi7qFmdVjHeW_UCnbsoqaugkIEVJhDMDhRjct1c"", ""Habilidades!A:A""), ""Select Col1 where Col1 = 'Gangster 3' or Col1 = 'Engenhoso 3' or Col1 = 'Velocista 3'""), 
if('Time 4'!C5 = ""Kurul"", query(IMPORTRANGE(""15YC3Wi7qF"&amp;"mdVjHeW_UCnbsoqaugkIEVJhDMDhRjct1c"", ""Habilidades!A:A""), ""Select Col1 where Col1 = 'Catador 2' or Col1 = 'Energético 2' or Col1 = 'Líder 2'""), 
if('Time 4'!C5 = ""Lancaster"", query(IMPORTRANGE(""15YC3Wi7qFmdVjHeW_UCnbsoqaugkIEVJhDMDhRjct1c"", ""Habi"&amp;"lidades!A:A""), ""Select Col1 where Col1 = 'Engenhoso 2' or Col1 = 'Protetor 2' or Col1 = 'Companheiro de Guerra 2'""), 
if('Time 4'!C5 = ""Lorelei"", query(IMPORTRANGE(""15YC3Wi7qFmdVjHeW_UCnbsoqaugkIEVJhDMDhRjct1c"", ""Habilidades!A:A""), ""Select Col1 "&amp;"where Col1 = 'Sortudo 3' or Col1 = 'Emboscada' or Col1 = 'Catador 3'""), 
if('Time 4'!C5 = ""Louca"", query(IMPORTRANGE(""15YC3Wi7qFmdVjHeW_UCnbsoqaugkIEVJhDMDhRjct1c"", ""Habilidades!A:A""), ""Select Col1 where Col1 = 'Caça-tesouros 3' or Col1 = 'Catador"&amp;" 3' or Col1 = 'Suporte 3'""), 
if('Time 4'!C5 = ""Melina"", query(IMPORTRANGE(""15YC3Wi7qFmdVjHeW_UCnbsoqaugkIEVJhDMDhRjct1c"", ""Habilidades!A:A""), ""Select Col1 where Col1 = 'Bola de fogo' or Col1 = 'Sábio 1' or Col1 = 'Velocista 1'""), 
if('Time 4'!C5"&amp;" = ""Mila"", query(IMPORTRANGE(""15YC3Wi7qFmdVjHeW_UCnbsoqaugkIEVJhDMDhRjct1c"", ""Habilidades!A:A""), ""Select Col1 where Col1 = 'Caça-tesouros 2' or Col1 = 'Sortudo 2' or Col1 = 'Ganancioso 1'""), 
if('Time 4'!C5 = ""Minh"", query(IMPORTRANGE(""15YC3Wi7"&amp;"qFmdVjHeW_UCnbsoqaugkIEVJhDMDhRjct1c"", ""Habilidades!A:A""), ""Select Col1 where Col1 = 'Sábio 1' or Col1 = 'Curandeiro 1' or Col1 = 'Reviver 1'""), 
if('Time 4'!C5 = ""Mojian"", query(IMPORTRANGE(""15YC3Wi7qFmdVjHeW_UCnbsoqaugkIEVJhDMDhRjct1c"", ""Habil"&amp;"idades!A:A""), ""Select Col1 where Col1 = 'Comandante 3' or Col1 = 'Arquimago 3' or Col1 = 'Raio elétrico'""), 
if('Time 4'!C5 = ""Nya"", query(IMPORTRANGE(""15YC3Wi7qFmdVjHeW_UCnbsoqaugkIEVJhDMDhRjct1c"", ""Habilidades!A:A""), ""Select Col1 where Col1 = "&amp;"'Reviver 1' or Col1 = 'Arquimago 1' or Col1 = 'Cone-gélido'""), 
if('Time 4'!C5 = ""Odette"", query(IMPORTRANGE(""15YC3Wi7qFmdVjHeW_UCnbsoqaugkIEVJhDMDhRjct1c"", ""Habilidades!A:A""), ""Select Col1 where Col1 = 'Cuidadoso 2' or Col1 = 'Amazona 2' or Col1 "&amp;"= 'Suporte 2'""), 
if('Time 4'!C5 = ""Oneira"", query(IMPORTRANGE(""15YC3Wi7qFmdVjHeW_UCnbsoqaugkIEVJhDMDhRjct1c"", ""Habilidades!A:A""), ""Select Col1 where Col1 = 'Ganancioso 3' or Col1 = 'Curandeiro 2' or Col1 = 'Suporte 2'""), 
if('Time 4'!C5 = ""Pala"&amp;"sh"", query(IMPORTRANGE(""15YC3Wi7qFmdVjHeW_UCnbsoqaugkIEVJhDMDhRjct1c"", ""Habilidades!A:A""), ""Select Col1 where Col1 = 'Catador 1' or Col1 = 'Resistente 1' or Col1 = 'Fornecedor 1'""), 
if('Time 4'!C5 = ""Theor"", query(IMPORTRANGE(""15YC3Wi7qFmdVjHeW"&amp;"_UCnbsoqaugkIEVJhDMDhRjct1c"", ""Habilidades!A:A""), ""Select Col1 where Col1 = 'Companheiro de Guerra 1' or Col1 = 'Energético 1' or Col1 = 'Cortar'""), 
if('Time 4'!C5 = ""Yue"", query(IMPORTRANGE(""15YC3Wi7qFmdVjHeW_UCnbsoqaugkIEVJhDMDhRjct1c"", ""Habi"&amp;"lidades!A:A""), ""Select Col1 where Col1 = 'Resistente 3' or Col1 = 'Mestre das armas' or Col1 = 'Comandante 3'"")))))))))))))))))))))))))))))"),"Energético 3")</f>
        <v>Energético 3</v>
      </c>
      <c r="D13" s="224" t="str">
        <f>IFERROR(__xludf.DUMMYFUNCTION("if('Time 4'!$C6 = ""Albert"", query(IMPORTRANGE(""15YC3Wi7qFmdVjHeW_UCnbsoqaugkIEVJhDMDhRjct1c"", ""Habilidades!A:A""), ""Select Col1 where Col1 = 'Cuidadoso 1' or Col1 = 'Fornecedor 1' or Col1 = 'Suporte 1'""),     
if('Time 4'!C6 = ""Alicia"", query(IMP"&amp;"ORTRANGE(""15YC3Wi7qFmdVjHeW_UCnbsoqaugkIEVJhDMDhRjct1c"", ""Habilidades!A:A""), ""Select Col1 where Col1 = 'Amazona 3' or Col1 = 'Energético 3' or Col1 = 'Sortudo 3'""), 
if('Time 4'!C6 = ""Azula"", query(IMPORTRANGE(""15YC3Wi7qFmdVjHeW_UCnbsoqaugkIEVJhD"&amp;"MDhRjct1c"", ""Habilidades!A:A""), ""Select Col1 where Col1 = 'Arquimago 2' or Col1 = 'Curandeiro 3' or Col1 = 'Sábio 3'""), 
if('Time 4'!C6 = ""Charles"", query(IMPORTRANGE(""15YC3Wi7qFmdVjHeW_UCnbsoqaugkIEVJhDMDhRjct1c"", ""Habilidades!A:A""), ""Select "&amp;"Col1 where Col1 = 'Armadura do Mago' or Col1 = 'Detectar segredo' or Col1 = 'Encontrar mágica'""), 
if('Time 4'!C6 = ""Clovis"", query(IMPORTRANGE(""15YC3Wi7qFmdVjHeW_UCnbsoqaugkIEVJhDMDhRjct1c"", ""Habilidades!A:A""), ""Select Col1 where Col1 = 'Defesa' "&amp;"or Col1 = 'Protetor 1' or Col1 = 'Comandante 1'""), 
if('Time 4'!C6 = ""Darthos"", query(IMPORTRANGE(""15YC3Wi7qFmdVjHeW_UCnbsoqaugkIEVJhDMDhRjct1c"", ""Habilidades!A:A""), ""Select Col1 where Col1 = 'Velocista 2' or Col1 = 'Sábio 2' or Col1 = 'Companheir"&amp;"o de Guerra 3'""), 
if('Time 4'!C6 = ""Edward"", query(IMPORTRANGE(""15YC3Wi7qFmdVjHeW_UCnbsoqaugkIEVJhDMDhRjct1c"", ""Habilidades!A:A""), ""Select Col1 where Col1 = 'Líder 3' or Col1 = 'Reviver 3' or Col1 = 'Protetor 3'""), 
if('Time 4'!C6 = ""Fiora"", q"&amp;"uery(IMPORTRANGE(""15YC3Wi7qFmdVjHeW_UCnbsoqaugkIEVJhDMDhRjct1c"", ""Habilidades!A:A""), ""Select Col1 where Col1 = 'Comandante 2' or Col1 = 'Ganancioso 2' or Col1 = 'Reviver 2'""), 
if('Time 4'!C6 = ""Francesca"", query(IMPORTRANGE(""15YC3Wi7qFmdVjHeW_UC"&amp;"nbsoqaugkIEVJhDMDhRjct1c"", ""Habilidades!A:A""), ""Select Col1 where Col1 = 'Cuidadoso 3' or Col1 = 'Fornecedor 3' or Col1 = 'Resistente 1'""), 
if('Time 4'!C6 = ""Garreth"", query(IMPORTRANGE(""15YC3Wi7qFmdVjHeW_UCnbsoqaugkIEVJhDMDhRjct1c"", ""Habilidad"&amp;"es!A:A""), ""Select Col1 where Col1 = 'Sortudo 1' or Col1 = 'Caça-tesouros 1' or Col1 = 'Catador 1'""), 
if('Time 4'!C6 = ""Gauvin"", query(IMPORTRANGE(""15YC3Wi7qFmdVjHeW_UCnbsoqaugkIEVJhDMDhRjct1c"", ""Habilidades!A:A""), ""Select Col1 where Col1 = 'Líd"&amp;"er 1' or Col1 = 'Companheiro de Guerra 1' or Col1 = 'Resistente 2'""), 
if('Time 4'!C6 = ""Irene"", query(IMPORTRANGE(""15YC3Wi7qFmdVjHeW_UCnbsoqaugkIEVJhDMDhRjct1c"", ""Habilidades!A:A""), ""Select Col1 where Col1 = 'Gangster 1' or Col1 = 'Fornecedor 2' "&amp;"or Col1 = 'Engenhoso 1'""), 
if('Time 4'!C6 = ""Karal"", query(IMPORTRANGE(""15YC3Wi7qFmdVjHeW_UCnbsoqaugkIEVJhDMDhRjct1c"", ""Habilidades!A:A""), ""Select Col1 where Col1 = 'Amazona 1' or Col1 = 'Resistente 1' or Col1 = 'Esmagar'""), 
if('Time 4'!C6 = """&amp;"Kuro Shobi"", query(IMPORTRANGE(""15YC3Wi7qFmdVjHeW_UCnbsoqaugkIEVJhDMDhRjct1c"", ""Habilidades!A:A""), ""Select Col1 where Col1 = 'Gangster 3' or Col1 = 'Engenhoso 3' or Col1 = 'Velocista 3'""), 
if('Time 4'!C6 = ""Kurul"", query(IMPORTRANGE(""15YC3Wi7qF"&amp;"mdVjHeW_UCnbsoqaugkIEVJhDMDhRjct1c"", ""Habilidades!A:A""), ""Select Col1 where Col1 = 'Catador 2' or Col1 = 'Energético 2' or Col1 = 'Líder 2'""), 
if('Time 4'!C6 = ""Lancaster"", query(IMPORTRANGE(""15YC3Wi7qFmdVjHeW_UCnbsoqaugkIEVJhDMDhRjct1c"", ""Habi"&amp;"lidades!A:A""), ""Select Col1 where Col1 = 'Engenhoso 2' or Col1 = 'Protetor 2' or Col1 = 'Companheiro de Guerra 2'""), 
if('Time 4'!C6 = ""Lorelei"", query(IMPORTRANGE(""15YC3Wi7qFmdVjHeW_UCnbsoqaugkIEVJhDMDhRjct1c"", ""Habilidades!A:A""), ""Select Col1 "&amp;"where Col1 = 'Sortudo 3' or Col1 = 'Emboscada' or Col1 = 'Catador 3'""), 
if('Time 4'!C6 = ""Louca"", query(IMPORTRANGE(""15YC3Wi7qFmdVjHeW_UCnbsoqaugkIEVJhDMDhRjct1c"", ""Habilidades!A:A""), ""Select Col1 where Col1 = 'Caça-tesouros 3' or Col1 = 'Catador"&amp;" 3' or Col1 = 'Suporte 3'""), 
if('Time 4'!C6 = ""Melina"", query(IMPORTRANGE(""15YC3Wi7qFmdVjHeW_UCnbsoqaugkIEVJhDMDhRjct1c"", ""Habilidades!A:A""), ""Select Col1 where Col1 = 'Bola de fogo' or Col1 = 'Sábio 1' or Col1 = 'Velocista 1'""), 
if('Time 4'!C6"&amp;" = ""Mila"", query(IMPORTRANGE(""15YC3Wi7qFmdVjHeW_UCnbsoqaugkIEVJhDMDhRjct1c"", ""Habilidades!A:A""), ""Select Col1 where Col1 = 'Caça-tesouros 2' or Col1 = 'Sortudo 2' or Col1 = 'Ganancioso 1'""), 
if('Time 4'!C6 = ""Minh"", query(IMPORTRANGE(""15YC3Wi7"&amp;"qFmdVjHeW_UCnbsoqaugkIEVJhDMDhRjct1c"", ""Habilidades!A:A""), ""Select Col1 where Col1 = 'Sábio 1' or Col1 = 'Curandeiro 1' or Col1 = 'Reviver 1'""), 
if('Time 4'!C6 = ""Mojian"", query(IMPORTRANGE(""15YC3Wi7qFmdVjHeW_UCnbsoqaugkIEVJhDMDhRjct1c"", ""Habil"&amp;"idades!A:A""), ""Select Col1 where Col1 = 'Comandante 3' or Col1 = 'Arquimago 3' or Col1 = 'Raio elétrico'""), 
if('Time 4'!C6 = ""Nya"", query(IMPORTRANGE(""15YC3Wi7qFmdVjHeW_UCnbsoqaugkIEVJhDMDhRjct1c"", ""Habilidades!A:A""), ""Select Col1 where Col1 = "&amp;"'Reviver 1' or Col1 = 'Arquimago 1' or Col1 = 'Cone-gélido'""), 
if('Time 4'!C6 = ""Odette"", query(IMPORTRANGE(""15YC3Wi7qFmdVjHeW_UCnbsoqaugkIEVJhDMDhRjct1c"", ""Habilidades!A:A""), ""Select Col1 where Col1 = 'Cuidadoso 2' or Col1 = 'Amazona 2' or Col1 "&amp;"= 'Suporte 2'""), 
if('Time 4'!C6 = ""Oneira"", query(IMPORTRANGE(""15YC3Wi7qFmdVjHeW_UCnbsoqaugkIEVJhDMDhRjct1c"", ""Habilidades!A:A""), ""Select Col1 where Col1 = 'Ganancioso 3' or Col1 = 'Curandeiro 2' or Col1 = 'Suporte 2'""), 
if('Time 4'!C6 = ""Pala"&amp;"sh"", query(IMPORTRANGE(""15YC3Wi7qFmdVjHeW_UCnbsoqaugkIEVJhDMDhRjct1c"", ""Habilidades!A:A""), ""Select Col1 where Col1 = 'Catador 1' or Col1 = 'Resistente 1' or Col1 = 'Fornecedor 1'""), 
if('Time 4'!C6 = ""Theor"", query(IMPORTRANGE(""15YC3Wi7qFmdVjHeW"&amp;"_UCnbsoqaugkIEVJhDMDhRjct1c"", ""Habilidades!A:A""), ""Select Col1 where Col1 = 'Companheiro de Guerra 1' or Col1 = 'Energético 1' or Col1 = 'Cortar'""), 
if('Time 4'!C6 = ""Yue"", query(IMPORTRANGE(""15YC3Wi7qFmdVjHeW_UCnbsoqaugkIEVJhDMDhRjct1c"", ""Habi"&amp;"lidades!A:A""), ""Select Col1 where Col1 = 'Resistente 3' or Col1 = 'Mestre das armas' or Col1 = 'Comandante 3'"")))))))))))))))))))))))))))))"),"Ganancioso 2")</f>
        <v>Ganancioso 2</v>
      </c>
      <c r="E13" s="224" t="str">
        <f>IFERROR(__xludf.DUMMYFUNCTION("if('Time 4'!$C7 = ""Albert"", query(IMPORTRANGE(""15YC3Wi7qFmdVjHeW_UCnbsoqaugkIEVJhDMDhRjct1c"", ""Habilidades!A:A""), ""Select Col1 where Col1 = 'Cuidadoso 1' or Col1 = 'Fornecedor 1' or Col1 = 'Suporte 1'""),     
if('Time 4'!C7 = ""Alicia"", query(IMP"&amp;"ORTRANGE(""15YC3Wi7qFmdVjHeW_UCnbsoqaugkIEVJhDMDhRjct1c"", ""Habilidades!A:A""), ""Select Col1 where Col1 = 'Amazona 3' or Col1 = 'Energético 3' or Col1 = 'Sortudo 3'""), 
if('Time 4'!C7 = ""Azula"", query(IMPORTRANGE(""15YC3Wi7qFmdVjHeW_UCnbsoqaugkIEVJhD"&amp;"MDhRjct1c"", ""Habilidades!A:A""), ""Select Col1 where Col1 = 'Arquimago 2' or Col1 = 'Curandeiro 3' or Col1 = 'Sábio 3'""), 
if('Time 4'!C7 = ""Charles"", query(IMPORTRANGE(""15YC3Wi7qFmdVjHeW_UCnbsoqaugkIEVJhDMDhRjct1c"", ""Habilidades!A:A""), ""Select "&amp;"Col1 where Col1 = 'Armadura do Mago' or Col1 = 'Detectar segredo' or Col1 = 'Encontrar mágica'""), 
if('Time 4'!C7 = ""Clovis"", query(IMPORTRANGE(""15YC3Wi7qFmdVjHeW_UCnbsoqaugkIEVJhDMDhRjct1c"", ""Habilidades!A:A""), ""Select Col1 where Col1 = 'Defesa' "&amp;"or Col1 = 'Protetor 1' or Col1 = 'Comandante 1'""), 
if('Time 4'!C7 = ""Darthos"", query(IMPORTRANGE(""15YC3Wi7qFmdVjHeW_UCnbsoqaugkIEVJhDMDhRjct1c"", ""Habilidades!A:A""), ""Select Col1 where Col1 = 'Velocista 2' or Col1 = 'Sábio 2' or Col1 = 'Companheir"&amp;"o de Guerra 3'""), 
if('Time 4'!C7 = ""Edward"", query(IMPORTRANGE(""15YC3Wi7qFmdVjHeW_UCnbsoqaugkIEVJhDMDhRjct1c"", ""Habilidades!A:A""), ""Select Col1 where Col1 = 'Líder 3' or Col1 = 'Reviver 3' or Col1 = 'Protetor 3'""), 
if('Time 4'!C7 = ""Fiora"", q"&amp;"uery(IMPORTRANGE(""15YC3Wi7qFmdVjHeW_UCnbsoqaugkIEVJhDMDhRjct1c"", ""Habilidades!A:A""), ""Select Col1 where Col1 = 'Comandante 2' or Col1 = 'Ganancioso 2' or Col1 = 'Reviver 2'""), 
if('Time 4'!C7 = ""Francesca"", query(IMPORTRANGE(""15YC3Wi7qFmdVjHeW_UC"&amp;"nbsoqaugkIEVJhDMDhRjct1c"", ""Habilidades!A:A""), ""Select Col1 where Col1 = 'Cuidadoso 3' or Col1 = 'Fornecedor 3' or Col1 = 'Resistente 1'""), 
if('Time 4'!C7 = ""Garreth"", query(IMPORTRANGE(""15YC3Wi7qFmdVjHeW_UCnbsoqaugkIEVJhDMDhRjct1c"", ""Habilidad"&amp;"es!A:A""), ""Select Col1 where Col1 = 'Sortudo 1' or Col1 = 'Caça-tesouros 1' or Col1 = 'Catador 1'""), 
if('Time 4'!C7 = ""Gauvin"", query(IMPORTRANGE(""15YC3Wi7qFmdVjHeW_UCnbsoqaugkIEVJhDMDhRjct1c"", ""Habilidades!A:A""), ""Select Col1 where Col1 = 'Líd"&amp;"er 1' or Col1 = 'Companheiro de Guerra 1' or Col1 = 'Resistente 2'""), 
if('Time 4'!C7 = ""Irene"", query(IMPORTRANGE(""15YC3Wi7qFmdVjHeW_UCnbsoqaugkIEVJhDMDhRjct1c"", ""Habilidades!A:A""), ""Select Col1 where Col1 = 'Gangster 1' or Col1 = 'Fornecedor 2' "&amp;"or Col1 = 'Engenhoso 1'""), 
if('Time 4'!C7 = ""Karal"", query(IMPORTRANGE(""15YC3Wi7qFmdVjHeW_UCnbsoqaugkIEVJhDMDhRjct1c"", ""Habilidades!A:A""), ""Select Col1 where Col1 = 'Amazona 1' or Col1 = 'Resistente 1' or Col1 = 'Esmagar'""), 
if('Time 4'!C7 = """&amp;"Kuro Shobi"", query(IMPORTRANGE(""15YC3Wi7qFmdVjHeW_UCnbsoqaugkIEVJhDMDhRjct1c"", ""Habilidades!A:A""), ""Select Col1 where Col1 = 'Gangster 3' or Col1 = 'Engenhoso 3' or Col1 = 'Velocista 3'""), 
if('Time 4'!C7 = ""Kurul"", query(IMPORTRANGE(""15YC3Wi7qF"&amp;"mdVjHeW_UCnbsoqaugkIEVJhDMDhRjct1c"", ""Habilidades!A:A""), ""Select Col1 where Col1 = 'Catador 2' or Col1 = 'Energético 2' or Col1 = 'Líder 2'""), 
if('Time 4'!C7 = ""Lancaster"", query(IMPORTRANGE(""15YC3Wi7qFmdVjHeW_UCnbsoqaugkIEVJhDMDhRjct1c"", ""Habi"&amp;"lidades!A:A""), ""Select Col1 where Col1 = 'Engenhoso 2' or Col1 = 'Protetor 2' or Col1 = 'Companheiro de Guerra 2'""), 
if('Time 4'!C7 = ""Lorelei"", query(IMPORTRANGE(""15YC3Wi7qFmdVjHeW_UCnbsoqaugkIEVJhDMDhRjct1c"", ""Habilidades!A:A""), ""Select Col1 "&amp;"where Col1 = 'Sortudo 3' or Col1 = 'Emboscada' or Col1 = 'Catador 3'""), 
if('Time 4'!C7 = ""Louca"", query(IMPORTRANGE(""15YC3Wi7qFmdVjHeW_UCnbsoqaugkIEVJhDMDhRjct1c"", ""Habilidades!A:A""), ""Select Col1 where Col1 = 'Caça-tesouros 3' or Col1 = 'Catador"&amp;" 3' or Col1 = 'Suporte 3'""), 
if('Time 4'!C7 = ""Melina"", query(IMPORTRANGE(""15YC3Wi7qFmdVjHeW_UCnbsoqaugkIEVJhDMDhRjct1c"", ""Habilidades!A:A""), ""Select Col1 where Col1 = 'Bola de fogo' or Col1 = 'Sábio 1' or Col1 = 'Velocista 1'""), 
if('Time 4'!C7"&amp;" = ""Mila"", query(IMPORTRANGE(""15YC3Wi7qFmdVjHeW_UCnbsoqaugkIEVJhDMDhRjct1c"", ""Habilidades!A:A""), ""Select Col1 where Col1 = 'Caça-tesouros 2' or Col1 = 'Sortudo 2' or Col1 = 'Ganancioso 1'""), 
if('Time 4'!C7 = ""Minh"", query(IMPORTRANGE(""15YC3Wi7"&amp;"qFmdVjHeW_UCnbsoqaugkIEVJhDMDhRjct1c"", ""Habilidades!A:A""), ""Select Col1 where Col1 = 'Sábio 1' or Col1 = 'Curandeiro 1' or Col1 = 'Reviver 1'""), 
if('Time 4'!C7 = ""Mojian"", query(IMPORTRANGE(""15YC3Wi7qFmdVjHeW_UCnbsoqaugkIEVJhDMDhRjct1c"", ""Habil"&amp;"idades!A:A""), ""Select Col1 where Col1 = 'Comandante 3' or Col1 = 'Arquimago 3' or Col1 = 'Raio elétrico'""), 
if('Time 4'!C7 = ""Nya"", query(IMPORTRANGE(""15YC3Wi7qFmdVjHeW_UCnbsoqaugkIEVJhDMDhRjct1c"", ""Habilidades!A:A""), ""Select Col1 where Col1 = "&amp;"'Reviver 1' or Col1 = 'Arquimago 1' or Col1 = 'Cone-gélido'""), 
if('Time 4'!C7 = ""Odette"", query(IMPORTRANGE(""15YC3Wi7qFmdVjHeW_UCnbsoqaugkIEVJhDMDhRjct1c"", ""Habilidades!A:A""), ""Select Col1 where Col1 = 'Cuidadoso 2' or Col1 = 'Amazona 2' or Col1 "&amp;"= 'Suporte 2'""), 
if('Time 4'!C7 = ""Oneira"", query(IMPORTRANGE(""15YC3Wi7qFmdVjHeW_UCnbsoqaugkIEVJhDMDhRjct1c"", ""Habilidades!A:A""), ""Select Col1 where Col1 = 'Ganancioso 3' or Col1 = 'Curandeiro 2' or Col1 = 'Suporte 2'""), 
if('Time 4'!C7 = ""Pala"&amp;"sh"", query(IMPORTRANGE(""15YC3Wi7qFmdVjHeW_UCnbsoqaugkIEVJhDMDhRjct1c"", ""Habilidades!A:A""), ""Select Col1 where Col1 = 'Catador 1' or Col1 = 'Resistente 1' or Col1 = 'Fornecedor 1'""), 
if('Time 4'!C7 = ""Theor"", query(IMPORTRANGE(""15YC3Wi7qFmdVjHeW"&amp;"_UCnbsoqaugkIEVJhDMDhRjct1c"", ""Habilidades!A:A""), ""Select Col1 where Col1 = 'Companheiro de Guerra 1' or Col1 = 'Energético 1' or Col1 = 'Cortar'""), 
if('Time 4'!C7 = ""Yue"", query(IMPORTRANGE(""15YC3Wi7qFmdVjHeW_UCnbsoqaugkIEVJhDMDhRjct1c"", ""Habi"&amp;"lidades!A:A""), ""Select Col1 where Col1 = 'Resistente 3' or Col1 = 'Mestre das armas' or Col1 = 'Comandante 3'"")))))))))))))))))))))))))))))"),"Ganancioso 3")</f>
        <v>Ganancioso 3</v>
      </c>
      <c r="F13" s="224" t="b">
        <f>IFERROR(__xludf.DUMMYFUNCTION("if('Time 4'!$C8 = ""Albert"", query(IMPORTRANGE(""15YC3Wi7qFmdVjHeW_UCnbsoqaugkIEVJhDMDhRjct1c"", ""Habilidades!A:A""), ""Select Col1 where Col1 = 'Cuidadoso 1' or Col1 = 'Fornecedor 1' or Col1 = 'Suporte 1'""),     
if('Time 4'!C8 = ""Alicia"", query(IMP"&amp;"ORTRANGE(""15YC3Wi7qFmdVjHeW_UCnbsoqaugkIEVJhDMDhRjct1c"", ""Habilidades!A:A""), ""Select Col1 where Col1 = 'Amazona 3' or Col1 = 'Energético 3' or Col1 = 'Sortudo 3'""), 
if('Time 4'!C8 = ""Azula"", query(IMPORTRANGE(""15YC3Wi7qFmdVjHeW_UCnbsoqaugkIEVJhD"&amp;"MDhRjct1c"", ""Habilidades!A:A""), ""Select Col1 where Col1 = 'Arquimago 2' or Col1 = 'Curandeiro 3' or Col1 = 'Sábio 3'""), 
if('Time 4'!C8 = ""Charles"", query(IMPORTRANGE(""15YC3Wi7qFmdVjHeW_UCnbsoqaugkIEVJhDMDhRjct1c"", ""Habilidades!A:A""), ""Select "&amp;"Col1 where Col1 = 'Armadura do Mago' or Col1 = 'Detectar segredo' or Col1 = 'Encontrar mágica'""), 
if('Time 4'!C8 = ""Clovis"", query(IMPORTRANGE(""15YC3Wi7qFmdVjHeW_UCnbsoqaugkIEVJhDMDhRjct1c"", ""Habilidades!A:A""), ""Select Col1 where Col1 = 'Defesa' "&amp;"or Col1 = 'Protetor 1' or Col1 = 'Comandante 1'""), 
if('Time 4'!C8 = ""Darthos"", query(IMPORTRANGE(""15YC3Wi7qFmdVjHeW_UCnbsoqaugkIEVJhDMDhRjct1c"", ""Habilidades!A:A""), ""Select Col1 where Col1 = 'Velocista 2' or Col1 = 'Sábio 2' or Col1 = 'Companheir"&amp;"o de Guerra 3'""), 
if('Time 4'!C8 = ""Edward"", query(IMPORTRANGE(""15YC3Wi7qFmdVjHeW_UCnbsoqaugkIEVJhDMDhRjct1c"", ""Habilidades!A:A""), ""Select Col1 where Col1 = 'Líder 3' or Col1 = 'Reviver 3' or Col1 = 'Protetor 3'""), 
if('Time 4'!C8 = ""Fiora"", q"&amp;"uery(IMPORTRANGE(""15YC3Wi7qFmdVjHeW_UCnbsoqaugkIEVJhDMDhRjct1c"", ""Habilidades!A:A""), ""Select Col1 where Col1 = 'Comandante 2' or Col1 = 'Ganancioso 2' or Col1 = 'Reviver 2'""), 
if('Time 4'!C8 = ""Francesca"", query(IMPORTRANGE(""15YC3Wi7qFmdVjHeW_UC"&amp;"nbsoqaugkIEVJhDMDhRjct1c"", ""Habilidades!A:A""), ""Select Col1 where Col1 = 'Cuidadoso 3' or Col1 = 'Fornecedor 3' or Col1 = 'Resistente 1'""), 
if('Time 4'!C8 = ""Garreth"", query(IMPORTRANGE(""15YC3Wi7qFmdVjHeW_UCnbsoqaugkIEVJhDMDhRjct1c"", ""Habilidad"&amp;"es!A:A""), ""Select Col1 where Col1 = 'Sortudo 1' or Col1 = 'Caça-tesouros 1' or Col1 = 'Catador 1'""), 
if('Time 4'!C8 = ""Gauvin"", query(IMPORTRANGE(""15YC3Wi7qFmdVjHeW_UCnbsoqaugkIEVJhDMDhRjct1c"", ""Habilidades!A:A""), ""Select Col1 where Col1 = 'Líd"&amp;"er 1' or Col1 = 'Companheiro de Guerra 1' or Col1 = 'Resistente 2'""), 
if('Time 4'!C8 = ""Irene"", query(IMPORTRANGE(""15YC3Wi7qFmdVjHeW_UCnbsoqaugkIEVJhDMDhRjct1c"", ""Habilidades!A:A""), ""Select Col1 where Col1 = 'Gangster 1' or Col1 = 'Fornecedor 2' "&amp;"or Col1 = 'Engenhoso 1'""), 
if('Time 4'!C8 = ""Karal"", query(IMPORTRANGE(""15YC3Wi7qFmdVjHeW_UCnbsoqaugkIEVJhDMDhRjct1c"", ""Habilidades!A:A""), ""Select Col1 where Col1 = 'Amazona 1' or Col1 = 'Resistente 1' or Col1 = 'Esmagar'""), 
if('Time 4'!C8 = """&amp;"Kuro Shobi"", query(IMPORTRANGE(""15YC3Wi7qFmdVjHeW_UCnbsoqaugkIEVJhDMDhRjct1c"", ""Habilidades!A:A""), ""Select Col1 where Col1 = 'Gangster 3' or Col1 = 'Engenhoso 3' or Col1 = 'Velocista 3'""), 
if('Time 4'!C8 = ""Kurul"", query(IMPORTRANGE(""15YC3Wi7qF"&amp;"mdVjHeW_UCnbsoqaugkIEVJhDMDhRjct1c"", ""Habilidades!A:A""), ""Select Col1 where Col1 = 'Catador 2' or Col1 = 'Energético 2' or Col1 = 'Líder 2'""), 
if('Time 4'!C8 = ""Lancaster"", query(IMPORTRANGE(""15YC3Wi7qFmdVjHeW_UCnbsoqaugkIEVJhDMDhRjct1c"", ""Habi"&amp;"lidades!A:A""), ""Select Col1 where Col1 = 'Engenhoso 2' or Col1 = 'Protetor 2' or Col1 = 'Companheiro de Guerra 2'""), 
if('Time 4'!C8 = ""Lorelei"", query(IMPORTRANGE(""15YC3Wi7qFmdVjHeW_UCnbsoqaugkIEVJhDMDhRjct1c"", ""Habilidades!A:A""), ""Select Col1 "&amp;"where Col1 = 'Sortudo 3' or Col1 = 'Emboscada' or Col1 = 'Catador 3'""), 
if('Time 4'!C8 = ""Louca"", query(IMPORTRANGE(""15YC3Wi7qFmdVjHeW_UCnbsoqaugkIEVJhDMDhRjct1c"", ""Habilidades!A:A""), ""Select Col1 where Col1 = 'Caça-tesouros 3' or Col1 = 'Catador"&amp;" 3' or Col1 = 'Suporte 3'""), 
if('Time 4'!C8 = ""Melina"", query(IMPORTRANGE(""15YC3Wi7qFmdVjHeW_UCnbsoqaugkIEVJhDMDhRjct1c"", ""Habilidades!A:A""), ""Select Col1 where Col1 = 'Bola de fogo' or Col1 = 'Sábio 1' or Col1 = 'Velocista 1'""), 
if('Time 4'!C8"&amp;" = ""Mila"", query(IMPORTRANGE(""15YC3Wi7qFmdVjHeW_UCnbsoqaugkIEVJhDMDhRjct1c"", ""Habilidades!A:A""), ""Select Col1 where Col1 = 'Caça-tesouros 2' or Col1 = 'Sortudo 2' or Col1 = 'Ganancioso 1'""), 
if('Time 4'!C8 = ""Minh"", query(IMPORTRANGE(""15YC3Wi7"&amp;"qFmdVjHeW_UCnbsoqaugkIEVJhDMDhRjct1c"", ""Habilidades!A:A""), ""Select Col1 where Col1 = 'Sábio 1' or Col1 = 'Curandeiro 1' or Col1 = 'Reviver 1'""), 
if('Time 4'!C8 = ""Mojian"", query(IMPORTRANGE(""15YC3Wi7qFmdVjHeW_UCnbsoqaugkIEVJhDMDhRjct1c"", ""Habil"&amp;"idades!A:A""), ""Select Col1 where Col1 = 'Comandante 3' or Col1 = 'Arquimago 3' or Col1 = 'Raio elétrico'""), 
if('Time 4'!C8 = ""Nya"", query(IMPORTRANGE(""15YC3Wi7qFmdVjHeW_UCnbsoqaugkIEVJhDMDhRjct1c"", ""Habilidades!A:A""), ""Select Col1 where Col1 = "&amp;"'Reviver 1' or Col1 = 'Arquimago 1' or Col1 = 'Cone-gélido'""), 
if('Time 4'!C8 = ""Odette"", query(IMPORTRANGE(""15YC3Wi7qFmdVjHeW_UCnbsoqaugkIEVJhDMDhRjct1c"", ""Habilidades!A:A""), ""Select Col1 where Col1 = 'Cuidadoso 2' or Col1 = 'Amazona 2' or Col1 "&amp;"= 'Suporte 2'""), 
if('Time 4'!C8 = ""Oneira"", query(IMPORTRANGE(""15YC3Wi7qFmdVjHeW_UCnbsoqaugkIEVJhDMDhRjct1c"", ""Habilidades!A:A""), ""Select Col1 where Col1 = 'Ganancioso 3' or Col1 = 'Curandeiro 2' or Col1 = 'Suporte 2'""), 
if('Time 4'!C8 = ""Pala"&amp;"sh"", query(IMPORTRANGE(""15YC3Wi7qFmdVjHeW_UCnbsoqaugkIEVJhDMDhRjct1c"", ""Habilidades!A:A""), ""Select Col1 where Col1 = 'Catador 1' or Col1 = 'Resistente 1' or Col1 = 'Fornecedor 1'""), 
if('Time 4'!C8 = ""Theor"", query(IMPORTRANGE(""15YC3Wi7qFmdVjHeW"&amp;"_UCnbsoqaugkIEVJhDMDhRjct1c"", ""Habilidades!A:A""), ""Select Col1 where Col1 = 'Companheiro de Guerra 1' or Col1 = 'Energético 1' or Col1 = 'Cortar'""), 
if('Time 4'!C8 = ""Yue"", query(IMPORTRANGE(""15YC3Wi7qFmdVjHeW_UCnbsoqaugkIEVJhDMDhRjct1c"", ""Habi"&amp;"lidades!A:A""), ""Select Col1 where Col1 = 'Resistente 3' or Col1 = 'Mestre das armas' or Col1 = 'Comandante 3'"")))))))))))))))))))))))))))))"),FALSE)</f>
        <v>0</v>
      </c>
      <c r="G13" s="47"/>
    </row>
    <row r="14">
      <c r="A14" s="224" t="str">
        <f>IFERROR(__xludf.DUMMYFUNCTION("""COMPUTED_VALUE"""),"Suporte 2")</f>
        <v>Suporte 2</v>
      </c>
      <c r="B14" s="224" t="str">
        <f>IFERROR(__xludf.DUMMYFUNCTION("""COMPUTED_VALUE"""),"Resistente 1")</f>
        <v>Resistente 1</v>
      </c>
      <c r="C14" s="224" t="str">
        <f>IFERROR(__xludf.DUMMYFUNCTION("""COMPUTED_VALUE"""),"Sortudo 3")</f>
        <v>Sortudo 3</v>
      </c>
      <c r="D14" s="224" t="str">
        <f>IFERROR(__xludf.DUMMYFUNCTION("""COMPUTED_VALUE"""),"Reviver 2")</f>
        <v>Reviver 2</v>
      </c>
      <c r="E14" s="224" t="str">
        <f>IFERROR(__xludf.DUMMYFUNCTION("""COMPUTED_VALUE"""),"Curandeiro 2")</f>
        <v>Curandeiro 2</v>
      </c>
      <c r="G14" s="47"/>
    </row>
    <row r="15">
      <c r="A15" s="224" t="str">
        <f>IFERROR(__xludf.DUMMYFUNCTION("""COMPUTED_VALUE"""),"Amazona 2")</f>
        <v>Amazona 2</v>
      </c>
      <c r="B15" s="224" t="str">
        <f>IFERROR(__xludf.DUMMYFUNCTION("""COMPUTED_VALUE"""),"Fornecedor 3")</f>
        <v>Fornecedor 3</v>
      </c>
      <c r="C15" s="224" t="str">
        <f>IFERROR(__xludf.DUMMYFUNCTION("""COMPUTED_VALUE"""),"Amazona 3")</f>
        <v>Amazona 3</v>
      </c>
      <c r="D15" s="224" t="str">
        <f>IFERROR(__xludf.DUMMYFUNCTION("""COMPUTED_VALUE"""),"Comandante 2")</f>
        <v>Comandante 2</v>
      </c>
      <c r="E15" s="224" t="str">
        <f>IFERROR(__xludf.DUMMYFUNCTION("""COMPUTED_VALUE"""),"Suporte 2")</f>
        <v>Suporte 2</v>
      </c>
      <c r="G15" s="47"/>
    </row>
    <row r="16">
      <c r="A16" s="47"/>
      <c r="B16" s="47"/>
      <c r="C16" s="47"/>
      <c r="D16" s="47"/>
      <c r="E16" s="47"/>
      <c r="F16" s="47"/>
      <c r="G16" s="47"/>
    </row>
    <row r="17">
      <c r="A17" s="224" t="str">
        <f>IFERROR(__xludf.DUMMYFUNCTION("if('Time 5'!$C3 = ""Albert"", query(IMPORTRANGE(""15YC3Wi7qFmdVjHeW_UCnbsoqaugkIEVJhDMDhRjct1c"", ""Habilidades!A:A""), ""Select Col1 where Col1 = 'Cuidadoso 1' or Col1 = 'Fornecedor 1' or Col1 = 'Suporte 1'""),     
if('Time 5'!C3 = ""Alicia"", query(IMP"&amp;"ORTRANGE(""15YC3Wi7qFmdVjHeW_UCnbsoqaugkIEVJhDMDhRjct1c"", ""Habilidades!A:A""), ""Select Col1 where Col1 = 'Amazona 3' or Col1 = 'Energético 3' or Col1 = 'Sortudo 3'""), 
if('Time 5'!C3 = ""Azula"", query(IMPORTRANGE(""15YC3Wi7qFmdVjHeW_UCnbsoqaugkIEVJhD"&amp;"MDhRjct1c"", ""Habilidades!A:A""), ""Select Col1 where Col1 = 'Arquimago 2' or Col1 = 'Curandeiro 3' or Col1 = 'Sábio 3'""), 
if('Time 5'!C3 = ""Charles"", query(IMPORTRANGE(""15YC3Wi7qFmdVjHeW_UCnbsoqaugkIEVJhDMDhRjct1c"", ""Habilidades!A:A""), ""Select "&amp;"Col1 where Col1 = 'Armadura do Mago' or Col1 = 'Detectar segredo' or Col1 = 'Encontrar mágica'""), 
if('Time 5'!C3 = ""Clovis"", query(IMPORTRANGE(""15YC3Wi7qFmdVjHeW_UCnbsoqaugkIEVJhDMDhRjct1c"", ""Habilidades!A:A""), ""Select Col1 where Col1 = 'Defesa' "&amp;"or Col1 = 'Protetor 1' or Col1 = 'Comandante 1'""), 
if('Time 5'!C3 = ""Darthos"", query(IMPORTRANGE(""15YC3Wi7qFmdVjHeW_UCnbsoqaugkIEVJhDMDhRjct1c"", ""Habilidades!A:A""), ""Select Col1 where Col1 = 'Velocista 2' or Col1 = 'Sábio 2' or Col1 = 'Companheir"&amp;"o de Guerra 3'""), 
if('Time 5'!C3 = ""Edward"", query(IMPORTRANGE(""15YC3Wi7qFmdVjHeW_UCnbsoqaugkIEVJhDMDhRjct1c"", ""Habilidades!A:A""), ""Select Col1 where Col1 = 'Líder 3' or Col1 = 'Reviver 3' or Col1 = 'Protetor 3'""), 
if('Time 5'!C3 = ""Fiora"", q"&amp;"uery(IMPORTRANGE(""15YC3Wi7qFmdVjHeW_UCnbsoqaugkIEVJhDMDhRjct1c"", ""Habilidades!A:A""), ""Select Col1 where Col1 = 'Comandante 2' or Col1 = 'Ganancioso 2' or Col1 = 'Reviver 2'""), 
if('Time 5'!C3 = ""Francesca"", query(IMPORTRANGE(""15YC3Wi7qFmdVjHeW_UC"&amp;"nbsoqaugkIEVJhDMDhRjct1c"", ""Habilidades!A:A""), ""Select Col1 where Col1 = 'Cuidadoso 3' or Col1 = 'Fornecedor 3' or Col1 = 'Resistente 1'""), 
if('Time 5'!C3 = ""Garreth"", query(IMPORTRANGE(""15YC3Wi7qFmdVjHeW_UCnbsoqaugkIEVJhDMDhRjct1c"", ""Habilidad"&amp;"es!A:A""), ""Select Col1 where Col1 = 'Sortudo 1' or Col1 = 'Caça-tesouros 1' or Col1 = 'Catador 1'""), 
if('Time 5'!C3 = ""Gauvin"", query(IMPORTRANGE(""15YC3Wi7qFmdVjHeW_UCnbsoqaugkIEVJhDMDhRjct1c"", ""Habilidades!A:A""), ""Select Col1 where Col1 = 'Líd"&amp;"er 1' or Col1 = 'Companheiro de Guerra 1' or Col1 = 'Resistente 2'""), 
if('Time 5'!C3 = ""Irene"", query(IMPORTRANGE(""15YC3Wi7qFmdVjHeW_UCnbsoqaugkIEVJhDMDhRjct1c"", ""Habilidades!A:A""), ""Select Col1 where Col1 = 'Gangster 1' or Col1 = 'Fornecedor 2' "&amp;"or Col1 = 'Engenhoso 1'""), 
if('Time 5'!C3 = ""Karal"", query(IMPORTRANGE(""15YC3Wi7qFmdVjHeW_UCnbsoqaugkIEVJhDMDhRjct1c"", ""Habilidades!A:A""), ""Select Col1 where Col1 = 'Amazona 1' or Col1 = 'Resistente 1' or Col1 = 'Esmagar'""), 
if('Time 5'!C3 = """&amp;"Kuro Shobi"", query(IMPORTRANGE(""15YC3Wi7qFmdVjHeW_UCnbsoqaugkIEVJhDMDhRjct1c"", ""Habilidades!A:A""), ""Select Col1 where Col1 = 'Gangster 3' or Col1 = 'Engenhoso 3' or Col1 = 'Velocista 3'""), 
if('Time 5'!C3 = ""Kurul"", query(IMPORTRANGE(""15YC3Wi7qF"&amp;"mdVjHeW_UCnbsoqaugkIEVJhDMDhRjct1c"", ""Habilidades!A:A""), ""Select Col1 where Col1 = 'Catador 2' or Col1 = 'Energético 2' or Col1 = 'Líder 2'""), 
if('Time 5'!C3 = ""Lancaster"", query(IMPORTRANGE(""15YC3Wi7qFmdVjHeW_UCnbsoqaugkIEVJhDMDhRjct1c"", ""Habi"&amp;"lidades!A:A""), ""Select Col1 where Col1 = 'Engenhoso 2' or Col1 = 'Protetor 2' or Col1 = 'Companheiro de Guerra 2'""), 
if('Time 5'!C3 = ""Lorelei"", query(IMPORTRANGE(""15YC3Wi7qFmdVjHeW_UCnbsoqaugkIEVJhDMDhRjct1c"", ""Habilidades!A:A""), ""Select Col1 "&amp;"where Col1 = 'Sortudo 3' or Col1 = 'Emboscada' or Col1 = 'Catador 3'""), 
if('Time 5'!C3 = ""Louca"", query(IMPORTRANGE(""15YC3Wi7qFmdVjHeW_UCnbsoqaugkIEVJhDMDhRjct1c"", ""Habilidades!A:A""), ""Select Col1 where Col1 = 'Caça-tesouros 3' or Col1 = 'Catador"&amp;" 3' or Col1 = 'Suporte 3'""), 
if('Time 5'!C3 = ""Melina"", query(IMPORTRANGE(""15YC3Wi7qFmdVjHeW_UCnbsoqaugkIEVJhDMDhRjct1c"", ""Habilidades!A:A""), ""Select Col1 where Col1 = 'Bola de fogo' or Col1 = 'Sábio 1' or Col1 = 'Velocista 1'""), 
if('Time 5'!C3"&amp;" = ""Mila"", query(IMPORTRANGE(""15YC3Wi7qFmdVjHeW_UCnbsoqaugkIEVJhDMDhRjct1c"", ""Habilidades!A:A""), ""Select Col1 where Col1 = 'Caça-tesouros 2' or Col1 = 'Sortudo 2' or Col1 = 'Ganancioso 1'""), 
if('Time 5'!C3 = ""Minh"", query(IMPORTRANGE(""15YC3Wi7"&amp;"qFmdVjHeW_UCnbsoqaugkIEVJhDMDhRjct1c"", ""Habilidades!A:A""), ""Select Col1 where Col1 = 'Sábio 1' or Col1 = 'Curandeiro 1' or Col1 = 'Reviver 1'""), 
if('Time 5'!C3 = ""Mojian"", query(IMPORTRANGE(""15YC3Wi7qFmdVjHeW_UCnbsoqaugkIEVJhDMDhRjct1c"", ""Habil"&amp;"idades!A:A""), ""Select Col1 where Col1 = 'Comandante 3' or Col1 = 'Arquimago 3' or Col1 = 'Raio elétrico'""), 
if('Time 5'!C3 = ""Nya"", query(IMPORTRANGE(""15YC3Wi7qFmdVjHeW_UCnbsoqaugkIEVJhDMDhRjct1c"", ""Habilidades!A:A""), ""Select Col1 where Col1 = "&amp;"'Reviver 1' or Col1 = 'Arquimago 1' or Col1 = 'Cone-gélido'""), 
if('Time 5'!C3 = ""Odette"", query(IMPORTRANGE(""15YC3Wi7qFmdVjHeW_UCnbsoqaugkIEVJhDMDhRjct1c"", ""Habilidades!A:A""), ""Select Col1 where Col1 = 'Cuidadoso 2' or Col1 = 'Amazona 2' or Col1 "&amp;"= 'Suporte 2'""), 
if('Time 5'!C3 = ""Oneira"", query(IMPORTRANGE(""15YC3Wi7qFmdVjHeW_UCnbsoqaugkIEVJhDMDhRjct1c"", ""Habilidades!A:A""), ""Select Col1 where Col1 = 'Ganancioso 3' or Col1 = 'Curandeiro 2' or Col1 = 'Suporte 2'""), 
if('Time 5'!C3 = ""Pala"&amp;"sh"", query(IMPORTRANGE(""15YC3Wi7qFmdVjHeW_UCnbsoqaugkIEVJhDMDhRjct1c"", ""Habilidades!A:A""), ""Select Col1 where Col1 = 'Catador 1' or Col1 = 'Resistente 1' or Col1 = 'Fornecedor 1'""), 
if('Time 5'!C3 = ""Theor"", query(IMPORTRANGE(""15YC3Wi7qFmdVjHeW"&amp;"_UCnbsoqaugkIEVJhDMDhRjct1c"", ""Habilidades!A:A""), ""Select Col1 where Col1 = 'Companheiro de Guerra 1' or Col1 = 'Energético 1' or Col1 = 'Cortar'""), 
if('Time 5'!C3 = ""Yue"", query(IMPORTRANGE(""15YC3Wi7qFmdVjHeW_UCnbsoqaugkIEVJhDMDhRjct1c"", ""Habi"&amp;"lidades!A:A""), ""Select Col1 where Col1 = 'Resistente 3' or Col1 = 'Mestre das armas' or Col1 = 'Comandante 3'"")))))))))))))))))))))))))))))"),"Ganancioso 1")</f>
        <v>Ganancioso 1</v>
      </c>
      <c r="B17" s="224" t="str">
        <f>IFERROR(__xludf.DUMMYFUNCTION("if('Time 5'!$C4 = ""Albert"", query(IMPORTRANGE(""15YC3Wi7qFmdVjHeW_UCnbsoqaugkIEVJhDMDhRjct1c"", ""Habilidades!A:A""), ""Select Col1 where Col1 = 'Cuidadoso 1' or Col1 = 'Fornecedor 1' or Col1 = 'Suporte 1'""),     
if('Time 5'!C4 = ""Alicia"", query(IMP"&amp;"ORTRANGE(""15YC3Wi7qFmdVjHeW_UCnbsoqaugkIEVJhDMDhRjct1c"", ""Habilidades!A:A""), ""Select Col1 where Col1 = 'Amazona 3' or Col1 = 'Energético 3' or Col1 = 'Sortudo 3'""), 
if('Time 5'!C4 = ""Azula"", query(IMPORTRANGE(""15YC3Wi7qFmdVjHeW_UCnbsoqaugkIEVJhD"&amp;"MDhRjct1c"", ""Habilidades!A:A""), ""Select Col1 where Col1 = 'Arquimago 2' or Col1 = 'Curandeiro 3' or Col1 = 'Sábio 3'""), 
if('Time 5'!C4 = ""Charles"", query(IMPORTRANGE(""15YC3Wi7qFmdVjHeW_UCnbsoqaugkIEVJhDMDhRjct1c"", ""Habilidades!A:A""), ""Select "&amp;"Col1 where Col1 = 'Armadura do Mago' or Col1 = 'Detectar segredo' or Col1 = 'Encontrar mágica'""), 
if('Time 5'!C4 = ""Clovis"", query(IMPORTRANGE(""15YC3Wi7qFmdVjHeW_UCnbsoqaugkIEVJhDMDhRjct1c"", ""Habilidades!A:A""), ""Select Col1 where Col1 = 'Defesa' "&amp;"or Col1 = 'Protetor 1' or Col1 = 'Comandante 1'""), 
if('Time 5'!C4 = ""Darthos"", query(IMPORTRANGE(""15YC3Wi7qFmdVjHeW_UCnbsoqaugkIEVJhDMDhRjct1c"", ""Habilidades!A:A""), ""Select Col1 where Col1 = 'Velocista 2' or Col1 = 'Sábio 2' or Col1 = 'Companheir"&amp;"o de Guerra 3'""), 
if('Time 5'!C4 = ""Edward"", query(IMPORTRANGE(""15YC3Wi7qFmdVjHeW_UCnbsoqaugkIEVJhDMDhRjct1c"", ""Habilidades!A:A""), ""Select Col1 where Col1 = 'Líder 3' or Col1 = 'Reviver 3' or Col1 = 'Protetor 3'""), 
if('Time 5'!C4 = ""Fiora"", q"&amp;"uery(IMPORTRANGE(""15YC3Wi7qFmdVjHeW_UCnbsoqaugkIEVJhDMDhRjct1c"", ""Habilidades!A:A""), ""Select Col1 where Col1 = 'Comandante 2' or Col1 = 'Ganancioso 2' or Col1 = 'Reviver 2'""), 
if('Time 5'!C4 = ""Francesca"", query(IMPORTRANGE(""15YC3Wi7qFmdVjHeW_UC"&amp;"nbsoqaugkIEVJhDMDhRjct1c"", ""Habilidades!A:A""), ""Select Col1 where Col1 = 'Cuidadoso 3' or Col1 = 'Fornecedor 3' or Col1 = 'Resistente 1'""), 
if('Time 5'!C4 = ""Garreth"", query(IMPORTRANGE(""15YC3Wi7qFmdVjHeW_UCnbsoqaugkIEVJhDMDhRjct1c"", ""Habilidad"&amp;"es!A:A""), ""Select Col1 where Col1 = 'Sortudo 1' or Col1 = 'Caça-tesouros 1' or Col1 = 'Catador 1'""), 
if('Time 5'!C4 = ""Gauvin"", query(IMPORTRANGE(""15YC3Wi7qFmdVjHeW_UCnbsoqaugkIEVJhDMDhRjct1c"", ""Habilidades!A:A""), ""Select Col1 where Col1 = 'Líd"&amp;"er 1' or Col1 = 'Companheiro de Guerra 1' or Col1 = 'Resistente 2'""), 
if('Time 5'!C4 = ""Irene"", query(IMPORTRANGE(""15YC3Wi7qFmdVjHeW_UCnbsoqaugkIEVJhDMDhRjct1c"", ""Habilidades!A:A""), ""Select Col1 where Col1 = 'Gangster 1' or Col1 = 'Fornecedor 2' "&amp;"or Col1 = 'Engenhoso 1'""), 
if('Time 5'!C4 = ""Karal"", query(IMPORTRANGE(""15YC3Wi7qFmdVjHeW_UCnbsoqaugkIEVJhDMDhRjct1c"", ""Habilidades!A:A""), ""Select Col1 where Col1 = 'Amazona 1' or Col1 = 'Resistente 1' or Col1 = 'Esmagar'""), 
if('Time 5'!C4 = """&amp;"Kuro Shobi"", query(IMPORTRANGE(""15YC3Wi7qFmdVjHeW_UCnbsoqaugkIEVJhDMDhRjct1c"", ""Habilidades!A:A""), ""Select Col1 where Col1 = 'Gangster 3' or Col1 = 'Engenhoso 3' or Col1 = 'Velocista 3'""), 
if('Time 5'!C4 = ""Kurul"", query(IMPORTRANGE(""15YC3Wi7qF"&amp;"mdVjHeW_UCnbsoqaugkIEVJhDMDhRjct1c"", ""Habilidades!A:A""), ""Select Col1 where Col1 = 'Catador 2' or Col1 = 'Energético 2' or Col1 = 'Líder 2'""), 
if('Time 5'!C4 = ""Lancaster"", query(IMPORTRANGE(""15YC3Wi7qFmdVjHeW_UCnbsoqaugkIEVJhDMDhRjct1c"", ""Habi"&amp;"lidades!A:A""), ""Select Col1 where Col1 = 'Engenhoso 2' or Col1 = 'Protetor 2' or Col1 = 'Companheiro de Guerra 2'""), 
if('Time 5'!C4 = ""Lorelei"", query(IMPORTRANGE(""15YC3Wi7qFmdVjHeW_UCnbsoqaugkIEVJhDMDhRjct1c"", ""Habilidades!A:A""), ""Select Col1 "&amp;"where Col1 = 'Sortudo 3' or Col1 = 'Emboscada' or Col1 = 'Catador 3'""), 
if('Time 5'!C4 = ""Louca"", query(IMPORTRANGE(""15YC3Wi7qFmdVjHeW_UCnbsoqaugkIEVJhDMDhRjct1c"", ""Habilidades!A:A""), ""Select Col1 where Col1 = 'Caça-tesouros 3' or Col1 = 'Catador"&amp;" 3' or Col1 = 'Suporte 3'""), 
if('Time 5'!C4 = ""Melina"", query(IMPORTRANGE(""15YC3Wi7qFmdVjHeW_UCnbsoqaugkIEVJhDMDhRjct1c"", ""Habilidades!A:A""), ""Select Col1 where Col1 = 'Bola de fogo' or Col1 = 'Sábio 1' or Col1 = 'Velocista 1'""), 
if('Time 5'!C4"&amp;" = ""Mila"", query(IMPORTRANGE(""15YC3Wi7qFmdVjHeW_UCnbsoqaugkIEVJhDMDhRjct1c"", ""Habilidades!A:A""), ""Select Col1 where Col1 = 'Caça-tesouros 2' or Col1 = 'Sortudo 2' or Col1 = 'Ganancioso 1'""), 
if('Time 5'!C4 = ""Minh"", query(IMPORTRANGE(""15YC3Wi7"&amp;"qFmdVjHeW_UCnbsoqaugkIEVJhDMDhRjct1c"", ""Habilidades!A:A""), ""Select Col1 where Col1 = 'Sábio 1' or Col1 = 'Curandeiro 1' or Col1 = 'Reviver 1'""), 
if('Time 5'!C4 = ""Mojian"", query(IMPORTRANGE(""15YC3Wi7qFmdVjHeW_UCnbsoqaugkIEVJhDMDhRjct1c"", ""Habil"&amp;"idades!A:A""), ""Select Col1 where Col1 = 'Comandante 3' or Col1 = 'Arquimago 3' or Col1 = 'Raio elétrico'""), 
if('Time 5'!C4 = ""Nya"", query(IMPORTRANGE(""15YC3Wi7qFmdVjHeW_UCnbsoqaugkIEVJhDMDhRjct1c"", ""Habilidades!A:A""), ""Select Col1 where Col1 = "&amp;"'Reviver 1' or Col1 = 'Arquimago 1' or Col1 = 'Cone-gélido'""), 
if('Time 5'!C4 = ""Odette"", query(IMPORTRANGE(""15YC3Wi7qFmdVjHeW_UCnbsoqaugkIEVJhDMDhRjct1c"", ""Habilidades!A:A""), ""Select Col1 where Col1 = 'Cuidadoso 2' or Col1 = 'Amazona 2' or Col1 "&amp;"= 'Suporte 2'""), 
if('Time 5'!C4 = ""Oneira"", query(IMPORTRANGE(""15YC3Wi7qFmdVjHeW_UCnbsoqaugkIEVJhDMDhRjct1c"", ""Habilidades!A:A""), ""Select Col1 where Col1 = 'Ganancioso 3' or Col1 = 'Curandeiro 2' or Col1 = 'Suporte 2'""), 
if('Time 5'!C4 = ""Pala"&amp;"sh"", query(IMPORTRANGE(""15YC3Wi7qFmdVjHeW_UCnbsoqaugkIEVJhDMDhRjct1c"", ""Habilidades!A:A""), ""Select Col1 where Col1 = 'Catador 1' or Col1 = 'Resistente 1' or Col1 = 'Fornecedor 1'""), 
if('Time 5'!C4 = ""Theor"", query(IMPORTRANGE(""15YC3Wi7qFmdVjHeW"&amp;"_UCnbsoqaugkIEVJhDMDhRjct1c"", ""Habilidades!A:A""), ""Select Col1 where Col1 = 'Companheiro de Guerra 1' or Col1 = 'Energético 1' or Col1 = 'Cortar'""), 
if('Time 5'!C4 = ""Yue"", query(IMPORTRANGE(""15YC3Wi7qFmdVjHeW_UCnbsoqaugkIEVJhDMDhRjct1c"", ""Habi"&amp;"lidades!A:A""), ""Select Col1 where Col1 = 'Resistente 3' or Col1 = 'Mestre das armas' or Col1 = 'Comandante 3'"")))))))))))))))))))))))))))))"),"Cone-gélido")</f>
        <v>Cone-gélido</v>
      </c>
      <c r="C17" s="224" t="str">
        <f>IFERROR(__xludf.DUMMYFUNCTION("if('Time 5'!$C5 = ""Albert"", query(IMPORTRANGE(""15YC3Wi7qFmdVjHeW_UCnbsoqaugkIEVJhDMDhRjct1c"", ""Habilidades!A:A""), ""Select Col1 where Col1 = 'Cuidadoso 1' or Col1 = 'Fornecedor 1' or Col1 = 'Suporte 1'""),     
if('Time 5'!C5 = ""Alicia"", query(IMP"&amp;"ORTRANGE(""15YC3Wi7qFmdVjHeW_UCnbsoqaugkIEVJhDMDhRjct1c"", ""Habilidades!A:A""), ""Select Col1 where Col1 = 'Amazona 3' or Col1 = 'Energético 3' or Col1 = 'Sortudo 3'""), 
if('Time 5'!C5 = ""Azula"", query(IMPORTRANGE(""15YC3Wi7qFmdVjHeW_UCnbsoqaugkIEVJhD"&amp;"MDhRjct1c"", ""Habilidades!A:A""), ""Select Col1 where Col1 = 'Arquimago 2' or Col1 = 'Curandeiro 3' or Col1 = 'Sábio 3'""), 
if('Time 5'!C5 = ""Charles"", query(IMPORTRANGE(""15YC3Wi7qFmdVjHeW_UCnbsoqaugkIEVJhDMDhRjct1c"", ""Habilidades!A:A""), ""Select "&amp;"Col1 where Col1 = 'Armadura do Mago' or Col1 = 'Detectar segredo' or Col1 = 'Encontrar mágica'""), 
if('Time 5'!C5 = ""Clovis"", query(IMPORTRANGE(""15YC3Wi7qFmdVjHeW_UCnbsoqaugkIEVJhDMDhRjct1c"", ""Habilidades!A:A""), ""Select Col1 where Col1 = 'Defesa' "&amp;"or Col1 = 'Protetor 1' or Col1 = 'Comandante 1'""), 
if('Time 5'!C5 = ""Darthos"", query(IMPORTRANGE(""15YC3Wi7qFmdVjHeW_UCnbsoqaugkIEVJhDMDhRjct1c"", ""Habilidades!A:A""), ""Select Col1 where Col1 = 'Velocista 2' or Col1 = 'Sábio 2' or Col1 = 'Companheir"&amp;"o de Guerra 3'""), 
if('Time 5'!C5 = ""Edward"", query(IMPORTRANGE(""15YC3Wi7qFmdVjHeW_UCnbsoqaugkIEVJhDMDhRjct1c"", ""Habilidades!A:A""), ""Select Col1 where Col1 = 'Líder 3' or Col1 = 'Reviver 3' or Col1 = 'Protetor 3'""), 
if('Time 5'!C5 = ""Fiora"", q"&amp;"uery(IMPORTRANGE(""15YC3Wi7qFmdVjHeW_UCnbsoqaugkIEVJhDMDhRjct1c"", ""Habilidades!A:A""), ""Select Col1 where Col1 = 'Comandante 2' or Col1 = 'Ganancioso 2' or Col1 = 'Reviver 2'""), 
if('Time 5'!C5 = ""Francesca"", query(IMPORTRANGE(""15YC3Wi7qFmdVjHeW_UC"&amp;"nbsoqaugkIEVJhDMDhRjct1c"", ""Habilidades!A:A""), ""Select Col1 where Col1 = 'Cuidadoso 3' or Col1 = 'Fornecedor 3' or Col1 = 'Resistente 1'""), 
if('Time 5'!C5 = ""Garreth"", query(IMPORTRANGE(""15YC3Wi7qFmdVjHeW_UCnbsoqaugkIEVJhDMDhRjct1c"", ""Habilidad"&amp;"es!A:A""), ""Select Col1 where Col1 = 'Sortudo 1' or Col1 = 'Caça-tesouros 1' or Col1 = 'Catador 1'""), 
if('Time 5'!C5 = ""Gauvin"", query(IMPORTRANGE(""15YC3Wi7qFmdVjHeW_UCnbsoqaugkIEVJhDMDhRjct1c"", ""Habilidades!A:A""), ""Select Col1 where Col1 = 'Líd"&amp;"er 1' or Col1 = 'Companheiro de Guerra 1' or Col1 = 'Resistente 2'""), 
if('Time 5'!C5 = ""Irene"", query(IMPORTRANGE(""15YC3Wi7qFmdVjHeW_UCnbsoqaugkIEVJhDMDhRjct1c"", ""Habilidades!A:A""), ""Select Col1 where Col1 = 'Gangster 1' or Col1 = 'Fornecedor 2' "&amp;"or Col1 = 'Engenhoso 1'""), 
if('Time 5'!C5 = ""Karal"", query(IMPORTRANGE(""15YC3Wi7qFmdVjHeW_UCnbsoqaugkIEVJhDMDhRjct1c"", ""Habilidades!A:A""), ""Select Col1 where Col1 = 'Amazona 1' or Col1 = 'Resistente 1' or Col1 = 'Esmagar'""), 
if('Time 5'!C5 = """&amp;"Kuro Shobi"", query(IMPORTRANGE(""15YC3Wi7qFmdVjHeW_UCnbsoqaugkIEVJhDMDhRjct1c"", ""Habilidades!A:A""), ""Select Col1 where Col1 = 'Gangster 3' or Col1 = 'Engenhoso 3' or Col1 = 'Velocista 3'""), 
if('Time 5'!C5 = ""Kurul"", query(IMPORTRANGE(""15YC3Wi7qF"&amp;"mdVjHeW_UCnbsoqaugkIEVJhDMDhRjct1c"", ""Habilidades!A:A""), ""Select Col1 where Col1 = 'Catador 2' or Col1 = 'Energético 2' or Col1 = 'Líder 2'""), 
if('Time 5'!C5 = ""Lancaster"", query(IMPORTRANGE(""15YC3Wi7qFmdVjHeW_UCnbsoqaugkIEVJhDMDhRjct1c"", ""Habi"&amp;"lidades!A:A""), ""Select Col1 where Col1 = 'Engenhoso 2' or Col1 = 'Protetor 2' or Col1 = 'Companheiro de Guerra 2'""), 
if('Time 5'!C5 = ""Lorelei"", query(IMPORTRANGE(""15YC3Wi7qFmdVjHeW_UCnbsoqaugkIEVJhDMDhRjct1c"", ""Habilidades!A:A""), ""Select Col1 "&amp;"where Col1 = 'Sortudo 3' or Col1 = 'Emboscada' or Col1 = 'Catador 3'""), 
if('Time 5'!C5 = ""Louca"", query(IMPORTRANGE(""15YC3Wi7qFmdVjHeW_UCnbsoqaugkIEVJhDMDhRjct1c"", ""Habilidades!A:A""), ""Select Col1 where Col1 = 'Caça-tesouros 3' or Col1 = 'Catador"&amp;" 3' or Col1 = 'Suporte 3'""), 
if('Time 5'!C5 = ""Melina"", query(IMPORTRANGE(""15YC3Wi7qFmdVjHeW_UCnbsoqaugkIEVJhDMDhRjct1c"", ""Habilidades!A:A""), ""Select Col1 where Col1 = 'Bola de fogo' or Col1 = 'Sábio 1' or Col1 = 'Velocista 1'""), 
if('Time 5'!C5"&amp;" = ""Mila"", query(IMPORTRANGE(""15YC3Wi7qFmdVjHeW_UCnbsoqaugkIEVJhDMDhRjct1c"", ""Habilidades!A:A""), ""Select Col1 where Col1 = 'Caça-tesouros 2' or Col1 = 'Sortudo 2' or Col1 = 'Ganancioso 1'""), 
if('Time 5'!C5 = ""Minh"", query(IMPORTRANGE(""15YC3Wi7"&amp;"qFmdVjHeW_UCnbsoqaugkIEVJhDMDhRjct1c"", ""Habilidades!A:A""), ""Select Col1 where Col1 = 'Sábio 1' or Col1 = 'Curandeiro 1' or Col1 = 'Reviver 1'""), 
if('Time 5'!C5 = ""Mojian"", query(IMPORTRANGE(""15YC3Wi7qFmdVjHeW_UCnbsoqaugkIEVJhDMDhRjct1c"", ""Habil"&amp;"idades!A:A""), ""Select Col1 where Col1 = 'Comandante 3' or Col1 = 'Arquimago 3' or Col1 = 'Raio elétrico'""), 
if('Time 5'!C5 = ""Nya"", query(IMPORTRANGE(""15YC3Wi7qFmdVjHeW_UCnbsoqaugkIEVJhDMDhRjct1c"", ""Habilidades!A:A""), ""Select Col1 where Col1 = "&amp;"'Reviver 1' or Col1 = 'Arquimago 1' or Col1 = 'Cone-gélido'""), 
if('Time 5'!C5 = ""Odette"", query(IMPORTRANGE(""15YC3Wi7qFmdVjHeW_UCnbsoqaugkIEVJhDMDhRjct1c"", ""Habilidades!A:A""), ""Select Col1 where Col1 = 'Cuidadoso 2' or Col1 = 'Amazona 2' or Col1 "&amp;"= 'Suporte 2'""), 
if('Time 5'!C5 = ""Oneira"", query(IMPORTRANGE(""15YC3Wi7qFmdVjHeW_UCnbsoqaugkIEVJhDMDhRjct1c"", ""Habilidades!A:A""), ""Select Col1 where Col1 = 'Ganancioso 3' or Col1 = 'Curandeiro 2' or Col1 = 'Suporte 2'""), 
if('Time 5'!C5 = ""Pala"&amp;"sh"", query(IMPORTRANGE(""15YC3Wi7qFmdVjHeW_UCnbsoqaugkIEVJhDMDhRjct1c"", ""Habilidades!A:A""), ""Select Col1 where Col1 = 'Catador 1' or Col1 = 'Resistente 1' or Col1 = 'Fornecedor 1'""), 
if('Time 5'!C5 = ""Theor"", query(IMPORTRANGE(""15YC3Wi7qFmdVjHeW"&amp;"_UCnbsoqaugkIEVJhDMDhRjct1c"", ""Habilidades!A:A""), ""Select Col1 where Col1 = 'Companheiro de Guerra 1' or Col1 = 'Energético 1' or Col1 = 'Cortar'""), 
if('Time 5'!C5 = ""Yue"", query(IMPORTRANGE(""15YC3Wi7qFmdVjHeW_UCnbsoqaugkIEVJhDMDhRjct1c"", ""Habi"&amp;"lidades!A:A""), ""Select Col1 where Col1 = 'Resistente 3' or Col1 = 'Mestre das armas' or Col1 = 'Comandante 3'"")))))))))))))))))))))))))))))"),"Esmagar")</f>
        <v>Esmagar</v>
      </c>
      <c r="D17" s="224" t="str">
        <f>IFERROR(__xludf.DUMMYFUNCTION("if('Time 5'!$C6 = ""Albert"", query(IMPORTRANGE(""15YC3Wi7qFmdVjHeW_UCnbsoqaugkIEVJhDMDhRjct1c"", ""Habilidades!A:A""), ""Select Col1 where Col1 = 'Cuidadoso 1' or Col1 = 'Fornecedor 1' or Col1 = 'Suporte 1'""),     
if('Time 5'!C6 = ""Alicia"", query(IMP"&amp;"ORTRANGE(""15YC3Wi7qFmdVjHeW_UCnbsoqaugkIEVJhDMDhRjct1c"", ""Habilidades!A:A""), ""Select Col1 where Col1 = 'Amazona 3' or Col1 = 'Energético 3' or Col1 = 'Sortudo 3'""), 
if('Time 5'!C6 = ""Azula"", query(IMPORTRANGE(""15YC3Wi7qFmdVjHeW_UCnbsoqaugkIEVJhD"&amp;"MDhRjct1c"", ""Habilidades!A:A""), ""Select Col1 where Col1 = 'Arquimago 2' or Col1 = 'Curandeiro 3' or Col1 = 'Sábio 3'""), 
if('Time 5'!C6 = ""Charles"", query(IMPORTRANGE(""15YC3Wi7qFmdVjHeW_UCnbsoqaugkIEVJhDMDhRjct1c"", ""Habilidades!A:A""), ""Select "&amp;"Col1 where Col1 = 'Armadura do Mago' or Col1 = 'Detectar segredo' or Col1 = 'Encontrar mágica'""), 
if('Time 5'!C6 = ""Clovis"", query(IMPORTRANGE(""15YC3Wi7qFmdVjHeW_UCnbsoqaugkIEVJhDMDhRjct1c"", ""Habilidades!A:A""), ""Select Col1 where Col1 = 'Defesa' "&amp;"or Col1 = 'Protetor 1' or Col1 = 'Comandante 1'""), 
if('Time 5'!C6 = ""Darthos"", query(IMPORTRANGE(""15YC3Wi7qFmdVjHeW_UCnbsoqaugkIEVJhDMDhRjct1c"", ""Habilidades!A:A""), ""Select Col1 where Col1 = 'Velocista 2' or Col1 = 'Sábio 2' or Col1 = 'Companheir"&amp;"o de Guerra 3'""), 
if('Time 5'!C6 = ""Edward"", query(IMPORTRANGE(""15YC3Wi7qFmdVjHeW_UCnbsoqaugkIEVJhDMDhRjct1c"", ""Habilidades!A:A""), ""Select Col1 where Col1 = 'Líder 3' or Col1 = 'Reviver 3' or Col1 = 'Protetor 3'""), 
if('Time 5'!C6 = ""Fiora"", q"&amp;"uery(IMPORTRANGE(""15YC3Wi7qFmdVjHeW_UCnbsoqaugkIEVJhDMDhRjct1c"", ""Habilidades!A:A""), ""Select Col1 where Col1 = 'Comandante 2' or Col1 = 'Ganancioso 2' or Col1 = 'Reviver 2'""), 
if('Time 5'!C6 = ""Francesca"", query(IMPORTRANGE(""15YC3Wi7qFmdVjHeW_UC"&amp;"nbsoqaugkIEVJhDMDhRjct1c"", ""Habilidades!A:A""), ""Select Col1 where Col1 = 'Cuidadoso 3' or Col1 = 'Fornecedor 3' or Col1 = 'Resistente 1'""), 
if('Time 5'!C6 = ""Garreth"", query(IMPORTRANGE(""15YC3Wi7qFmdVjHeW_UCnbsoqaugkIEVJhDMDhRjct1c"", ""Habilidad"&amp;"es!A:A""), ""Select Col1 where Col1 = 'Sortudo 1' or Col1 = 'Caça-tesouros 1' or Col1 = 'Catador 1'""), 
if('Time 5'!C6 = ""Gauvin"", query(IMPORTRANGE(""15YC3Wi7qFmdVjHeW_UCnbsoqaugkIEVJhDMDhRjct1c"", ""Habilidades!A:A""), ""Select Col1 where Col1 = 'Líd"&amp;"er 1' or Col1 = 'Companheiro de Guerra 1' or Col1 = 'Resistente 2'""), 
if('Time 5'!C6 = ""Irene"", query(IMPORTRANGE(""15YC3Wi7qFmdVjHeW_UCnbsoqaugkIEVJhDMDhRjct1c"", ""Habilidades!A:A""), ""Select Col1 where Col1 = 'Gangster 1' or Col1 = 'Fornecedor 2' "&amp;"or Col1 = 'Engenhoso 1'""), 
if('Time 5'!C6 = ""Karal"", query(IMPORTRANGE(""15YC3Wi7qFmdVjHeW_UCnbsoqaugkIEVJhDMDhRjct1c"", ""Habilidades!A:A""), ""Select Col1 where Col1 = 'Amazona 1' or Col1 = 'Resistente 1' or Col1 = 'Esmagar'""), 
if('Time 5'!C6 = """&amp;"Kuro Shobi"", query(IMPORTRANGE(""15YC3Wi7qFmdVjHeW_UCnbsoqaugkIEVJhDMDhRjct1c"", ""Habilidades!A:A""), ""Select Col1 where Col1 = 'Gangster 3' or Col1 = 'Engenhoso 3' or Col1 = 'Velocista 3'""), 
if('Time 5'!C6 = ""Kurul"", query(IMPORTRANGE(""15YC3Wi7qF"&amp;"mdVjHeW_UCnbsoqaugkIEVJhDMDhRjct1c"", ""Habilidades!A:A""), ""Select Col1 where Col1 = 'Catador 2' or Col1 = 'Energético 2' or Col1 = 'Líder 2'""), 
if('Time 5'!C6 = ""Lancaster"", query(IMPORTRANGE(""15YC3Wi7qFmdVjHeW_UCnbsoqaugkIEVJhDMDhRjct1c"", ""Habi"&amp;"lidades!A:A""), ""Select Col1 where Col1 = 'Engenhoso 2' or Col1 = 'Protetor 2' or Col1 = 'Companheiro de Guerra 2'""), 
if('Time 5'!C6 = ""Lorelei"", query(IMPORTRANGE(""15YC3Wi7qFmdVjHeW_UCnbsoqaugkIEVJhDMDhRjct1c"", ""Habilidades!A:A""), ""Select Col1 "&amp;"where Col1 = 'Sortudo 3' or Col1 = 'Emboscada' or Col1 = 'Catador 3'""), 
if('Time 5'!C6 = ""Louca"", query(IMPORTRANGE(""15YC3Wi7qFmdVjHeW_UCnbsoqaugkIEVJhDMDhRjct1c"", ""Habilidades!A:A""), ""Select Col1 where Col1 = 'Caça-tesouros 3' or Col1 = 'Catador"&amp;" 3' or Col1 = 'Suporte 3'""), 
if('Time 5'!C6 = ""Melina"", query(IMPORTRANGE(""15YC3Wi7qFmdVjHeW_UCnbsoqaugkIEVJhDMDhRjct1c"", ""Habilidades!A:A""), ""Select Col1 where Col1 = 'Bola de fogo' or Col1 = 'Sábio 1' or Col1 = 'Velocista 1'""), 
if('Time 5'!C6"&amp;" = ""Mila"", query(IMPORTRANGE(""15YC3Wi7qFmdVjHeW_UCnbsoqaugkIEVJhDMDhRjct1c"", ""Habilidades!A:A""), ""Select Col1 where Col1 = 'Caça-tesouros 2' or Col1 = 'Sortudo 2' or Col1 = 'Ganancioso 1'""), 
if('Time 5'!C6 = ""Minh"", query(IMPORTRANGE(""15YC3Wi7"&amp;"qFmdVjHeW_UCnbsoqaugkIEVJhDMDhRjct1c"", ""Habilidades!A:A""), ""Select Col1 where Col1 = 'Sábio 1' or Col1 = 'Curandeiro 1' or Col1 = 'Reviver 1'""), 
if('Time 5'!C6 = ""Mojian"", query(IMPORTRANGE(""15YC3Wi7qFmdVjHeW_UCnbsoqaugkIEVJhDMDhRjct1c"", ""Habil"&amp;"idades!A:A""), ""Select Col1 where Col1 = 'Comandante 3' or Col1 = 'Arquimago 3' or Col1 = 'Raio elétrico'""), 
if('Time 5'!C6 = ""Nya"", query(IMPORTRANGE(""15YC3Wi7qFmdVjHeW_UCnbsoqaugkIEVJhDMDhRjct1c"", ""Habilidades!A:A""), ""Select Col1 where Col1 = "&amp;"'Reviver 1' or Col1 = 'Arquimago 1' or Col1 = 'Cone-gélido'""), 
if('Time 5'!C6 = ""Odette"", query(IMPORTRANGE(""15YC3Wi7qFmdVjHeW_UCnbsoqaugkIEVJhDMDhRjct1c"", ""Habilidades!A:A""), ""Select Col1 where Col1 = 'Cuidadoso 2' or Col1 = 'Amazona 2' or Col1 "&amp;"= 'Suporte 2'""), 
if('Time 5'!C6 = ""Oneira"", query(IMPORTRANGE(""15YC3Wi7qFmdVjHeW_UCnbsoqaugkIEVJhDMDhRjct1c"", ""Habilidades!A:A""), ""Select Col1 where Col1 = 'Ganancioso 3' or Col1 = 'Curandeiro 2' or Col1 = 'Suporte 2'""), 
if('Time 5'!C6 = ""Pala"&amp;"sh"", query(IMPORTRANGE(""15YC3Wi7qFmdVjHeW_UCnbsoqaugkIEVJhDMDhRjct1c"", ""Habilidades!A:A""), ""Select Col1 where Col1 = 'Catador 1' or Col1 = 'Resistente 1' or Col1 = 'Fornecedor 1'""), 
if('Time 5'!C6 = ""Theor"", query(IMPORTRANGE(""15YC3Wi7qFmdVjHeW"&amp;"_UCnbsoqaugkIEVJhDMDhRjct1c"", ""Habilidades!A:A""), ""Select Col1 where Col1 = 'Companheiro de Guerra 1' or Col1 = 'Energético 1' or Col1 = 'Cortar'""), 
if('Time 5'!C6 = ""Yue"", query(IMPORTRANGE(""15YC3Wi7qFmdVjHeW_UCnbsoqaugkIEVJhDMDhRjct1c"", ""Habi"&amp;"lidades!A:A""), ""Select Col1 where Col1 = 'Resistente 3' or Col1 = 'Mestre das armas' or Col1 = 'Comandante 3'"")))))))))))))))))))))))))))))"),"Cortar")</f>
        <v>Cortar</v>
      </c>
      <c r="E17" s="224" t="str">
        <f>IFERROR(__xludf.DUMMYFUNCTION("if('Time 5'!$C7 = ""Albert"", query(IMPORTRANGE(""15YC3Wi7qFmdVjHeW_UCnbsoqaugkIEVJhDMDhRjct1c"", ""Habilidades!A:A""), ""Select Col1 where Col1 = 'Cuidadoso 1' or Col1 = 'Fornecedor 1' or Col1 = 'Suporte 1'""),     
if('Time 5'!C7 = ""Alicia"", query(IMP"&amp;"ORTRANGE(""15YC3Wi7qFmdVjHeW_UCnbsoqaugkIEVJhDMDhRjct1c"", ""Habilidades!A:A""), ""Select Col1 where Col1 = 'Amazona 3' or Col1 = 'Energético 3' or Col1 = 'Sortudo 3'""), 
if('Time 5'!C7 = ""Azula"", query(IMPORTRANGE(""15YC3Wi7qFmdVjHeW_UCnbsoqaugkIEVJhD"&amp;"MDhRjct1c"", ""Habilidades!A:A""), ""Select Col1 where Col1 = 'Arquimago 2' or Col1 = 'Curandeiro 3' or Col1 = 'Sábio 3'""), 
if('Time 5'!C7 = ""Charles"", query(IMPORTRANGE(""15YC3Wi7qFmdVjHeW_UCnbsoqaugkIEVJhDMDhRjct1c"", ""Habilidades!A:A""), ""Select "&amp;"Col1 where Col1 = 'Armadura do Mago' or Col1 = 'Detectar segredo' or Col1 = 'Encontrar mágica'""), 
if('Time 5'!C7 = ""Clovis"", query(IMPORTRANGE(""15YC3Wi7qFmdVjHeW_UCnbsoqaugkIEVJhDMDhRjct1c"", ""Habilidades!A:A""), ""Select Col1 where Col1 = 'Defesa' "&amp;"or Col1 = 'Protetor 1' or Col1 = 'Comandante 1'""), 
if('Time 5'!C7 = ""Darthos"", query(IMPORTRANGE(""15YC3Wi7qFmdVjHeW_UCnbsoqaugkIEVJhDMDhRjct1c"", ""Habilidades!A:A""), ""Select Col1 where Col1 = 'Velocista 2' or Col1 = 'Sábio 2' or Col1 = 'Companheir"&amp;"o de Guerra 3'""), 
if('Time 5'!C7 = ""Edward"", query(IMPORTRANGE(""15YC3Wi7qFmdVjHeW_UCnbsoqaugkIEVJhDMDhRjct1c"", ""Habilidades!A:A""), ""Select Col1 where Col1 = 'Líder 3' or Col1 = 'Reviver 3' or Col1 = 'Protetor 3'""), 
if('Time 5'!C7 = ""Fiora"", q"&amp;"uery(IMPORTRANGE(""15YC3Wi7qFmdVjHeW_UCnbsoqaugkIEVJhDMDhRjct1c"", ""Habilidades!A:A""), ""Select Col1 where Col1 = 'Comandante 2' or Col1 = 'Ganancioso 2' or Col1 = 'Reviver 2'""), 
if('Time 5'!C7 = ""Francesca"", query(IMPORTRANGE(""15YC3Wi7qFmdVjHeW_UC"&amp;"nbsoqaugkIEVJhDMDhRjct1c"", ""Habilidades!A:A""), ""Select Col1 where Col1 = 'Cuidadoso 3' or Col1 = 'Fornecedor 3' or Col1 = 'Resistente 1'""), 
if('Time 5'!C7 = ""Garreth"", query(IMPORTRANGE(""15YC3Wi7qFmdVjHeW_UCnbsoqaugkIEVJhDMDhRjct1c"", ""Habilidad"&amp;"es!A:A""), ""Select Col1 where Col1 = 'Sortudo 1' or Col1 = 'Caça-tesouros 1' or Col1 = 'Catador 1'""), 
if('Time 5'!C7 = ""Gauvin"", query(IMPORTRANGE(""15YC3Wi7qFmdVjHeW_UCnbsoqaugkIEVJhDMDhRjct1c"", ""Habilidades!A:A""), ""Select Col1 where Col1 = 'Líd"&amp;"er 1' or Col1 = 'Companheiro de Guerra 1' or Col1 = 'Resistente 2'""), 
if('Time 5'!C7 = ""Irene"", query(IMPORTRANGE(""15YC3Wi7qFmdVjHeW_UCnbsoqaugkIEVJhDMDhRjct1c"", ""Habilidades!A:A""), ""Select Col1 where Col1 = 'Gangster 1' or Col1 = 'Fornecedor 2' "&amp;"or Col1 = 'Engenhoso 1'""), 
if('Time 5'!C7 = ""Karal"", query(IMPORTRANGE(""15YC3Wi7qFmdVjHeW_UCnbsoqaugkIEVJhDMDhRjct1c"", ""Habilidades!A:A""), ""Select Col1 where Col1 = 'Amazona 1' or Col1 = 'Resistente 1' or Col1 = 'Esmagar'""), 
if('Time 5'!C7 = """&amp;"Kuro Shobi"", query(IMPORTRANGE(""15YC3Wi7qFmdVjHeW_UCnbsoqaugkIEVJhDMDhRjct1c"", ""Habilidades!A:A""), ""Select Col1 where Col1 = 'Gangster 3' or Col1 = 'Engenhoso 3' or Col1 = 'Velocista 3'""), 
if('Time 5'!C7 = ""Kurul"", query(IMPORTRANGE(""15YC3Wi7qF"&amp;"mdVjHeW_UCnbsoqaugkIEVJhDMDhRjct1c"", ""Habilidades!A:A""), ""Select Col1 where Col1 = 'Catador 2' or Col1 = 'Energético 2' or Col1 = 'Líder 2'""), 
if('Time 5'!C7 = ""Lancaster"", query(IMPORTRANGE(""15YC3Wi7qFmdVjHeW_UCnbsoqaugkIEVJhDMDhRjct1c"", ""Habi"&amp;"lidades!A:A""), ""Select Col1 where Col1 = 'Engenhoso 2' or Col1 = 'Protetor 2' or Col1 = 'Companheiro de Guerra 2'""), 
if('Time 5'!C7 = ""Lorelei"", query(IMPORTRANGE(""15YC3Wi7qFmdVjHeW_UCnbsoqaugkIEVJhDMDhRjct1c"", ""Habilidades!A:A""), ""Select Col1 "&amp;"where Col1 = 'Sortudo 3' or Col1 = 'Emboscada' or Col1 = 'Catador 3'""), 
if('Time 5'!C7 = ""Louca"", query(IMPORTRANGE(""15YC3Wi7qFmdVjHeW_UCnbsoqaugkIEVJhDMDhRjct1c"", ""Habilidades!A:A""), ""Select Col1 where Col1 = 'Caça-tesouros 3' or Col1 = 'Catador"&amp;" 3' or Col1 = 'Suporte 3'""), 
if('Time 5'!C7 = ""Melina"", query(IMPORTRANGE(""15YC3Wi7qFmdVjHeW_UCnbsoqaugkIEVJhDMDhRjct1c"", ""Habilidades!A:A""), ""Select Col1 where Col1 = 'Bola de fogo' or Col1 = 'Sábio 1' or Col1 = 'Velocista 1'""), 
if('Time 5'!C7"&amp;" = ""Mila"", query(IMPORTRANGE(""15YC3Wi7qFmdVjHeW_UCnbsoqaugkIEVJhDMDhRjct1c"", ""Habilidades!A:A""), ""Select Col1 where Col1 = 'Caça-tesouros 2' or Col1 = 'Sortudo 2' or Col1 = 'Ganancioso 1'""), 
if('Time 5'!C7 = ""Minh"", query(IMPORTRANGE(""15YC3Wi7"&amp;"qFmdVjHeW_UCnbsoqaugkIEVJhDMDhRjct1c"", ""Habilidades!A:A""), ""Select Col1 where Col1 = 'Sábio 1' or Col1 = 'Curandeiro 1' or Col1 = 'Reviver 1'""), 
if('Time 5'!C7 = ""Mojian"", query(IMPORTRANGE(""15YC3Wi7qFmdVjHeW_UCnbsoqaugkIEVJhDMDhRjct1c"", ""Habil"&amp;"idades!A:A""), ""Select Col1 where Col1 = 'Comandante 3' or Col1 = 'Arquimago 3' or Col1 = 'Raio elétrico'""), 
if('Time 5'!C7 = ""Nya"", query(IMPORTRANGE(""15YC3Wi7qFmdVjHeW_UCnbsoqaugkIEVJhDMDhRjct1c"", ""Habilidades!A:A""), ""Select Col1 where Col1 = "&amp;"'Reviver 1' or Col1 = 'Arquimago 1' or Col1 = 'Cone-gélido'""), 
if('Time 5'!C7 = ""Odette"", query(IMPORTRANGE(""15YC3Wi7qFmdVjHeW_UCnbsoqaugkIEVJhDMDhRjct1c"", ""Habilidades!A:A""), ""Select Col1 where Col1 = 'Cuidadoso 2' or Col1 = 'Amazona 2' or Col1 "&amp;"= 'Suporte 2'""), 
if('Time 5'!C7 = ""Oneira"", query(IMPORTRANGE(""15YC3Wi7qFmdVjHeW_UCnbsoqaugkIEVJhDMDhRjct1c"", ""Habilidades!A:A""), ""Select Col1 where Col1 = 'Ganancioso 3' or Col1 = 'Curandeiro 2' or Col1 = 'Suporte 2'""), 
if('Time 5'!C7 = ""Pala"&amp;"sh"", query(IMPORTRANGE(""15YC3Wi7qFmdVjHeW_UCnbsoqaugkIEVJhDMDhRjct1c"", ""Habilidades!A:A""), ""Select Col1 where Col1 = 'Catador 1' or Col1 = 'Resistente 1' or Col1 = 'Fornecedor 1'""), 
if('Time 5'!C7 = ""Theor"", query(IMPORTRANGE(""15YC3Wi7qFmdVjHeW"&amp;"_UCnbsoqaugkIEVJhDMDhRjct1c"", ""Habilidades!A:A""), ""Select Col1 where Col1 = 'Companheiro de Guerra 1' or Col1 = 'Energético 1' or Col1 = 'Cortar'""), 
if('Time 5'!C7 = ""Yue"", query(IMPORTRANGE(""15YC3Wi7qFmdVjHeW_UCnbsoqaugkIEVJhDMDhRjct1c"", ""Habi"&amp;"lidades!A:A""), ""Select Col1 where Col1 = 'Resistente 3' or Col1 = 'Mestre das armas' or Col1 = 'Comandante 3'"")))))))))))))))))))))))))))))"),"Bola de fogo")</f>
        <v>Bola de fogo</v>
      </c>
      <c r="F17" s="224" t="b">
        <f>IFERROR(__xludf.DUMMYFUNCTION("if('Time 5'!$C8 = ""Albert"", query(IMPORTRANGE(""15YC3Wi7qFmdVjHeW_UCnbsoqaugkIEVJhDMDhRjct1c"", ""Habilidades!A:A""), ""Select Col1 where Col1 = 'Cuidadoso 1' or Col1 = 'Fornecedor 1' or Col1 = 'Suporte 1'""),     
if('Time 5'!C8 = ""Alicia"", query(IMP"&amp;"ORTRANGE(""15YC3Wi7qFmdVjHeW_UCnbsoqaugkIEVJhDMDhRjct1c"", ""Habilidades!A:A""), ""Select Col1 where Col1 = 'Amazona 3' or Col1 = 'Energético 3' or Col1 = 'Sortudo 3'""), 
if('Time 5'!C8 = ""Azula"", query(IMPORTRANGE(""15YC3Wi7qFmdVjHeW_UCnbsoqaugkIEVJhD"&amp;"MDhRjct1c"", ""Habilidades!A:A""), ""Select Col1 where Col1 = 'Arquimago 2' or Col1 = 'Curandeiro 3' or Col1 = 'Sábio 3'""), 
if('Time 5'!C8 = ""Charles"", query(IMPORTRANGE(""15YC3Wi7qFmdVjHeW_UCnbsoqaugkIEVJhDMDhRjct1c"", ""Habilidades!A:A""), ""Select "&amp;"Col1 where Col1 = 'Armadura do Mago' or Col1 = 'Detectar segredo' or Col1 = 'Encontrar mágica'""), 
if('Time 5'!C8 = ""Clovis"", query(IMPORTRANGE(""15YC3Wi7qFmdVjHeW_UCnbsoqaugkIEVJhDMDhRjct1c"", ""Habilidades!A:A""), ""Select Col1 where Col1 = 'Defesa' "&amp;"or Col1 = 'Protetor 1' or Col1 = 'Comandante 1'""), 
if('Time 5'!C8 = ""Darthos"", query(IMPORTRANGE(""15YC3Wi7qFmdVjHeW_UCnbsoqaugkIEVJhDMDhRjct1c"", ""Habilidades!A:A""), ""Select Col1 where Col1 = 'Velocista 2' or Col1 = 'Sábio 2' or Col1 = 'Companheir"&amp;"o de Guerra 3'""), 
if('Time 5'!C8 = ""Edward"", query(IMPORTRANGE(""15YC3Wi7qFmdVjHeW_UCnbsoqaugkIEVJhDMDhRjct1c"", ""Habilidades!A:A""), ""Select Col1 where Col1 = 'Líder 3' or Col1 = 'Reviver 3' or Col1 = 'Protetor 3'""), 
if('Time 5'!C8 = ""Fiora"", q"&amp;"uery(IMPORTRANGE(""15YC3Wi7qFmdVjHeW_UCnbsoqaugkIEVJhDMDhRjct1c"", ""Habilidades!A:A""), ""Select Col1 where Col1 = 'Comandante 2' or Col1 = 'Ganancioso 2' or Col1 = 'Reviver 2'""), 
if('Time 5'!C8 = ""Francesca"", query(IMPORTRANGE(""15YC3Wi7qFmdVjHeW_UC"&amp;"nbsoqaugkIEVJhDMDhRjct1c"", ""Habilidades!A:A""), ""Select Col1 where Col1 = 'Cuidadoso 3' or Col1 = 'Fornecedor 3' or Col1 = 'Resistente 1'""), 
if('Time 5'!C8 = ""Garreth"", query(IMPORTRANGE(""15YC3Wi7qFmdVjHeW_UCnbsoqaugkIEVJhDMDhRjct1c"", ""Habilidad"&amp;"es!A:A""), ""Select Col1 where Col1 = 'Sortudo 1' or Col1 = 'Caça-tesouros 1' or Col1 = 'Catador 1'""), 
if('Time 5'!C8 = ""Gauvin"", query(IMPORTRANGE(""15YC3Wi7qFmdVjHeW_UCnbsoqaugkIEVJhDMDhRjct1c"", ""Habilidades!A:A""), ""Select Col1 where Col1 = 'Líd"&amp;"er 1' or Col1 = 'Companheiro de Guerra 1' or Col1 = 'Resistente 2'""), 
if('Time 5'!C8 = ""Irene"", query(IMPORTRANGE(""15YC3Wi7qFmdVjHeW_UCnbsoqaugkIEVJhDMDhRjct1c"", ""Habilidades!A:A""), ""Select Col1 where Col1 = 'Gangster 1' or Col1 = 'Fornecedor 2' "&amp;"or Col1 = 'Engenhoso 1'""), 
if('Time 5'!C8 = ""Karal"", query(IMPORTRANGE(""15YC3Wi7qFmdVjHeW_UCnbsoqaugkIEVJhDMDhRjct1c"", ""Habilidades!A:A""), ""Select Col1 where Col1 = 'Amazona 1' or Col1 = 'Resistente 1' or Col1 = 'Esmagar'""), 
if('Time 5'!C8 = """&amp;"Kuro Shobi"", query(IMPORTRANGE(""15YC3Wi7qFmdVjHeW_UCnbsoqaugkIEVJhDMDhRjct1c"", ""Habilidades!A:A""), ""Select Col1 where Col1 = 'Gangster 3' or Col1 = 'Engenhoso 3' or Col1 = 'Velocista 3'""), 
if('Time 5'!C8 = ""Kurul"", query(IMPORTRANGE(""15YC3Wi7qF"&amp;"mdVjHeW_UCnbsoqaugkIEVJhDMDhRjct1c"", ""Habilidades!A:A""), ""Select Col1 where Col1 = 'Catador 2' or Col1 = 'Energético 2' or Col1 = 'Líder 2'""), 
if('Time 5'!C8 = ""Lancaster"", query(IMPORTRANGE(""15YC3Wi7qFmdVjHeW_UCnbsoqaugkIEVJhDMDhRjct1c"", ""Habi"&amp;"lidades!A:A""), ""Select Col1 where Col1 = 'Engenhoso 2' or Col1 = 'Protetor 2' or Col1 = 'Companheiro de Guerra 2'""), 
if('Time 5'!C8 = ""Lorelei"", query(IMPORTRANGE(""15YC3Wi7qFmdVjHeW_UCnbsoqaugkIEVJhDMDhRjct1c"", ""Habilidades!A:A""), ""Select Col1 "&amp;"where Col1 = 'Sortudo 3' or Col1 = 'Emboscada' or Col1 = 'Catador 3'""), 
if('Time 5'!C8 = ""Louca"", query(IMPORTRANGE(""15YC3Wi7qFmdVjHeW_UCnbsoqaugkIEVJhDMDhRjct1c"", ""Habilidades!A:A""), ""Select Col1 where Col1 = 'Caça-tesouros 3' or Col1 = 'Catador"&amp;" 3' or Col1 = 'Suporte 3'""), 
if('Time 5'!C8 = ""Melina"", query(IMPORTRANGE(""15YC3Wi7qFmdVjHeW_UCnbsoqaugkIEVJhDMDhRjct1c"", ""Habilidades!A:A""), ""Select Col1 where Col1 = 'Bola de fogo' or Col1 = 'Sábio 1' or Col1 = 'Velocista 1'""), 
if('Time 5'!C8"&amp;" = ""Mila"", query(IMPORTRANGE(""15YC3Wi7qFmdVjHeW_UCnbsoqaugkIEVJhDMDhRjct1c"", ""Habilidades!A:A""), ""Select Col1 where Col1 = 'Caça-tesouros 2' or Col1 = 'Sortudo 2' or Col1 = 'Ganancioso 1'""), 
if('Time 5'!C8 = ""Minh"", query(IMPORTRANGE(""15YC3Wi7"&amp;"qFmdVjHeW_UCnbsoqaugkIEVJhDMDhRjct1c"", ""Habilidades!A:A""), ""Select Col1 where Col1 = 'Sábio 1' or Col1 = 'Curandeiro 1' or Col1 = 'Reviver 1'""), 
if('Time 5'!C8 = ""Mojian"", query(IMPORTRANGE(""15YC3Wi7qFmdVjHeW_UCnbsoqaugkIEVJhDMDhRjct1c"", ""Habil"&amp;"idades!A:A""), ""Select Col1 where Col1 = 'Comandante 3' or Col1 = 'Arquimago 3' or Col1 = 'Raio elétrico'""), 
if('Time 5'!C8 = ""Nya"", query(IMPORTRANGE(""15YC3Wi7qFmdVjHeW_UCnbsoqaugkIEVJhDMDhRjct1c"", ""Habilidades!A:A""), ""Select Col1 where Col1 = "&amp;"'Reviver 1' or Col1 = 'Arquimago 1' or Col1 = 'Cone-gélido'""), 
if('Time 5'!C8 = ""Odette"", query(IMPORTRANGE(""15YC3Wi7qFmdVjHeW_UCnbsoqaugkIEVJhDMDhRjct1c"", ""Habilidades!A:A""), ""Select Col1 where Col1 = 'Cuidadoso 2' or Col1 = 'Amazona 2' or Col1 "&amp;"= 'Suporte 2'""), 
if('Time 5'!C8 = ""Oneira"", query(IMPORTRANGE(""15YC3Wi7qFmdVjHeW_UCnbsoqaugkIEVJhDMDhRjct1c"", ""Habilidades!A:A""), ""Select Col1 where Col1 = 'Ganancioso 3' or Col1 = 'Curandeiro 2' or Col1 = 'Suporte 2'""), 
if('Time 5'!C8 = ""Pala"&amp;"sh"", query(IMPORTRANGE(""15YC3Wi7qFmdVjHeW_UCnbsoqaugkIEVJhDMDhRjct1c"", ""Habilidades!A:A""), ""Select Col1 where Col1 = 'Catador 1' or Col1 = 'Resistente 1' or Col1 = 'Fornecedor 1'""), 
if('Time 5'!C8 = ""Theor"", query(IMPORTRANGE(""15YC3Wi7qFmdVjHeW"&amp;"_UCnbsoqaugkIEVJhDMDhRjct1c"", ""Habilidades!A:A""), ""Select Col1 where Col1 = 'Companheiro de Guerra 1' or Col1 = 'Energético 1' or Col1 = 'Cortar'""), 
if('Time 5'!C8 = ""Yue"", query(IMPORTRANGE(""15YC3Wi7qFmdVjHeW_UCnbsoqaugkIEVJhDMDhRjct1c"", ""Habi"&amp;"lidades!A:A""), ""Select Col1 where Col1 = 'Resistente 3' or Col1 = 'Mestre das armas' or Col1 = 'Comandante 3'"")))))))))))))))))))))))))))))"),FALSE)</f>
        <v>0</v>
      </c>
      <c r="G17" s="47"/>
    </row>
    <row r="18">
      <c r="A18" s="224" t="str">
        <f>IFERROR(__xludf.DUMMYFUNCTION("""COMPUTED_VALUE"""),"Sortudo 2")</f>
        <v>Sortudo 2</v>
      </c>
      <c r="B18" s="224" t="str">
        <f>IFERROR(__xludf.DUMMYFUNCTION("""COMPUTED_VALUE"""),"Arquimago 1")</f>
        <v>Arquimago 1</v>
      </c>
      <c r="C18" s="224" t="str">
        <f>IFERROR(__xludf.DUMMYFUNCTION("""COMPUTED_VALUE"""),"Resistente 1")</f>
        <v>Resistente 1</v>
      </c>
      <c r="D18" s="224" t="str">
        <f>IFERROR(__xludf.DUMMYFUNCTION("""COMPUTED_VALUE"""),"Energético 1")</f>
        <v>Energético 1</v>
      </c>
      <c r="E18" s="224" t="str">
        <f>IFERROR(__xludf.DUMMYFUNCTION("""COMPUTED_VALUE"""),"Sábio 1")</f>
        <v>Sábio 1</v>
      </c>
      <c r="G18" s="47"/>
    </row>
    <row r="19">
      <c r="A19" s="224" t="str">
        <f>IFERROR(__xludf.DUMMYFUNCTION("""COMPUTED_VALUE"""),"Caça-tesouros 2")</f>
        <v>Caça-tesouros 2</v>
      </c>
      <c r="B19" s="224" t="str">
        <f>IFERROR(__xludf.DUMMYFUNCTION("""COMPUTED_VALUE"""),"Reviver 1")</f>
        <v>Reviver 1</v>
      </c>
      <c r="C19" s="224" t="str">
        <f>IFERROR(__xludf.DUMMYFUNCTION("""COMPUTED_VALUE"""),"Amazona 1")</f>
        <v>Amazona 1</v>
      </c>
      <c r="D19" s="224" t="str">
        <f>IFERROR(__xludf.DUMMYFUNCTION("""COMPUTED_VALUE"""),"Companheiro de Guerra 1")</f>
        <v>Companheiro de Guerra 1</v>
      </c>
      <c r="E19" s="224" t="str">
        <f>IFERROR(__xludf.DUMMYFUNCTION("""COMPUTED_VALUE"""),"Velocista 1")</f>
        <v>Velocista 1</v>
      </c>
      <c r="G19" s="47"/>
    </row>
    <row r="20">
      <c r="A20" s="47"/>
      <c r="B20" s="47"/>
      <c r="C20" s="47"/>
      <c r="D20" s="47"/>
      <c r="E20" s="47"/>
      <c r="F20" s="47"/>
      <c r="G20" s="47"/>
    </row>
    <row r="21">
      <c r="A21" s="47"/>
      <c r="B21" s="47"/>
      <c r="C21" s="47"/>
      <c r="D21" s="47"/>
      <c r="E21" s="47"/>
      <c r="F21" s="47"/>
      <c r="G21" s="47"/>
    </row>
    <row r="22">
      <c r="A22" s="47"/>
      <c r="B22" s="47"/>
      <c r="C22" s="47"/>
      <c r="D22" s="47"/>
      <c r="E22" s="47"/>
      <c r="F22" s="47"/>
      <c r="G22" s="47"/>
    </row>
    <row r="23">
      <c r="A23" s="47"/>
      <c r="B23" s="47"/>
      <c r="C23" s="47"/>
      <c r="D23" s="47"/>
      <c r="E23" s="47"/>
      <c r="F23" s="47"/>
      <c r="G23" s="47"/>
    </row>
    <row r="24">
      <c r="A24" s="47"/>
      <c r="B24" s="47"/>
      <c r="C24" s="47"/>
      <c r="D24" s="47"/>
      <c r="E24" s="47"/>
      <c r="F24" s="47"/>
      <c r="G24" s="47"/>
    </row>
    <row r="25">
      <c r="A25" s="47"/>
      <c r="B25" s="47"/>
      <c r="C25" s="47"/>
      <c r="D25" s="47"/>
      <c r="E25" s="47"/>
      <c r="F25" s="47"/>
      <c r="G25" s="47"/>
    </row>
    <row r="26">
      <c r="A26" s="47"/>
      <c r="B26" s="47"/>
      <c r="C26" s="47"/>
      <c r="D26" s="47"/>
      <c r="E26" s="47"/>
      <c r="F26" s="47"/>
      <c r="G26" s="47"/>
    </row>
    <row r="27">
      <c r="A27" s="47"/>
      <c r="B27" s="47"/>
      <c r="C27" s="47"/>
      <c r="D27" s="47"/>
      <c r="E27" s="47"/>
      <c r="F27" s="47"/>
      <c r="G27" s="47"/>
    </row>
    <row r="28">
      <c r="A28" s="47"/>
      <c r="B28" s="47"/>
      <c r="C28" s="47"/>
      <c r="D28" s="47"/>
      <c r="E28" s="47"/>
      <c r="F28" s="47"/>
      <c r="G28" s="47"/>
    </row>
    <row r="29">
      <c r="A29" s="47"/>
      <c r="B29" s="47"/>
      <c r="C29" s="47"/>
      <c r="D29" s="47"/>
      <c r="E29" s="47"/>
      <c r="F29" s="47"/>
      <c r="G29" s="47"/>
    </row>
    <row r="30">
      <c r="A30" s="47"/>
      <c r="B30" s="47"/>
      <c r="C30" s="47"/>
      <c r="D30" s="47"/>
      <c r="E30" s="47"/>
      <c r="F30" s="47"/>
      <c r="G30" s="47"/>
    </row>
    <row r="31">
      <c r="A31" s="47"/>
      <c r="B31" s="47"/>
      <c r="C31" s="47"/>
      <c r="D31" s="47"/>
      <c r="E31" s="47"/>
      <c r="F31" s="47"/>
      <c r="G31" s="47"/>
    </row>
    <row r="32">
      <c r="A32" s="47"/>
      <c r="B32" s="47"/>
      <c r="C32" s="47"/>
      <c r="D32" s="47"/>
      <c r="E32" s="47"/>
      <c r="F32" s="47"/>
      <c r="G32" s="47"/>
    </row>
    <row r="33">
      <c r="A33" s="47"/>
      <c r="B33" s="47"/>
      <c r="C33" s="47"/>
      <c r="D33" s="47"/>
      <c r="E33" s="47"/>
      <c r="F33" s="47"/>
      <c r="G33" s="47"/>
    </row>
    <row r="34">
      <c r="A34" s="47"/>
      <c r="B34" s="47"/>
      <c r="C34" s="47"/>
      <c r="D34" s="47"/>
      <c r="E34" s="47"/>
      <c r="F34" s="47"/>
      <c r="G34" s="47"/>
    </row>
    <row r="35">
      <c r="A35" s="47"/>
      <c r="B35" s="47"/>
      <c r="C35" s="47"/>
      <c r="D35" s="47"/>
      <c r="E35" s="47"/>
      <c r="F35" s="47"/>
      <c r="G35" s="47"/>
    </row>
    <row r="36">
      <c r="A36" s="47"/>
      <c r="B36" s="47"/>
      <c r="C36" s="47"/>
      <c r="D36" s="47"/>
      <c r="E36" s="47"/>
      <c r="F36" s="47"/>
      <c r="G36" s="47"/>
    </row>
    <row r="37">
      <c r="A37" s="47"/>
      <c r="B37" s="47"/>
      <c r="C37" s="47"/>
      <c r="D37" s="47"/>
      <c r="E37" s="47"/>
      <c r="F37" s="47"/>
      <c r="G37" s="47"/>
    </row>
    <row r="38">
      <c r="A38" s="47"/>
      <c r="B38" s="47"/>
      <c r="C38" s="47"/>
      <c r="D38" s="47"/>
      <c r="E38" s="47"/>
      <c r="F38" s="47"/>
      <c r="G38" s="47"/>
    </row>
    <row r="39">
      <c r="A39" s="47"/>
      <c r="B39" s="47"/>
      <c r="C39" s="47"/>
      <c r="D39" s="47"/>
      <c r="E39" s="47"/>
      <c r="F39" s="47"/>
      <c r="G39" s="47"/>
    </row>
    <row r="40">
      <c r="A40" s="47"/>
      <c r="B40" s="47"/>
      <c r="C40" s="47"/>
      <c r="D40" s="47"/>
      <c r="E40" s="47"/>
      <c r="F40" s="47"/>
      <c r="G40" s="47"/>
    </row>
    <row r="41">
      <c r="A41" s="47"/>
      <c r="B41" s="47"/>
      <c r="C41" s="47"/>
      <c r="D41" s="47"/>
      <c r="E41" s="47"/>
      <c r="F41" s="47"/>
      <c r="G41" s="47"/>
    </row>
    <row r="42">
      <c r="A42" s="47"/>
      <c r="B42" s="47"/>
      <c r="C42" s="47"/>
      <c r="D42" s="47"/>
      <c r="E42" s="47"/>
      <c r="F42" s="47"/>
      <c r="G42" s="47"/>
    </row>
    <row r="43">
      <c r="A43" s="47"/>
      <c r="B43" s="47"/>
      <c r="C43" s="47"/>
      <c r="D43" s="47"/>
      <c r="E43" s="47"/>
      <c r="F43" s="47"/>
      <c r="G43" s="47"/>
    </row>
    <row r="44">
      <c r="A44" s="47"/>
      <c r="B44" s="47"/>
      <c r="C44" s="47"/>
      <c r="D44" s="47"/>
      <c r="E44" s="47"/>
      <c r="F44" s="47"/>
      <c r="G44" s="47"/>
    </row>
    <row r="45">
      <c r="A45" s="47"/>
      <c r="B45" s="47"/>
      <c r="C45" s="47"/>
      <c r="D45" s="47"/>
      <c r="E45" s="47"/>
      <c r="F45" s="47"/>
      <c r="G45" s="47"/>
    </row>
    <row r="46">
      <c r="A46" s="47"/>
      <c r="B46" s="47"/>
      <c r="C46" s="47"/>
      <c r="D46" s="47"/>
      <c r="E46" s="47"/>
      <c r="F46" s="47"/>
      <c r="G46" s="47"/>
    </row>
    <row r="47">
      <c r="A47" s="47"/>
      <c r="B47" s="47"/>
      <c r="C47" s="47"/>
      <c r="D47" s="47"/>
      <c r="E47" s="47"/>
      <c r="F47" s="47"/>
      <c r="G47" s="47"/>
    </row>
    <row r="48">
      <c r="A48" s="47"/>
      <c r="B48" s="47"/>
      <c r="C48" s="47"/>
      <c r="D48" s="47"/>
      <c r="E48" s="47"/>
      <c r="F48" s="47"/>
      <c r="G48" s="47"/>
    </row>
    <row r="49">
      <c r="A49" s="47"/>
      <c r="B49" s="47"/>
      <c r="C49" s="47"/>
      <c r="D49" s="47"/>
      <c r="E49" s="47"/>
      <c r="F49" s="47"/>
      <c r="G49" s="47"/>
    </row>
    <row r="50">
      <c r="A50" s="47"/>
      <c r="B50" s="47"/>
      <c r="C50" s="47"/>
      <c r="D50" s="47"/>
      <c r="E50" s="47"/>
      <c r="F50" s="47"/>
      <c r="G50" s="47"/>
    </row>
    <row r="51">
      <c r="A51" s="47"/>
      <c r="B51" s="47"/>
      <c r="C51" s="47"/>
      <c r="D51" s="47"/>
      <c r="E51" s="47"/>
      <c r="F51" s="47"/>
      <c r="G51" s="47"/>
    </row>
    <row r="52">
      <c r="A52" s="47"/>
      <c r="B52" s="47"/>
      <c r="C52" s="47"/>
      <c r="D52" s="47"/>
      <c r="E52" s="47"/>
      <c r="F52" s="47"/>
      <c r="G52" s="47"/>
    </row>
    <row r="53">
      <c r="A53" s="47"/>
      <c r="B53" s="47"/>
      <c r="C53" s="47"/>
      <c r="D53" s="47"/>
      <c r="E53" s="47"/>
      <c r="F53" s="47"/>
      <c r="G53" s="47"/>
    </row>
    <row r="54">
      <c r="A54" s="47"/>
      <c r="B54" s="47"/>
      <c r="C54" s="47"/>
      <c r="D54" s="47"/>
      <c r="E54" s="47"/>
      <c r="F54" s="47"/>
      <c r="G54" s="47"/>
    </row>
    <row r="55">
      <c r="A55" s="47"/>
      <c r="B55" s="47"/>
      <c r="C55" s="47"/>
      <c r="D55" s="47"/>
      <c r="E55" s="47"/>
      <c r="F55" s="47"/>
      <c r="G55" s="47"/>
    </row>
    <row r="56">
      <c r="A56" s="47"/>
      <c r="B56" s="47"/>
      <c r="C56" s="47"/>
      <c r="D56" s="47"/>
      <c r="E56" s="47"/>
      <c r="F56" s="47"/>
      <c r="G56" s="47"/>
    </row>
    <row r="57">
      <c r="A57" s="47"/>
      <c r="B57" s="47"/>
      <c r="C57" s="47"/>
      <c r="D57" s="47"/>
      <c r="E57" s="47"/>
      <c r="F57" s="47"/>
      <c r="G57" s="47"/>
    </row>
    <row r="58">
      <c r="A58" s="47"/>
      <c r="B58" s="47"/>
      <c r="C58" s="47"/>
      <c r="D58" s="47"/>
      <c r="E58" s="47"/>
      <c r="F58" s="47"/>
      <c r="G58" s="47"/>
    </row>
    <row r="59">
      <c r="A59" s="47"/>
      <c r="B59" s="47"/>
      <c r="C59" s="47"/>
      <c r="D59" s="47"/>
      <c r="E59" s="47"/>
      <c r="F59" s="47"/>
      <c r="G59" s="47"/>
    </row>
    <row r="60">
      <c r="A60" s="47"/>
      <c r="B60" s="47"/>
      <c r="C60" s="47"/>
      <c r="D60" s="47"/>
      <c r="E60" s="47"/>
      <c r="F60" s="47"/>
      <c r="G60" s="47"/>
    </row>
    <row r="61">
      <c r="A61" s="47"/>
      <c r="B61" s="47"/>
      <c r="C61" s="47"/>
      <c r="D61" s="47"/>
      <c r="E61" s="47"/>
      <c r="F61" s="47"/>
      <c r="G61" s="47"/>
    </row>
    <row r="62">
      <c r="A62" s="47"/>
      <c r="B62" s="47"/>
      <c r="C62" s="47"/>
      <c r="D62" s="47"/>
      <c r="E62" s="47"/>
      <c r="F62" s="47"/>
      <c r="G62" s="47"/>
    </row>
    <row r="63">
      <c r="A63" s="47"/>
      <c r="B63" s="47"/>
      <c r="C63" s="47"/>
      <c r="D63" s="47"/>
      <c r="E63" s="47"/>
      <c r="F63" s="47"/>
      <c r="G63" s="47"/>
    </row>
    <row r="64">
      <c r="A64" s="47"/>
      <c r="B64" s="47"/>
      <c r="C64" s="47"/>
      <c r="D64" s="47"/>
      <c r="E64" s="47"/>
      <c r="F64" s="47"/>
      <c r="G64" s="47"/>
    </row>
    <row r="65">
      <c r="A65" s="47"/>
      <c r="B65" s="47"/>
      <c r="C65" s="47"/>
      <c r="D65" s="47"/>
      <c r="E65" s="47"/>
      <c r="F65" s="47"/>
      <c r="G65" s="47"/>
    </row>
    <row r="66">
      <c r="A66" s="47"/>
      <c r="B66" s="47"/>
      <c r="C66" s="47"/>
      <c r="D66" s="47"/>
      <c r="E66" s="47"/>
      <c r="F66" s="47"/>
      <c r="G66" s="47"/>
    </row>
    <row r="67">
      <c r="A67" s="47"/>
      <c r="B67" s="47"/>
      <c r="C67" s="47"/>
      <c r="D67" s="47"/>
      <c r="E67" s="47"/>
      <c r="F67" s="47"/>
      <c r="G67" s="47"/>
    </row>
    <row r="68">
      <c r="A68" s="47"/>
      <c r="B68" s="47"/>
      <c r="C68" s="47"/>
      <c r="D68" s="47"/>
      <c r="E68" s="47"/>
      <c r="F68" s="47"/>
      <c r="G68" s="47"/>
    </row>
    <row r="69">
      <c r="A69" s="47"/>
      <c r="B69" s="47"/>
      <c r="C69" s="47"/>
      <c r="D69" s="47"/>
      <c r="E69" s="47"/>
      <c r="F69" s="47"/>
      <c r="G69" s="47"/>
    </row>
    <row r="70">
      <c r="A70" s="47"/>
      <c r="B70" s="47"/>
      <c r="C70" s="47"/>
      <c r="D70" s="47"/>
      <c r="E70" s="47"/>
      <c r="F70" s="47"/>
      <c r="G70" s="47"/>
    </row>
    <row r="71">
      <c r="A71" s="47"/>
      <c r="B71" s="47"/>
      <c r="C71" s="47"/>
      <c r="D71" s="47"/>
      <c r="E71" s="47"/>
      <c r="F71" s="47"/>
      <c r="G71" s="47"/>
    </row>
    <row r="72">
      <c r="A72" s="47"/>
      <c r="B72" s="47"/>
      <c r="C72" s="47"/>
      <c r="D72" s="47"/>
      <c r="E72" s="47"/>
      <c r="F72" s="47"/>
      <c r="G72" s="47"/>
    </row>
    <row r="73">
      <c r="A73" s="47"/>
      <c r="B73" s="47"/>
      <c r="C73" s="47"/>
      <c r="D73" s="47"/>
      <c r="E73" s="47"/>
      <c r="F73" s="47"/>
      <c r="G73" s="47"/>
    </row>
    <row r="74">
      <c r="A74" s="47"/>
      <c r="B74" s="47"/>
      <c r="C74" s="47"/>
      <c r="D74" s="47"/>
      <c r="E74" s="47"/>
      <c r="F74" s="47"/>
      <c r="G74" s="47"/>
    </row>
    <row r="75">
      <c r="A75" s="47"/>
      <c r="B75" s="47"/>
      <c r="C75" s="47"/>
      <c r="D75" s="47"/>
      <c r="E75" s="47"/>
      <c r="F75" s="47"/>
      <c r="G75" s="47"/>
    </row>
    <row r="76">
      <c r="A76" s="47"/>
      <c r="B76" s="47"/>
      <c r="C76" s="47"/>
      <c r="D76" s="47"/>
      <c r="E76" s="47"/>
      <c r="F76" s="47"/>
      <c r="G76" s="47"/>
    </row>
    <row r="77">
      <c r="A77" s="47"/>
      <c r="B77" s="47"/>
      <c r="C77" s="47"/>
      <c r="D77" s="47"/>
      <c r="E77" s="47"/>
      <c r="F77" s="47"/>
      <c r="G77" s="47"/>
    </row>
    <row r="78">
      <c r="A78" s="47"/>
      <c r="B78" s="47"/>
      <c r="C78" s="47"/>
      <c r="D78" s="47"/>
      <c r="E78" s="47"/>
      <c r="F78" s="47"/>
      <c r="G78" s="47"/>
    </row>
    <row r="79">
      <c r="A79" s="47"/>
      <c r="B79" s="47"/>
      <c r="C79" s="47"/>
      <c r="D79" s="47"/>
      <c r="E79" s="47"/>
      <c r="F79" s="47"/>
      <c r="G79" s="47"/>
    </row>
    <row r="80">
      <c r="A80" s="47"/>
      <c r="B80" s="47"/>
      <c r="C80" s="47"/>
      <c r="D80" s="47"/>
      <c r="E80" s="47"/>
      <c r="F80" s="47"/>
      <c r="G80" s="47"/>
    </row>
    <row r="81">
      <c r="A81" s="47"/>
      <c r="B81" s="47"/>
      <c r="C81" s="47"/>
      <c r="D81" s="47"/>
      <c r="E81" s="47"/>
      <c r="F81" s="47"/>
      <c r="G81" s="47"/>
    </row>
    <row r="82">
      <c r="A82" s="47"/>
      <c r="B82" s="47"/>
      <c r="C82" s="47"/>
      <c r="D82" s="47"/>
      <c r="E82" s="47"/>
      <c r="F82" s="47"/>
      <c r="G82" s="47"/>
    </row>
    <row r="83">
      <c r="A83" s="47"/>
      <c r="B83" s="47"/>
      <c r="C83" s="47"/>
      <c r="D83" s="47"/>
      <c r="E83" s="47"/>
      <c r="F83" s="47"/>
      <c r="G83" s="47"/>
    </row>
    <row r="84">
      <c r="A84" s="47"/>
      <c r="B84" s="47"/>
      <c r="C84" s="47"/>
      <c r="D84" s="47"/>
      <c r="E84" s="47"/>
      <c r="F84" s="47"/>
      <c r="G84" s="47"/>
    </row>
    <row r="85">
      <c r="A85" s="47"/>
      <c r="B85" s="47"/>
      <c r="C85" s="47"/>
      <c r="D85" s="47"/>
      <c r="E85" s="47"/>
      <c r="F85" s="47"/>
      <c r="G85" s="47"/>
    </row>
    <row r="86">
      <c r="A86" s="47"/>
      <c r="B86" s="47"/>
      <c r="C86" s="47"/>
      <c r="D86" s="47"/>
      <c r="E86" s="47"/>
      <c r="F86" s="47"/>
      <c r="G86" s="47"/>
    </row>
    <row r="87">
      <c r="A87" s="47"/>
      <c r="B87" s="47"/>
      <c r="C87" s="47"/>
      <c r="D87" s="47"/>
      <c r="E87" s="47"/>
      <c r="F87" s="47"/>
      <c r="G87" s="47"/>
    </row>
    <row r="88">
      <c r="A88" s="47"/>
      <c r="B88" s="47"/>
      <c r="C88" s="47"/>
      <c r="D88" s="47"/>
      <c r="E88" s="47"/>
      <c r="F88" s="47"/>
      <c r="G88" s="47"/>
    </row>
    <row r="89">
      <c r="A89" s="47"/>
      <c r="B89" s="47"/>
      <c r="C89" s="47"/>
      <c r="D89" s="47"/>
      <c r="E89" s="47"/>
      <c r="F89" s="47"/>
      <c r="G89" s="47"/>
    </row>
    <row r="90">
      <c r="A90" s="47"/>
      <c r="B90" s="47"/>
      <c r="C90" s="47"/>
      <c r="D90" s="47"/>
      <c r="E90" s="47"/>
      <c r="F90" s="47"/>
      <c r="G90" s="47"/>
    </row>
    <row r="91">
      <c r="A91" s="47"/>
      <c r="B91" s="47"/>
      <c r="C91" s="47"/>
      <c r="D91" s="47"/>
      <c r="E91" s="47"/>
      <c r="F91" s="47"/>
      <c r="G91" s="47"/>
    </row>
    <row r="92">
      <c r="A92" s="47"/>
      <c r="B92" s="47"/>
      <c r="C92" s="47"/>
      <c r="D92" s="47"/>
      <c r="E92" s="47"/>
      <c r="F92" s="47"/>
      <c r="G92" s="47"/>
    </row>
    <row r="93">
      <c r="A93" s="47"/>
      <c r="B93" s="47"/>
      <c r="C93" s="47"/>
      <c r="D93" s="47"/>
      <c r="E93" s="47"/>
      <c r="F93" s="47"/>
      <c r="G93" s="47"/>
    </row>
    <row r="94">
      <c r="A94" s="47"/>
      <c r="B94" s="47"/>
      <c r="C94" s="47"/>
      <c r="D94" s="47"/>
      <c r="E94" s="47"/>
      <c r="F94" s="47"/>
      <c r="G94" s="47"/>
    </row>
    <row r="95">
      <c r="A95" s="47"/>
      <c r="B95" s="47"/>
      <c r="C95" s="47"/>
      <c r="D95" s="47"/>
      <c r="E95" s="47"/>
      <c r="F95" s="47"/>
      <c r="G95" s="47"/>
    </row>
    <row r="96">
      <c r="A96" s="47"/>
      <c r="B96" s="47"/>
      <c r="C96" s="47"/>
      <c r="D96" s="47"/>
      <c r="E96" s="47"/>
      <c r="F96" s="47"/>
      <c r="G96" s="47"/>
    </row>
    <row r="97">
      <c r="A97" s="47"/>
      <c r="B97" s="47"/>
      <c r="C97" s="47"/>
      <c r="D97" s="47"/>
      <c r="E97" s="47"/>
      <c r="F97" s="47"/>
      <c r="G97" s="47"/>
    </row>
    <row r="98">
      <c r="A98" s="47"/>
      <c r="B98" s="47"/>
      <c r="C98" s="47"/>
      <c r="D98" s="47"/>
      <c r="E98" s="47"/>
      <c r="F98" s="47"/>
      <c r="G98" s="47"/>
    </row>
    <row r="99">
      <c r="A99" s="47"/>
      <c r="B99" s="47"/>
      <c r="C99" s="47"/>
      <c r="D99" s="47"/>
      <c r="E99" s="47"/>
      <c r="F99" s="47"/>
      <c r="G99" s="47"/>
    </row>
    <row r="100">
      <c r="A100" s="47"/>
      <c r="B100" s="47"/>
      <c r="C100" s="47"/>
      <c r="D100" s="47"/>
      <c r="E100" s="47"/>
      <c r="F100" s="47"/>
      <c r="G100" s="47"/>
    </row>
    <row r="101">
      <c r="A101" s="47"/>
      <c r="B101" s="47"/>
      <c r="C101" s="47"/>
      <c r="D101" s="47"/>
      <c r="E101" s="47"/>
      <c r="F101" s="47"/>
      <c r="G101" s="47"/>
    </row>
    <row r="102">
      <c r="A102" s="47"/>
      <c r="B102" s="47"/>
      <c r="C102" s="47"/>
      <c r="D102" s="47"/>
      <c r="E102" s="47"/>
      <c r="F102" s="47"/>
      <c r="G102" s="47"/>
    </row>
    <row r="103">
      <c r="A103" s="47"/>
      <c r="B103" s="47"/>
      <c r="C103" s="47"/>
      <c r="D103" s="47"/>
      <c r="E103" s="47"/>
      <c r="F103" s="47"/>
      <c r="G103" s="47"/>
    </row>
    <row r="104">
      <c r="A104" s="47"/>
      <c r="B104" s="47"/>
      <c r="C104" s="47"/>
      <c r="D104" s="47"/>
      <c r="E104" s="47"/>
      <c r="F104" s="47"/>
      <c r="G104" s="47"/>
    </row>
    <row r="105">
      <c r="A105" s="47"/>
      <c r="B105" s="47"/>
      <c r="C105" s="47"/>
      <c r="D105" s="47"/>
      <c r="E105" s="47"/>
      <c r="F105" s="47"/>
      <c r="G105" s="47"/>
    </row>
    <row r="106">
      <c r="A106" s="47"/>
      <c r="B106" s="47"/>
      <c r="C106" s="47"/>
      <c r="D106" s="47"/>
      <c r="E106" s="47"/>
      <c r="F106" s="47"/>
      <c r="G106" s="47"/>
    </row>
    <row r="107">
      <c r="A107" s="47"/>
      <c r="B107" s="47"/>
      <c r="C107" s="47"/>
      <c r="D107" s="47"/>
      <c r="E107" s="47"/>
      <c r="F107" s="47"/>
      <c r="G107" s="47"/>
    </row>
    <row r="108">
      <c r="A108" s="47"/>
      <c r="B108" s="47"/>
      <c r="C108" s="47"/>
      <c r="D108" s="47"/>
      <c r="E108" s="47"/>
      <c r="F108" s="47"/>
      <c r="G108" s="47"/>
    </row>
    <row r="109">
      <c r="A109" s="47"/>
      <c r="B109" s="47"/>
      <c r="C109" s="47"/>
      <c r="D109" s="47"/>
      <c r="E109" s="47"/>
      <c r="F109" s="47"/>
      <c r="G109" s="47"/>
    </row>
    <row r="110">
      <c r="A110" s="47"/>
      <c r="B110" s="47"/>
      <c r="C110" s="47"/>
      <c r="D110" s="47"/>
      <c r="E110" s="47"/>
      <c r="F110" s="47"/>
      <c r="G110" s="47"/>
    </row>
    <row r="111">
      <c r="A111" s="47"/>
      <c r="B111" s="47"/>
      <c r="C111" s="47"/>
      <c r="D111" s="47"/>
      <c r="E111" s="47"/>
      <c r="F111" s="47"/>
      <c r="G111" s="47"/>
    </row>
    <row r="112">
      <c r="A112" s="47"/>
      <c r="B112" s="47"/>
      <c r="C112" s="47"/>
      <c r="D112" s="47"/>
      <c r="E112" s="47"/>
      <c r="F112" s="47"/>
      <c r="G112" s="47"/>
    </row>
    <row r="113">
      <c r="A113" s="47"/>
      <c r="B113" s="47"/>
      <c r="C113" s="47"/>
      <c r="D113" s="47"/>
      <c r="E113" s="47"/>
      <c r="F113" s="47"/>
      <c r="G113" s="47"/>
    </row>
    <row r="114">
      <c r="A114" s="47"/>
      <c r="B114" s="47"/>
      <c r="C114" s="47"/>
      <c r="D114" s="47"/>
      <c r="E114" s="47"/>
      <c r="F114" s="47"/>
      <c r="G114" s="47"/>
    </row>
    <row r="115">
      <c r="A115" s="47"/>
      <c r="B115" s="47"/>
      <c r="C115" s="47"/>
      <c r="D115" s="47"/>
      <c r="E115" s="47"/>
      <c r="F115" s="47"/>
      <c r="G115" s="47"/>
    </row>
    <row r="116">
      <c r="A116" s="47"/>
      <c r="B116" s="47"/>
      <c r="C116" s="47"/>
      <c r="D116" s="47"/>
      <c r="E116" s="47"/>
      <c r="F116" s="47"/>
      <c r="G116" s="47"/>
    </row>
    <row r="117">
      <c r="A117" s="47"/>
      <c r="B117" s="47"/>
      <c r="C117" s="47"/>
      <c r="D117" s="47"/>
      <c r="E117" s="47"/>
      <c r="F117" s="47"/>
      <c r="G117" s="47"/>
    </row>
    <row r="118">
      <c r="A118" s="47"/>
      <c r="B118" s="47"/>
      <c r="C118" s="47"/>
      <c r="D118" s="47"/>
      <c r="E118" s="47"/>
      <c r="F118" s="47"/>
      <c r="G118" s="47"/>
    </row>
    <row r="119">
      <c r="A119" s="47"/>
      <c r="B119" s="47"/>
      <c r="C119" s="47"/>
      <c r="D119" s="47"/>
      <c r="E119" s="47"/>
      <c r="F119" s="47"/>
      <c r="G119" s="47"/>
    </row>
    <row r="120">
      <c r="A120" s="47"/>
      <c r="B120" s="47"/>
      <c r="C120" s="47"/>
      <c r="D120" s="47"/>
      <c r="E120" s="47"/>
      <c r="F120" s="47"/>
      <c r="G120" s="47"/>
    </row>
    <row r="121">
      <c r="A121" s="47"/>
      <c r="B121" s="47"/>
      <c r="C121" s="47"/>
      <c r="D121" s="47"/>
      <c r="E121" s="47"/>
      <c r="F121" s="47"/>
      <c r="G121" s="47"/>
    </row>
    <row r="122">
      <c r="A122" s="47"/>
      <c r="B122" s="47"/>
      <c r="C122" s="47"/>
      <c r="D122" s="47"/>
      <c r="E122" s="47"/>
      <c r="F122" s="47"/>
      <c r="G122" s="47"/>
    </row>
    <row r="123">
      <c r="A123" s="47"/>
      <c r="B123" s="47"/>
      <c r="C123" s="47"/>
      <c r="D123" s="47"/>
      <c r="E123" s="47"/>
      <c r="F123" s="47"/>
      <c r="G123" s="47"/>
    </row>
    <row r="124">
      <c r="A124" s="47"/>
      <c r="B124" s="47"/>
      <c r="C124" s="47"/>
      <c r="D124" s="47"/>
      <c r="E124" s="47"/>
      <c r="F124" s="47"/>
      <c r="G124" s="47"/>
    </row>
    <row r="125">
      <c r="A125" s="47"/>
      <c r="B125" s="47"/>
      <c r="C125" s="47"/>
      <c r="D125" s="47"/>
      <c r="E125" s="47"/>
      <c r="F125" s="47"/>
      <c r="G125" s="47"/>
    </row>
    <row r="126">
      <c r="A126" s="47"/>
      <c r="B126" s="47"/>
      <c r="C126" s="47"/>
      <c r="D126" s="47"/>
      <c r="E126" s="47"/>
      <c r="F126" s="47"/>
      <c r="G126" s="47"/>
    </row>
    <row r="127">
      <c r="A127" s="47"/>
      <c r="B127" s="47"/>
      <c r="C127" s="47"/>
      <c r="D127" s="47"/>
      <c r="E127" s="47"/>
      <c r="F127" s="47"/>
      <c r="G127" s="47"/>
    </row>
    <row r="128">
      <c r="A128" s="47"/>
      <c r="B128" s="47"/>
      <c r="C128" s="47"/>
      <c r="D128" s="47"/>
      <c r="E128" s="47"/>
      <c r="F128" s="47"/>
      <c r="G128" s="47"/>
    </row>
    <row r="129">
      <c r="A129" s="47"/>
      <c r="B129" s="47"/>
      <c r="C129" s="47"/>
      <c r="D129" s="47"/>
      <c r="E129" s="47"/>
      <c r="F129" s="47"/>
      <c r="G129" s="47"/>
    </row>
    <row r="130">
      <c r="A130" s="47"/>
      <c r="B130" s="47"/>
      <c r="C130" s="47"/>
      <c r="D130" s="47"/>
      <c r="E130" s="47"/>
      <c r="F130" s="47"/>
      <c r="G130" s="47"/>
    </row>
    <row r="131">
      <c r="A131" s="47"/>
      <c r="B131" s="47"/>
      <c r="C131" s="47"/>
      <c r="D131" s="47"/>
      <c r="E131" s="47"/>
      <c r="F131" s="47"/>
      <c r="G131" s="47"/>
    </row>
    <row r="132">
      <c r="A132" s="47"/>
      <c r="B132" s="47"/>
      <c r="C132" s="47"/>
      <c r="D132" s="47"/>
      <c r="E132" s="47"/>
      <c r="F132" s="47"/>
      <c r="G132" s="47"/>
    </row>
    <row r="133">
      <c r="A133" s="47"/>
      <c r="B133" s="47"/>
      <c r="C133" s="47"/>
      <c r="D133" s="47"/>
      <c r="E133" s="47"/>
      <c r="F133" s="47"/>
      <c r="G133" s="47"/>
    </row>
    <row r="134">
      <c r="A134" s="47"/>
      <c r="B134" s="47"/>
      <c r="C134" s="47"/>
      <c r="D134" s="47"/>
      <c r="E134" s="47"/>
      <c r="F134" s="47"/>
      <c r="G134" s="47"/>
    </row>
    <row r="135">
      <c r="A135" s="47"/>
      <c r="B135" s="47"/>
      <c r="C135" s="47"/>
      <c r="D135" s="47"/>
      <c r="E135" s="47"/>
      <c r="F135" s="47"/>
      <c r="G135" s="47"/>
    </row>
    <row r="136">
      <c r="A136" s="47"/>
      <c r="B136" s="47"/>
      <c r="C136" s="47"/>
      <c r="D136" s="47"/>
      <c r="E136" s="47"/>
      <c r="F136" s="47"/>
      <c r="G136" s="47"/>
    </row>
    <row r="137">
      <c r="A137" s="47"/>
      <c r="B137" s="47"/>
      <c r="C137" s="47"/>
      <c r="D137" s="47"/>
      <c r="E137" s="47"/>
      <c r="F137" s="47"/>
      <c r="G137" s="47"/>
    </row>
    <row r="138">
      <c r="A138" s="47"/>
      <c r="B138" s="47"/>
      <c r="C138" s="47"/>
      <c r="D138" s="47"/>
      <c r="E138" s="47"/>
      <c r="F138" s="47"/>
      <c r="G138" s="47"/>
    </row>
    <row r="139">
      <c r="A139" s="47"/>
      <c r="B139" s="47"/>
      <c r="C139" s="47"/>
      <c r="D139" s="47"/>
      <c r="E139" s="47"/>
      <c r="F139" s="47"/>
      <c r="G139" s="47"/>
    </row>
    <row r="140">
      <c r="A140" s="47"/>
      <c r="B140" s="47"/>
      <c r="C140" s="47"/>
      <c r="D140" s="47"/>
      <c r="E140" s="47"/>
      <c r="F140" s="47"/>
      <c r="G140" s="47"/>
    </row>
    <row r="141">
      <c r="A141" s="47"/>
      <c r="B141" s="47"/>
      <c r="C141" s="47"/>
      <c r="D141" s="47"/>
      <c r="E141" s="47"/>
      <c r="F141" s="47"/>
      <c r="G141" s="47"/>
    </row>
    <row r="142">
      <c r="A142" s="47"/>
      <c r="B142" s="47"/>
      <c r="C142" s="47"/>
      <c r="D142" s="47"/>
      <c r="E142" s="47"/>
      <c r="F142" s="47"/>
      <c r="G142" s="47"/>
    </row>
    <row r="143">
      <c r="A143" s="47"/>
      <c r="B143" s="47"/>
      <c r="C143" s="47"/>
      <c r="D143" s="47"/>
      <c r="E143" s="47"/>
      <c r="F143" s="47"/>
      <c r="G143" s="47"/>
    </row>
    <row r="144">
      <c r="A144" s="47"/>
      <c r="B144" s="47"/>
      <c r="C144" s="47"/>
      <c r="D144" s="47"/>
      <c r="E144" s="47"/>
      <c r="F144" s="47"/>
      <c r="G144" s="47"/>
    </row>
    <row r="145">
      <c r="A145" s="47"/>
      <c r="B145" s="47"/>
      <c r="C145" s="47"/>
      <c r="D145" s="47"/>
      <c r="E145" s="47"/>
      <c r="F145" s="47"/>
      <c r="G145" s="47"/>
    </row>
    <row r="146">
      <c r="A146" s="47"/>
      <c r="B146" s="47"/>
      <c r="C146" s="47"/>
      <c r="D146" s="47"/>
      <c r="E146" s="47"/>
      <c r="F146" s="47"/>
      <c r="G146" s="47"/>
    </row>
    <row r="147">
      <c r="A147" s="47"/>
      <c r="B147" s="47"/>
      <c r="C147" s="47"/>
      <c r="D147" s="47"/>
      <c r="E147" s="47"/>
      <c r="F147" s="47"/>
      <c r="G147" s="47"/>
    </row>
    <row r="148">
      <c r="A148" s="47"/>
      <c r="B148" s="47"/>
      <c r="C148" s="47"/>
      <c r="D148" s="47"/>
      <c r="E148" s="47"/>
      <c r="F148" s="47"/>
      <c r="G148" s="47"/>
    </row>
    <row r="149">
      <c r="A149" s="47"/>
      <c r="B149" s="47"/>
      <c r="C149" s="47"/>
      <c r="D149" s="47"/>
      <c r="E149" s="47"/>
      <c r="F149" s="47"/>
      <c r="G149" s="47"/>
    </row>
    <row r="150">
      <c r="A150" s="47"/>
      <c r="B150" s="47"/>
      <c r="C150" s="47"/>
      <c r="D150" s="47"/>
      <c r="E150" s="47"/>
      <c r="F150" s="47"/>
      <c r="G150" s="47"/>
    </row>
    <row r="151">
      <c r="A151" s="47"/>
      <c r="B151" s="47"/>
      <c r="C151" s="47"/>
      <c r="D151" s="47"/>
      <c r="E151" s="47"/>
      <c r="F151" s="47"/>
      <c r="G151" s="47"/>
    </row>
    <row r="152">
      <c r="A152" s="47"/>
      <c r="B152" s="47"/>
      <c r="C152" s="47"/>
      <c r="D152" s="47"/>
      <c r="E152" s="47"/>
      <c r="F152" s="47"/>
      <c r="G152" s="47"/>
    </row>
    <row r="153">
      <c r="A153" s="47"/>
      <c r="B153" s="47"/>
      <c r="C153" s="47"/>
      <c r="D153" s="47"/>
      <c r="E153" s="47"/>
      <c r="F153" s="47"/>
      <c r="G153" s="47"/>
    </row>
    <row r="154">
      <c r="A154" s="47"/>
      <c r="B154" s="47"/>
      <c r="C154" s="47"/>
      <c r="D154" s="47"/>
      <c r="E154" s="47"/>
      <c r="F154" s="47"/>
      <c r="G154" s="47"/>
    </row>
    <row r="155">
      <c r="A155" s="47"/>
      <c r="B155" s="47"/>
      <c r="C155" s="47"/>
      <c r="D155" s="47"/>
      <c r="E155" s="47"/>
      <c r="F155" s="47"/>
      <c r="G155" s="47"/>
    </row>
    <row r="156">
      <c r="A156" s="47"/>
      <c r="B156" s="47"/>
      <c r="C156" s="47"/>
      <c r="D156" s="47"/>
      <c r="E156" s="47"/>
      <c r="F156" s="47"/>
      <c r="G156" s="47"/>
    </row>
    <row r="157">
      <c r="A157" s="47"/>
      <c r="B157" s="47"/>
      <c r="C157" s="47"/>
      <c r="D157" s="47"/>
      <c r="E157" s="47"/>
      <c r="F157" s="47"/>
      <c r="G157" s="47"/>
    </row>
    <row r="158">
      <c r="A158" s="47"/>
      <c r="B158" s="47"/>
      <c r="C158" s="47"/>
      <c r="D158" s="47"/>
      <c r="E158" s="47"/>
      <c r="F158" s="47"/>
      <c r="G158" s="47"/>
    </row>
    <row r="159">
      <c r="A159" s="47"/>
      <c r="B159" s="47"/>
      <c r="C159" s="47"/>
      <c r="D159" s="47"/>
      <c r="E159" s="47"/>
      <c r="F159" s="47"/>
      <c r="G159" s="47"/>
    </row>
    <row r="160">
      <c r="A160" s="47"/>
      <c r="B160" s="47"/>
      <c r="C160" s="47"/>
      <c r="D160" s="47"/>
      <c r="E160" s="47"/>
      <c r="F160" s="47"/>
      <c r="G160" s="47"/>
    </row>
    <row r="161">
      <c r="A161" s="47"/>
      <c r="B161" s="47"/>
      <c r="C161" s="47"/>
      <c r="D161" s="47"/>
      <c r="E161" s="47"/>
      <c r="F161" s="47"/>
      <c r="G161" s="47"/>
    </row>
    <row r="162">
      <c r="A162" s="47"/>
      <c r="B162" s="47"/>
      <c r="C162" s="47"/>
      <c r="D162" s="47"/>
      <c r="E162" s="47"/>
      <c r="F162" s="47"/>
      <c r="G162" s="47"/>
    </row>
    <row r="163">
      <c r="A163" s="47"/>
      <c r="B163" s="47"/>
      <c r="C163" s="47"/>
      <c r="D163" s="47"/>
      <c r="E163" s="47"/>
      <c r="F163" s="47"/>
      <c r="G163" s="47"/>
    </row>
    <row r="164">
      <c r="A164" s="47"/>
      <c r="B164" s="47"/>
      <c r="C164" s="47"/>
      <c r="D164" s="47"/>
      <c r="E164" s="47"/>
      <c r="F164" s="47"/>
      <c r="G164" s="47"/>
    </row>
    <row r="165">
      <c r="A165" s="47"/>
      <c r="B165" s="47"/>
      <c r="C165" s="47"/>
      <c r="D165" s="47"/>
      <c r="E165" s="47"/>
      <c r="F165" s="47"/>
      <c r="G165" s="47"/>
    </row>
    <row r="166">
      <c r="A166" s="47"/>
      <c r="B166" s="47"/>
      <c r="C166" s="47"/>
      <c r="D166" s="47"/>
      <c r="E166" s="47"/>
      <c r="F166" s="47"/>
      <c r="G166" s="47"/>
    </row>
    <row r="167">
      <c r="A167" s="47"/>
      <c r="B167" s="47"/>
      <c r="C167" s="47"/>
      <c r="D167" s="47"/>
      <c r="E167" s="47"/>
      <c r="F167" s="47"/>
      <c r="G167" s="47"/>
    </row>
    <row r="168">
      <c r="A168" s="47"/>
      <c r="B168" s="47"/>
      <c r="C168" s="47"/>
      <c r="D168" s="47"/>
      <c r="E168" s="47"/>
      <c r="F168" s="47"/>
      <c r="G168" s="47"/>
    </row>
    <row r="169">
      <c r="A169" s="47"/>
      <c r="B169" s="47"/>
      <c r="C169" s="47"/>
      <c r="D169" s="47"/>
      <c r="E169" s="47"/>
      <c r="F169" s="47"/>
      <c r="G169" s="47"/>
    </row>
    <row r="170">
      <c r="A170" s="47"/>
      <c r="B170" s="47"/>
      <c r="C170" s="47"/>
      <c r="D170" s="47"/>
      <c r="E170" s="47"/>
      <c r="F170" s="47"/>
      <c r="G170" s="47"/>
    </row>
    <row r="171">
      <c r="A171" s="47"/>
      <c r="B171" s="47"/>
      <c r="C171" s="47"/>
      <c r="D171" s="47"/>
      <c r="E171" s="47"/>
      <c r="F171" s="47"/>
      <c r="G171" s="47"/>
    </row>
    <row r="172">
      <c r="A172" s="47"/>
      <c r="B172" s="47"/>
      <c r="C172" s="47"/>
      <c r="D172" s="47"/>
      <c r="E172" s="47"/>
      <c r="F172" s="47"/>
      <c r="G172" s="47"/>
    </row>
    <row r="173">
      <c r="A173" s="47"/>
      <c r="B173" s="47"/>
      <c r="C173" s="47"/>
      <c r="D173" s="47"/>
      <c r="E173" s="47"/>
      <c r="F173" s="47"/>
      <c r="G173" s="47"/>
    </row>
    <row r="174">
      <c r="A174" s="47"/>
      <c r="B174" s="47"/>
      <c r="C174" s="47"/>
      <c r="D174" s="47"/>
      <c r="E174" s="47"/>
      <c r="F174" s="47"/>
      <c r="G174" s="47"/>
    </row>
    <row r="175">
      <c r="A175" s="47"/>
      <c r="B175" s="47"/>
      <c r="C175" s="47"/>
      <c r="D175" s="47"/>
      <c r="E175" s="47"/>
      <c r="F175" s="47"/>
      <c r="G175" s="47"/>
    </row>
    <row r="176">
      <c r="A176" s="47"/>
      <c r="B176" s="47"/>
      <c r="C176" s="47"/>
      <c r="D176" s="47"/>
      <c r="E176" s="47"/>
      <c r="F176" s="47"/>
      <c r="G176" s="47"/>
    </row>
    <row r="177">
      <c r="A177" s="47"/>
      <c r="B177" s="47"/>
      <c r="C177" s="47"/>
      <c r="D177" s="47"/>
      <c r="E177" s="47"/>
      <c r="F177" s="47"/>
      <c r="G177" s="47"/>
    </row>
    <row r="178">
      <c r="A178" s="47"/>
      <c r="B178" s="47"/>
      <c r="C178" s="47"/>
      <c r="D178" s="47"/>
      <c r="E178" s="47"/>
      <c r="F178" s="47"/>
      <c r="G178" s="47"/>
    </row>
    <row r="179">
      <c r="A179" s="47"/>
      <c r="B179" s="47"/>
      <c r="C179" s="47"/>
      <c r="D179" s="47"/>
      <c r="E179" s="47"/>
      <c r="F179" s="47"/>
      <c r="G179" s="47"/>
    </row>
    <row r="180">
      <c r="A180" s="47"/>
      <c r="B180" s="47"/>
      <c r="C180" s="47"/>
      <c r="D180" s="47"/>
      <c r="E180" s="47"/>
      <c r="F180" s="47"/>
      <c r="G180" s="47"/>
    </row>
    <row r="181">
      <c r="A181" s="47"/>
      <c r="B181" s="47"/>
      <c r="C181" s="47"/>
      <c r="D181" s="47"/>
      <c r="E181" s="47"/>
      <c r="F181" s="47"/>
      <c r="G181" s="47"/>
    </row>
    <row r="182">
      <c r="A182" s="47"/>
      <c r="B182" s="47"/>
      <c r="C182" s="47"/>
      <c r="D182" s="47"/>
      <c r="E182" s="47"/>
      <c r="F182" s="47"/>
      <c r="G182" s="47"/>
    </row>
    <row r="183">
      <c r="A183" s="47"/>
      <c r="B183" s="47"/>
      <c r="C183" s="47"/>
      <c r="D183" s="47"/>
      <c r="E183" s="47"/>
      <c r="F183" s="47"/>
      <c r="G183" s="47"/>
    </row>
    <row r="184">
      <c r="A184" s="47"/>
      <c r="B184" s="47"/>
      <c r="C184" s="47"/>
      <c r="D184" s="47"/>
      <c r="E184" s="47"/>
      <c r="F184" s="47"/>
      <c r="G184" s="47"/>
    </row>
    <row r="185">
      <c r="A185" s="47"/>
      <c r="B185" s="47"/>
      <c r="C185" s="47"/>
      <c r="D185" s="47"/>
      <c r="E185" s="47"/>
      <c r="F185" s="47"/>
      <c r="G185" s="47"/>
    </row>
    <row r="186">
      <c r="A186" s="47"/>
      <c r="B186" s="47"/>
      <c r="C186" s="47"/>
      <c r="D186" s="47"/>
      <c r="E186" s="47"/>
      <c r="F186" s="47"/>
      <c r="G186" s="47"/>
    </row>
    <row r="187">
      <c r="A187" s="47"/>
      <c r="B187" s="47"/>
      <c r="C187" s="47"/>
      <c r="D187" s="47"/>
      <c r="E187" s="47"/>
      <c r="F187" s="47"/>
      <c r="G187" s="47"/>
    </row>
    <row r="188">
      <c r="A188" s="47"/>
      <c r="B188" s="47"/>
      <c r="C188" s="47"/>
      <c r="D188" s="47"/>
      <c r="E188" s="47"/>
      <c r="F188" s="47"/>
      <c r="G188" s="47"/>
    </row>
    <row r="189">
      <c r="A189" s="47"/>
      <c r="B189" s="47"/>
      <c r="C189" s="47"/>
      <c r="D189" s="47"/>
      <c r="E189" s="47"/>
      <c r="F189" s="47"/>
      <c r="G189" s="47"/>
    </row>
    <row r="190">
      <c r="A190" s="47"/>
      <c r="B190" s="47"/>
      <c r="C190" s="47"/>
      <c r="D190" s="47"/>
      <c r="E190" s="47"/>
      <c r="F190" s="47"/>
      <c r="G190" s="47"/>
    </row>
    <row r="191">
      <c r="A191" s="47"/>
      <c r="B191" s="47"/>
      <c r="C191" s="47"/>
      <c r="D191" s="47"/>
      <c r="E191" s="47"/>
      <c r="F191" s="47"/>
      <c r="G191" s="47"/>
    </row>
    <row r="192">
      <c r="A192" s="47"/>
      <c r="B192" s="47"/>
      <c r="C192" s="47"/>
      <c r="D192" s="47"/>
      <c r="E192" s="47"/>
      <c r="F192" s="47"/>
      <c r="G192" s="47"/>
    </row>
    <row r="193">
      <c r="A193" s="47"/>
      <c r="B193" s="47"/>
      <c r="C193" s="47"/>
      <c r="D193" s="47"/>
      <c r="E193" s="47"/>
      <c r="F193" s="47"/>
      <c r="G193" s="47"/>
    </row>
    <row r="194">
      <c r="A194" s="47"/>
      <c r="B194" s="47"/>
      <c r="C194" s="47"/>
      <c r="D194" s="47"/>
      <c r="E194" s="47"/>
      <c r="F194" s="47"/>
      <c r="G194" s="47"/>
    </row>
    <row r="195">
      <c r="A195" s="47"/>
      <c r="B195" s="47"/>
      <c r="C195" s="47"/>
      <c r="D195" s="47"/>
      <c r="E195" s="47"/>
      <c r="F195" s="47"/>
      <c r="G195" s="47"/>
    </row>
    <row r="196">
      <c r="A196" s="47"/>
      <c r="B196" s="47"/>
      <c r="C196" s="47"/>
      <c r="D196" s="47"/>
      <c r="E196" s="47"/>
      <c r="F196" s="47"/>
      <c r="G196" s="47"/>
    </row>
    <row r="197">
      <c r="A197" s="47"/>
      <c r="B197" s="47"/>
      <c r="C197" s="47"/>
      <c r="D197" s="47"/>
      <c r="E197" s="47"/>
      <c r="F197" s="47"/>
      <c r="G197" s="47"/>
    </row>
    <row r="198">
      <c r="A198" s="47"/>
      <c r="B198" s="47"/>
      <c r="C198" s="47"/>
      <c r="D198" s="47"/>
      <c r="E198" s="47"/>
      <c r="F198" s="47"/>
      <c r="G198" s="47"/>
    </row>
    <row r="199">
      <c r="A199" s="47"/>
      <c r="B199" s="47"/>
      <c r="C199" s="47"/>
      <c r="D199" s="47"/>
      <c r="E199" s="47"/>
      <c r="F199" s="47"/>
      <c r="G199" s="47"/>
    </row>
    <row r="200">
      <c r="A200" s="47"/>
      <c r="B200" s="47"/>
      <c r="C200" s="47"/>
      <c r="D200" s="47"/>
      <c r="E200" s="47"/>
      <c r="F200" s="47"/>
      <c r="G200" s="47"/>
    </row>
    <row r="201">
      <c r="A201" s="47"/>
      <c r="B201" s="47"/>
      <c r="C201" s="47"/>
      <c r="D201" s="47"/>
      <c r="E201" s="47"/>
      <c r="F201" s="47"/>
      <c r="G201" s="47"/>
    </row>
    <row r="202">
      <c r="A202" s="47"/>
      <c r="B202" s="47"/>
      <c r="C202" s="47"/>
      <c r="D202" s="47"/>
      <c r="E202" s="47"/>
      <c r="F202" s="47"/>
      <c r="G202" s="47"/>
    </row>
    <row r="203">
      <c r="A203" s="47"/>
      <c r="B203" s="47"/>
      <c r="C203" s="47"/>
      <c r="D203" s="47"/>
      <c r="E203" s="47"/>
      <c r="F203" s="47"/>
      <c r="G203" s="47"/>
    </row>
    <row r="204">
      <c r="A204" s="47"/>
      <c r="B204" s="47"/>
      <c r="C204" s="47"/>
      <c r="D204" s="47"/>
      <c r="E204" s="47"/>
      <c r="F204" s="47"/>
      <c r="G204" s="47"/>
    </row>
    <row r="205">
      <c r="A205" s="47"/>
      <c r="B205" s="47"/>
      <c r="C205" s="47"/>
      <c r="D205" s="47"/>
      <c r="E205" s="47"/>
      <c r="F205" s="47"/>
      <c r="G205" s="47"/>
    </row>
    <row r="206">
      <c r="A206" s="47"/>
      <c r="B206" s="47"/>
      <c r="C206" s="47"/>
      <c r="D206" s="47"/>
      <c r="E206" s="47"/>
      <c r="F206" s="47"/>
      <c r="G206" s="47"/>
    </row>
    <row r="207">
      <c r="A207" s="47"/>
      <c r="B207" s="47"/>
      <c r="C207" s="47"/>
      <c r="D207" s="47"/>
      <c r="E207" s="47"/>
      <c r="F207" s="47"/>
      <c r="G207" s="47"/>
    </row>
    <row r="208">
      <c r="A208" s="47"/>
      <c r="B208" s="47"/>
      <c r="C208" s="47"/>
      <c r="D208" s="47"/>
      <c r="E208" s="47"/>
      <c r="F208" s="47"/>
      <c r="G208" s="47"/>
    </row>
    <row r="209">
      <c r="A209" s="47"/>
      <c r="B209" s="47"/>
      <c r="C209" s="47"/>
      <c r="D209" s="47"/>
      <c r="E209" s="47"/>
      <c r="F209" s="47"/>
      <c r="G209" s="47"/>
    </row>
    <row r="210">
      <c r="A210" s="47"/>
      <c r="B210" s="47"/>
      <c r="C210" s="47"/>
      <c r="D210" s="47"/>
      <c r="E210" s="47"/>
      <c r="F210" s="47"/>
      <c r="G210" s="47"/>
    </row>
    <row r="211">
      <c r="A211" s="47"/>
      <c r="B211" s="47"/>
      <c r="C211" s="47"/>
      <c r="D211" s="47"/>
      <c r="E211" s="47"/>
      <c r="F211" s="47"/>
      <c r="G211" s="47"/>
    </row>
    <row r="212">
      <c r="A212" s="47"/>
      <c r="B212" s="47"/>
      <c r="C212" s="47"/>
      <c r="D212" s="47"/>
      <c r="E212" s="47"/>
      <c r="F212" s="47"/>
      <c r="G212" s="47"/>
    </row>
    <row r="213">
      <c r="A213" s="47"/>
      <c r="B213" s="47"/>
      <c r="C213" s="47"/>
      <c r="D213" s="47"/>
      <c r="E213" s="47"/>
      <c r="F213" s="47"/>
      <c r="G213" s="47"/>
    </row>
    <row r="214">
      <c r="A214" s="47"/>
      <c r="B214" s="47"/>
      <c r="C214" s="47"/>
      <c r="D214" s="47"/>
      <c r="E214" s="47"/>
      <c r="F214" s="47"/>
      <c r="G214" s="47"/>
    </row>
    <row r="215">
      <c r="A215" s="47"/>
      <c r="B215" s="47"/>
      <c r="C215" s="47"/>
      <c r="D215" s="47"/>
      <c r="E215" s="47"/>
      <c r="F215" s="47"/>
      <c r="G215" s="47"/>
    </row>
    <row r="216">
      <c r="A216" s="47"/>
      <c r="B216" s="47"/>
      <c r="C216" s="47"/>
      <c r="D216" s="47"/>
      <c r="E216" s="47"/>
      <c r="F216" s="47"/>
      <c r="G216" s="47"/>
    </row>
    <row r="217">
      <c r="A217" s="47"/>
      <c r="B217" s="47"/>
      <c r="C217" s="47"/>
      <c r="D217" s="47"/>
      <c r="E217" s="47"/>
      <c r="F217" s="47"/>
      <c r="G217" s="47"/>
    </row>
    <row r="218">
      <c r="A218" s="47"/>
      <c r="B218" s="47"/>
      <c r="C218" s="47"/>
      <c r="D218" s="47"/>
      <c r="E218" s="47"/>
      <c r="F218" s="47"/>
      <c r="G218" s="47"/>
    </row>
    <row r="219">
      <c r="A219" s="47"/>
      <c r="B219" s="47"/>
      <c r="C219" s="47"/>
      <c r="D219" s="47"/>
      <c r="E219" s="47"/>
      <c r="F219" s="47"/>
      <c r="G219" s="47"/>
    </row>
    <row r="220">
      <c r="A220" s="47"/>
      <c r="B220" s="47"/>
      <c r="C220" s="47"/>
      <c r="D220" s="47"/>
      <c r="E220" s="47"/>
      <c r="F220" s="47"/>
      <c r="G220" s="47"/>
    </row>
    <row r="221">
      <c r="A221" s="47"/>
      <c r="B221" s="47"/>
      <c r="C221" s="47"/>
      <c r="D221" s="47"/>
      <c r="E221" s="47"/>
      <c r="F221" s="47"/>
      <c r="G221" s="47"/>
    </row>
    <row r="222">
      <c r="A222" s="47"/>
      <c r="B222" s="47"/>
      <c r="C222" s="47"/>
      <c r="D222" s="47"/>
      <c r="E222" s="47"/>
      <c r="F222" s="47"/>
      <c r="G222" s="47"/>
    </row>
    <row r="223">
      <c r="A223" s="47"/>
      <c r="B223" s="47"/>
      <c r="C223" s="47"/>
      <c r="D223" s="47"/>
      <c r="E223" s="47"/>
      <c r="F223" s="47"/>
      <c r="G223" s="47"/>
    </row>
    <row r="224">
      <c r="A224" s="47"/>
      <c r="B224" s="47"/>
      <c r="C224" s="47"/>
      <c r="D224" s="47"/>
      <c r="E224" s="47"/>
      <c r="F224" s="47"/>
      <c r="G224" s="47"/>
    </row>
    <row r="225">
      <c r="A225" s="47"/>
      <c r="B225" s="47"/>
      <c r="C225" s="47"/>
      <c r="D225" s="47"/>
      <c r="E225" s="47"/>
      <c r="F225" s="47"/>
      <c r="G225" s="47"/>
    </row>
    <row r="226">
      <c r="A226" s="47"/>
      <c r="B226" s="47"/>
      <c r="C226" s="47"/>
      <c r="D226" s="47"/>
      <c r="E226" s="47"/>
      <c r="F226" s="47"/>
      <c r="G226" s="47"/>
    </row>
    <row r="227">
      <c r="A227" s="47"/>
      <c r="B227" s="47"/>
      <c r="C227" s="47"/>
      <c r="D227" s="47"/>
      <c r="E227" s="47"/>
      <c r="F227" s="47"/>
      <c r="G227" s="47"/>
    </row>
    <row r="228">
      <c r="A228" s="47"/>
      <c r="B228" s="47"/>
      <c r="C228" s="47"/>
      <c r="D228" s="47"/>
      <c r="E228" s="47"/>
      <c r="F228" s="47"/>
      <c r="G228" s="47"/>
    </row>
    <row r="229">
      <c r="A229" s="47"/>
      <c r="B229" s="47"/>
      <c r="C229" s="47"/>
      <c r="D229" s="47"/>
      <c r="E229" s="47"/>
      <c r="F229" s="47"/>
      <c r="G229" s="47"/>
    </row>
    <row r="230">
      <c r="A230" s="47"/>
      <c r="B230" s="47"/>
      <c r="C230" s="47"/>
      <c r="D230" s="47"/>
      <c r="E230" s="47"/>
      <c r="F230" s="47"/>
      <c r="G230" s="47"/>
    </row>
    <row r="231">
      <c r="A231" s="47"/>
      <c r="B231" s="47"/>
      <c r="C231" s="47"/>
      <c r="D231" s="47"/>
      <c r="E231" s="47"/>
      <c r="F231" s="47"/>
      <c r="G231" s="47"/>
    </row>
    <row r="232">
      <c r="A232" s="47"/>
      <c r="B232" s="47"/>
      <c r="C232" s="47"/>
      <c r="D232" s="47"/>
      <c r="E232" s="47"/>
      <c r="F232" s="47"/>
      <c r="G232" s="47"/>
    </row>
    <row r="233">
      <c r="A233" s="47"/>
      <c r="B233" s="47"/>
      <c r="C233" s="47"/>
      <c r="D233" s="47"/>
      <c r="E233" s="47"/>
      <c r="F233" s="47"/>
      <c r="G233" s="47"/>
    </row>
    <row r="234">
      <c r="A234" s="47"/>
      <c r="B234" s="47"/>
      <c r="C234" s="47"/>
      <c r="D234" s="47"/>
      <c r="E234" s="47"/>
      <c r="F234" s="47"/>
      <c r="G234" s="47"/>
    </row>
    <row r="235">
      <c r="A235" s="47"/>
      <c r="B235" s="47"/>
      <c r="C235" s="47"/>
      <c r="D235" s="47"/>
      <c r="E235" s="47"/>
      <c r="F235" s="47"/>
      <c r="G235" s="47"/>
    </row>
    <row r="236">
      <c r="A236" s="47"/>
      <c r="B236" s="47"/>
      <c r="C236" s="47"/>
      <c r="D236" s="47"/>
      <c r="E236" s="47"/>
      <c r="F236" s="47"/>
      <c r="G236" s="47"/>
    </row>
    <row r="237">
      <c r="A237" s="47"/>
      <c r="B237" s="47"/>
      <c r="C237" s="47"/>
      <c r="D237" s="47"/>
      <c r="E237" s="47"/>
      <c r="F237" s="47"/>
      <c r="G237" s="47"/>
    </row>
    <row r="238">
      <c r="A238" s="47"/>
      <c r="B238" s="47"/>
      <c r="C238" s="47"/>
      <c r="D238" s="47"/>
      <c r="E238" s="47"/>
      <c r="F238" s="47"/>
      <c r="G238" s="47"/>
    </row>
    <row r="239">
      <c r="A239" s="47"/>
      <c r="B239" s="47"/>
      <c r="C239" s="47"/>
      <c r="D239" s="47"/>
      <c r="E239" s="47"/>
      <c r="F239" s="47"/>
      <c r="G239" s="47"/>
    </row>
    <row r="240">
      <c r="A240" s="47"/>
      <c r="B240" s="47"/>
      <c r="C240" s="47"/>
      <c r="D240" s="47"/>
      <c r="E240" s="47"/>
      <c r="F240" s="47"/>
      <c r="G240" s="47"/>
    </row>
    <row r="241">
      <c r="A241" s="47"/>
      <c r="B241" s="47"/>
      <c r="C241" s="47"/>
      <c r="D241" s="47"/>
      <c r="E241" s="47"/>
      <c r="F241" s="47"/>
      <c r="G241" s="47"/>
    </row>
    <row r="242">
      <c r="A242" s="47"/>
      <c r="B242" s="47"/>
      <c r="C242" s="47"/>
      <c r="D242" s="47"/>
      <c r="E242" s="47"/>
      <c r="F242" s="47"/>
      <c r="G242" s="47"/>
    </row>
    <row r="243">
      <c r="A243" s="47"/>
      <c r="B243" s="47"/>
      <c r="C243" s="47"/>
      <c r="D243" s="47"/>
      <c r="E243" s="47"/>
      <c r="F243" s="47"/>
      <c r="G243" s="47"/>
    </row>
    <row r="244">
      <c r="A244" s="47"/>
      <c r="B244" s="47"/>
      <c r="C244" s="47"/>
      <c r="D244" s="47"/>
      <c r="E244" s="47"/>
      <c r="F244" s="47"/>
      <c r="G244" s="47"/>
    </row>
    <row r="245">
      <c r="A245" s="47"/>
      <c r="B245" s="47"/>
      <c r="C245" s="47"/>
      <c r="D245" s="47"/>
      <c r="E245" s="47"/>
      <c r="F245" s="47"/>
      <c r="G245" s="47"/>
    </row>
    <row r="246">
      <c r="A246" s="47"/>
      <c r="B246" s="47"/>
      <c r="C246" s="47"/>
      <c r="D246" s="47"/>
      <c r="E246" s="47"/>
      <c r="F246" s="47"/>
      <c r="G246" s="47"/>
    </row>
    <row r="247">
      <c r="A247" s="47"/>
      <c r="B247" s="47"/>
      <c r="C247" s="47"/>
      <c r="D247" s="47"/>
      <c r="E247" s="47"/>
      <c r="F247" s="47"/>
      <c r="G247" s="47"/>
    </row>
    <row r="248">
      <c r="A248" s="47"/>
      <c r="B248" s="47"/>
      <c r="C248" s="47"/>
      <c r="D248" s="47"/>
      <c r="E248" s="47"/>
      <c r="F248" s="47"/>
      <c r="G248" s="47"/>
    </row>
    <row r="249">
      <c r="A249" s="47"/>
      <c r="B249" s="47"/>
      <c r="C249" s="47"/>
      <c r="D249" s="47"/>
      <c r="E249" s="47"/>
      <c r="F249" s="47"/>
      <c r="G249" s="47"/>
    </row>
    <row r="250">
      <c r="A250" s="47"/>
      <c r="B250" s="47"/>
      <c r="C250" s="47"/>
      <c r="D250" s="47"/>
      <c r="E250" s="47"/>
      <c r="F250" s="47"/>
      <c r="G250" s="47"/>
    </row>
    <row r="251">
      <c r="A251" s="47"/>
      <c r="B251" s="47"/>
      <c r="C251" s="47"/>
      <c r="D251" s="47"/>
      <c r="E251" s="47"/>
      <c r="F251" s="47"/>
      <c r="G251" s="47"/>
    </row>
    <row r="252">
      <c r="A252" s="47"/>
      <c r="B252" s="47"/>
      <c r="C252" s="47"/>
      <c r="D252" s="47"/>
      <c r="E252" s="47"/>
      <c r="F252" s="47"/>
      <c r="G252" s="47"/>
    </row>
    <row r="253">
      <c r="A253" s="47"/>
      <c r="B253" s="47"/>
      <c r="C253" s="47"/>
      <c r="D253" s="47"/>
      <c r="E253" s="47"/>
      <c r="F253" s="47"/>
      <c r="G253" s="47"/>
    </row>
    <row r="254">
      <c r="A254" s="47"/>
      <c r="B254" s="47"/>
      <c r="C254" s="47"/>
      <c r="D254" s="47"/>
      <c r="E254" s="47"/>
      <c r="F254" s="47"/>
      <c r="G254" s="47"/>
    </row>
    <row r="255">
      <c r="A255" s="47"/>
      <c r="B255" s="47"/>
      <c r="C255" s="47"/>
      <c r="D255" s="47"/>
      <c r="E255" s="47"/>
      <c r="F255" s="47"/>
      <c r="G255" s="47"/>
    </row>
    <row r="256">
      <c r="A256" s="47"/>
      <c r="B256" s="47"/>
      <c r="C256" s="47"/>
      <c r="D256" s="47"/>
      <c r="E256" s="47"/>
      <c r="F256" s="47"/>
      <c r="G256" s="47"/>
    </row>
    <row r="257">
      <c r="A257" s="47"/>
      <c r="B257" s="47"/>
      <c r="C257" s="47"/>
      <c r="D257" s="47"/>
      <c r="E257" s="47"/>
      <c r="F257" s="47"/>
      <c r="G257" s="47"/>
    </row>
    <row r="258">
      <c r="A258" s="47"/>
      <c r="B258" s="47"/>
      <c r="C258" s="47"/>
      <c r="D258" s="47"/>
      <c r="E258" s="47"/>
      <c r="F258" s="47"/>
      <c r="G258" s="47"/>
    </row>
    <row r="259">
      <c r="A259" s="47"/>
      <c r="B259" s="47"/>
      <c r="C259" s="47"/>
      <c r="D259" s="47"/>
      <c r="E259" s="47"/>
      <c r="F259" s="47"/>
      <c r="G259" s="47"/>
    </row>
    <row r="260">
      <c r="A260" s="47"/>
      <c r="B260" s="47"/>
      <c r="C260" s="47"/>
      <c r="D260" s="47"/>
      <c r="E260" s="47"/>
      <c r="F260" s="47"/>
      <c r="G260" s="47"/>
    </row>
    <row r="261">
      <c r="A261" s="47"/>
      <c r="B261" s="47"/>
      <c r="C261" s="47"/>
      <c r="D261" s="47"/>
      <c r="E261" s="47"/>
      <c r="F261" s="47"/>
      <c r="G261" s="47"/>
    </row>
    <row r="262">
      <c r="A262" s="47"/>
      <c r="B262" s="47"/>
      <c r="C262" s="47"/>
      <c r="D262" s="47"/>
      <c r="E262" s="47"/>
      <c r="F262" s="47"/>
      <c r="G262" s="47"/>
    </row>
    <row r="263">
      <c r="A263" s="47"/>
      <c r="B263" s="47"/>
      <c r="C263" s="47"/>
      <c r="D263" s="47"/>
      <c r="E263" s="47"/>
      <c r="F263" s="47"/>
      <c r="G263" s="47"/>
    </row>
    <row r="264">
      <c r="A264" s="47"/>
      <c r="B264" s="47"/>
      <c r="C264" s="47"/>
      <c r="D264" s="47"/>
      <c r="E264" s="47"/>
      <c r="F264" s="47"/>
      <c r="G264" s="47"/>
    </row>
    <row r="265">
      <c r="A265" s="47"/>
      <c r="B265" s="47"/>
      <c r="C265" s="47"/>
      <c r="D265" s="47"/>
      <c r="E265" s="47"/>
      <c r="F265" s="47"/>
      <c r="G265" s="47"/>
    </row>
    <row r="266">
      <c r="A266" s="47"/>
      <c r="B266" s="47"/>
      <c r="C266" s="47"/>
      <c r="D266" s="47"/>
      <c r="E266" s="47"/>
      <c r="F266" s="47"/>
      <c r="G266" s="47"/>
    </row>
    <row r="267">
      <c r="A267" s="47"/>
      <c r="B267" s="47"/>
      <c r="C267" s="47"/>
      <c r="D267" s="47"/>
      <c r="E267" s="47"/>
      <c r="F267" s="47"/>
      <c r="G267" s="47"/>
    </row>
    <row r="268">
      <c r="A268" s="47"/>
      <c r="B268" s="47"/>
      <c r="C268" s="47"/>
      <c r="D268" s="47"/>
      <c r="E268" s="47"/>
      <c r="F268" s="47"/>
      <c r="G268" s="47"/>
    </row>
    <row r="269">
      <c r="A269" s="47"/>
      <c r="B269" s="47"/>
      <c r="C269" s="47"/>
      <c r="D269" s="47"/>
      <c r="E269" s="47"/>
      <c r="F269" s="47"/>
      <c r="G269" s="47"/>
    </row>
    <row r="270">
      <c r="A270" s="47"/>
      <c r="B270" s="47"/>
      <c r="C270" s="47"/>
      <c r="D270" s="47"/>
      <c r="E270" s="47"/>
      <c r="F270" s="47"/>
      <c r="G270" s="47"/>
    </row>
    <row r="271">
      <c r="A271" s="47"/>
      <c r="B271" s="47"/>
      <c r="C271" s="47"/>
      <c r="D271" s="47"/>
      <c r="E271" s="47"/>
      <c r="F271" s="47"/>
      <c r="G271" s="47"/>
    </row>
    <row r="272">
      <c r="A272" s="47"/>
      <c r="B272" s="47"/>
      <c r="C272" s="47"/>
      <c r="D272" s="47"/>
      <c r="E272" s="47"/>
      <c r="F272" s="47"/>
      <c r="G272" s="47"/>
    </row>
    <row r="273">
      <c r="A273" s="47"/>
      <c r="B273" s="47"/>
      <c r="C273" s="47"/>
      <c r="D273" s="47"/>
      <c r="E273" s="47"/>
      <c r="F273" s="47"/>
      <c r="G273" s="47"/>
    </row>
    <row r="274">
      <c r="A274" s="47"/>
      <c r="B274" s="47"/>
      <c r="C274" s="47"/>
      <c r="D274" s="47"/>
      <c r="E274" s="47"/>
      <c r="F274" s="47"/>
      <c r="G274" s="47"/>
    </row>
    <row r="275">
      <c r="A275" s="47"/>
      <c r="B275" s="47"/>
      <c r="C275" s="47"/>
      <c r="D275" s="47"/>
      <c r="E275" s="47"/>
      <c r="F275" s="47"/>
      <c r="G275" s="47"/>
    </row>
    <row r="276">
      <c r="A276" s="47"/>
      <c r="B276" s="47"/>
      <c r="C276" s="47"/>
      <c r="D276" s="47"/>
      <c r="E276" s="47"/>
      <c r="F276" s="47"/>
      <c r="G276" s="47"/>
    </row>
    <row r="277">
      <c r="A277" s="47"/>
      <c r="B277" s="47"/>
      <c r="C277" s="47"/>
      <c r="D277" s="47"/>
      <c r="E277" s="47"/>
      <c r="F277" s="47"/>
      <c r="G277" s="47"/>
    </row>
    <row r="278">
      <c r="A278" s="47"/>
      <c r="B278" s="47"/>
      <c r="C278" s="47"/>
      <c r="D278" s="47"/>
      <c r="E278" s="47"/>
      <c r="F278" s="47"/>
      <c r="G278" s="47"/>
    </row>
    <row r="279">
      <c r="A279" s="47"/>
      <c r="B279" s="47"/>
      <c r="C279" s="47"/>
      <c r="D279" s="47"/>
      <c r="E279" s="47"/>
      <c r="F279" s="47"/>
      <c r="G279" s="47"/>
    </row>
    <row r="280">
      <c r="A280" s="47"/>
      <c r="B280" s="47"/>
      <c r="C280" s="47"/>
      <c r="D280" s="47"/>
      <c r="E280" s="47"/>
      <c r="F280" s="47"/>
      <c r="G280" s="47"/>
    </row>
    <row r="281">
      <c r="A281" s="47"/>
      <c r="B281" s="47"/>
      <c r="C281" s="47"/>
      <c r="D281" s="47"/>
      <c r="E281" s="47"/>
      <c r="F281" s="47"/>
      <c r="G281" s="47"/>
    </row>
    <row r="282">
      <c r="A282" s="47"/>
      <c r="B282" s="47"/>
      <c r="C282" s="47"/>
      <c r="D282" s="47"/>
      <c r="E282" s="47"/>
      <c r="F282" s="47"/>
      <c r="G282" s="47"/>
    </row>
    <row r="283">
      <c r="A283" s="47"/>
      <c r="B283" s="47"/>
      <c r="C283" s="47"/>
      <c r="D283" s="47"/>
      <c r="E283" s="47"/>
      <c r="F283" s="47"/>
      <c r="G283" s="47"/>
    </row>
    <row r="284">
      <c r="A284" s="47"/>
      <c r="B284" s="47"/>
      <c r="C284" s="47"/>
      <c r="D284" s="47"/>
      <c r="E284" s="47"/>
      <c r="F284" s="47"/>
      <c r="G284" s="47"/>
    </row>
    <row r="285">
      <c r="A285" s="47"/>
      <c r="B285" s="47"/>
      <c r="C285" s="47"/>
      <c r="D285" s="47"/>
      <c r="E285" s="47"/>
      <c r="F285" s="47"/>
      <c r="G285" s="47"/>
    </row>
    <row r="286">
      <c r="A286" s="47"/>
      <c r="B286" s="47"/>
      <c r="C286" s="47"/>
      <c r="D286" s="47"/>
      <c r="E286" s="47"/>
      <c r="F286" s="47"/>
      <c r="G286" s="47"/>
    </row>
    <row r="287">
      <c r="A287" s="47"/>
      <c r="B287" s="47"/>
      <c r="C287" s="47"/>
      <c r="D287" s="47"/>
      <c r="E287" s="47"/>
      <c r="F287" s="47"/>
      <c r="G287" s="47"/>
    </row>
    <row r="288">
      <c r="A288" s="47"/>
      <c r="B288" s="47"/>
      <c r="C288" s="47"/>
      <c r="D288" s="47"/>
      <c r="E288" s="47"/>
      <c r="F288" s="47"/>
      <c r="G288" s="47"/>
    </row>
    <row r="289">
      <c r="A289" s="47"/>
      <c r="B289" s="47"/>
      <c r="C289" s="47"/>
      <c r="D289" s="47"/>
      <c r="E289" s="47"/>
      <c r="F289" s="47"/>
      <c r="G289" s="47"/>
    </row>
    <row r="290">
      <c r="A290" s="47"/>
      <c r="B290" s="47"/>
      <c r="C290" s="47"/>
      <c r="D290" s="47"/>
      <c r="E290" s="47"/>
      <c r="F290" s="47"/>
      <c r="G290" s="47"/>
    </row>
    <row r="291">
      <c r="A291" s="47"/>
      <c r="B291" s="47"/>
      <c r="C291" s="47"/>
      <c r="D291" s="47"/>
      <c r="E291" s="47"/>
      <c r="F291" s="47"/>
      <c r="G291" s="47"/>
    </row>
    <row r="292">
      <c r="A292" s="47"/>
      <c r="B292" s="47"/>
      <c r="C292" s="47"/>
      <c r="D292" s="47"/>
      <c r="E292" s="47"/>
      <c r="F292" s="47"/>
      <c r="G292" s="47"/>
    </row>
    <row r="293">
      <c r="A293" s="47"/>
      <c r="B293" s="47"/>
      <c r="C293" s="47"/>
      <c r="D293" s="47"/>
      <c r="E293" s="47"/>
      <c r="F293" s="47"/>
      <c r="G293" s="47"/>
    </row>
    <row r="294">
      <c r="A294" s="47"/>
      <c r="B294" s="47"/>
      <c r="C294" s="47"/>
      <c r="D294" s="47"/>
      <c r="E294" s="47"/>
      <c r="F294" s="47"/>
      <c r="G294" s="47"/>
    </row>
    <row r="295">
      <c r="A295" s="47"/>
      <c r="B295" s="47"/>
      <c r="C295" s="47"/>
      <c r="D295" s="47"/>
      <c r="E295" s="47"/>
      <c r="F295" s="47"/>
      <c r="G295" s="47"/>
    </row>
    <row r="296">
      <c r="A296" s="47"/>
      <c r="B296" s="47"/>
      <c r="C296" s="47"/>
      <c r="D296" s="47"/>
      <c r="E296" s="47"/>
      <c r="F296" s="47"/>
      <c r="G296" s="47"/>
    </row>
    <row r="297">
      <c r="A297" s="47"/>
      <c r="B297" s="47"/>
      <c r="C297" s="47"/>
      <c r="D297" s="47"/>
      <c r="E297" s="47"/>
      <c r="F297" s="47"/>
      <c r="G297" s="47"/>
    </row>
    <row r="298">
      <c r="A298" s="47"/>
      <c r="B298" s="47"/>
      <c r="C298" s="47"/>
      <c r="D298" s="47"/>
      <c r="E298" s="47"/>
      <c r="F298" s="47"/>
      <c r="G298" s="47"/>
    </row>
    <row r="299">
      <c r="A299" s="47"/>
      <c r="B299" s="47"/>
      <c r="C299" s="47"/>
      <c r="D299" s="47"/>
      <c r="E299" s="47"/>
      <c r="F299" s="47"/>
      <c r="G299" s="47"/>
    </row>
    <row r="300">
      <c r="A300" s="47"/>
      <c r="B300" s="47"/>
      <c r="C300" s="47"/>
      <c r="D300" s="47"/>
      <c r="E300" s="47"/>
      <c r="F300" s="47"/>
      <c r="G300" s="47"/>
    </row>
    <row r="301">
      <c r="A301" s="47"/>
      <c r="B301" s="47"/>
      <c r="C301" s="47"/>
      <c r="D301" s="47"/>
      <c r="E301" s="47"/>
      <c r="F301" s="47"/>
      <c r="G301" s="47"/>
    </row>
    <row r="302">
      <c r="A302" s="47"/>
      <c r="B302" s="47"/>
      <c r="C302" s="47"/>
      <c r="D302" s="47"/>
      <c r="E302" s="47"/>
      <c r="F302" s="47"/>
      <c r="G302" s="47"/>
    </row>
    <row r="303">
      <c r="A303" s="47"/>
      <c r="B303" s="47"/>
      <c r="C303" s="47"/>
      <c r="D303" s="47"/>
      <c r="E303" s="47"/>
      <c r="F303" s="47"/>
      <c r="G303" s="47"/>
    </row>
    <row r="304">
      <c r="A304" s="47"/>
      <c r="B304" s="47"/>
      <c r="C304" s="47"/>
      <c r="D304" s="47"/>
      <c r="E304" s="47"/>
      <c r="F304" s="47"/>
      <c r="G304" s="47"/>
    </row>
    <row r="305">
      <c r="A305" s="47"/>
      <c r="B305" s="47"/>
      <c r="C305" s="47"/>
      <c r="D305" s="47"/>
      <c r="E305" s="47"/>
      <c r="F305" s="47"/>
      <c r="G305" s="47"/>
    </row>
    <row r="306">
      <c r="A306" s="47"/>
      <c r="B306" s="47"/>
      <c r="C306" s="47"/>
      <c r="D306" s="47"/>
      <c r="E306" s="47"/>
      <c r="F306" s="47"/>
      <c r="G306" s="47"/>
    </row>
    <row r="307">
      <c r="A307" s="47"/>
      <c r="B307" s="47"/>
      <c r="C307" s="47"/>
      <c r="D307" s="47"/>
      <c r="E307" s="47"/>
      <c r="F307" s="47"/>
      <c r="G307" s="47"/>
    </row>
    <row r="308">
      <c r="A308" s="47"/>
      <c r="B308" s="47"/>
      <c r="C308" s="47"/>
      <c r="D308" s="47"/>
      <c r="E308" s="47"/>
      <c r="F308" s="47"/>
      <c r="G308" s="47"/>
    </row>
    <row r="309">
      <c r="A309" s="47"/>
      <c r="B309" s="47"/>
      <c r="C309" s="47"/>
      <c r="D309" s="47"/>
      <c r="E309" s="47"/>
      <c r="F309" s="47"/>
      <c r="G309" s="47"/>
    </row>
    <row r="310">
      <c r="A310" s="47"/>
      <c r="B310" s="47"/>
      <c r="C310" s="47"/>
      <c r="D310" s="47"/>
      <c r="E310" s="47"/>
      <c r="F310" s="47"/>
      <c r="G310" s="47"/>
    </row>
    <row r="311">
      <c r="A311" s="47"/>
      <c r="B311" s="47"/>
      <c r="C311" s="47"/>
      <c r="D311" s="47"/>
      <c r="E311" s="47"/>
      <c r="F311" s="47"/>
      <c r="G311" s="47"/>
    </row>
    <row r="312">
      <c r="A312" s="47"/>
      <c r="B312" s="47"/>
      <c r="C312" s="47"/>
      <c r="D312" s="47"/>
      <c r="E312" s="47"/>
      <c r="F312" s="47"/>
      <c r="G312" s="47"/>
    </row>
    <row r="313">
      <c r="A313" s="47"/>
      <c r="B313" s="47"/>
      <c r="C313" s="47"/>
      <c r="D313" s="47"/>
      <c r="E313" s="47"/>
      <c r="F313" s="47"/>
      <c r="G313" s="47"/>
    </row>
    <row r="314">
      <c r="A314" s="47"/>
      <c r="B314" s="47"/>
      <c r="C314" s="47"/>
      <c r="D314" s="47"/>
      <c r="E314" s="47"/>
      <c r="F314" s="47"/>
      <c r="G314" s="47"/>
    </row>
    <row r="315">
      <c r="A315" s="47"/>
      <c r="B315" s="47"/>
      <c r="C315" s="47"/>
      <c r="D315" s="47"/>
      <c r="E315" s="47"/>
      <c r="F315" s="47"/>
      <c r="G315" s="47"/>
    </row>
    <row r="316">
      <c r="A316" s="47"/>
      <c r="B316" s="47"/>
      <c r="C316" s="47"/>
      <c r="D316" s="47"/>
      <c r="E316" s="47"/>
      <c r="F316" s="47"/>
      <c r="G316" s="47"/>
    </row>
    <row r="317">
      <c r="A317" s="47"/>
      <c r="B317" s="47"/>
      <c r="C317" s="47"/>
      <c r="D317" s="47"/>
      <c r="E317" s="47"/>
      <c r="F317" s="47"/>
      <c r="G317" s="47"/>
    </row>
    <row r="318">
      <c r="A318" s="47"/>
      <c r="B318" s="47"/>
      <c r="C318" s="47"/>
      <c r="D318" s="47"/>
      <c r="E318" s="47"/>
      <c r="F318" s="47"/>
      <c r="G318" s="47"/>
    </row>
    <row r="319">
      <c r="A319" s="47"/>
      <c r="B319" s="47"/>
      <c r="C319" s="47"/>
      <c r="D319" s="47"/>
      <c r="E319" s="47"/>
      <c r="F319" s="47"/>
      <c r="G319" s="47"/>
    </row>
    <row r="320">
      <c r="A320" s="47"/>
      <c r="B320" s="47"/>
      <c r="C320" s="47"/>
      <c r="D320" s="47"/>
      <c r="E320" s="47"/>
      <c r="F320" s="47"/>
      <c r="G320" s="47"/>
    </row>
    <row r="321">
      <c r="A321" s="47"/>
      <c r="B321" s="47"/>
      <c r="C321" s="47"/>
      <c r="D321" s="47"/>
      <c r="E321" s="47"/>
      <c r="F321" s="47"/>
      <c r="G321" s="47"/>
    </row>
    <row r="322">
      <c r="A322" s="47"/>
      <c r="B322" s="47"/>
      <c r="C322" s="47"/>
      <c r="D322" s="47"/>
      <c r="E322" s="47"/>
      <c r="F322" s="47"/>
      <c r="G322" s="47"/>
    </row>
    <row r="323">
      <c r="A323" s="47"/>
      <c r="B323" s="47"/>
      <c r="C323" s="47"/>
      <c r="D323" s="47"/>
      <c r="E323" s="47"/>
      <c r="F323" s="47"/>
      <c r="G323" s="47"/>
    </row>
    <row r="324">
      <c r="A324" s="47"/>
      <c r="B324" s="47"/>
      <c r="C324" s="47"/>
      <c r="D324" s="47"/>
      <c r="E324" s="47"/>
      <c r="F324" s="47"/>
      <c r="G324" s="47"/>
    </row>
    <row r="325">
      <c r="A325" s="47"/>
      <c r="B325" s="47"/>
      <c r="C325" s="47"/>
      <c r="D325" s="47"/>
      <c r="E325" s="47"/>
      <c r="F325" s="47"/>
      <c r="G325" s="47"/>
    </row>
    <row r="326">
      <c r="A326" s="47"/>
      <c r="B326" s="47"/>
      <c r="C326" s="47"/>
      <c r="D326" s="47"/>
      <c r="E326" s="47"/>
      <c r="F326" s="47"/>
      <c r="G326" s="47"/>
    </row>
    <row r="327">
      <c r="A327" s="47"/>
      <c r="B327" s="47"/>
      <c r="C327" s="47"/>
      <c r="D327" s="47"/>
      <c r="E327" s="47"/>
      <c r="F327" s="47"/>
      <c r="G327" s="47"/>
    </row>
    <row r="328">
      <c r="A328" s="47"/>
      <c r="B328" s="47"/>
      <c r="C328" s="47"/>
      <c r="D328" s="47"/>
      <c r="E328" s="47"/>
      <c r="F328" s="47"/>
      <c r="G328" s="47"/>
    </row>
    <row r="329">
      <c r="A329" s="47"/>
      <c r="B329" s="47"/>
      <c r="C329" s="47"/>
      <c r="D329" s="47"/>
      <c r="E329" s="47"/>
      <c r="F329" s="47"/>
      <c r="G329" s="47"/>
    </row>
    <row r="330">
      <c r="A330" s="47"/>
      <c r="B330" s="47"/>
      <c r="C330" s="47"/>
      <c r="D330" s="47"/>
      <c r="E330" s="47"/>
      <c r="F330" s="47"/>
      <c r="G330" s="47"/>
    </row>
    <row r="331">
      <c r="A331" s="47"/>
      <c r="B331" s="47"/>
      <c r="C331" s="47"/>
      <c r="D331" s="47"/>
      <c r="E331" s="47"/>
      <c r="F331" s="47"/>
      <c r="G331" s="47"/>
    </row>
    <row r="332">
      <c r="A332" s="47"/>
      <c r="B332" s="47"/>
      <c r="C332" s="47"/>
      <c r="D332" s="47"/>
      <c r="E332" s="47"/>
      <c r="F332" s="47"/>
      <c r="G332" s="47"/>
    </row>
    <row r="333">
      <c r="A333" s="47"/>
      <c r="B333" s="47"/>
      <c r="C333" s="47"/>
      <c r="D333" s="47"/>
      <c r="E333" s="47"/>
      <c r="F333" s="47"/>
      <c r="G333" s="47"/>
    </row>
    <row r="334">
      <c r="A334" s="47"/>
      <c r="B334" s="47"/>
      <c r="C334" s="47"/>
      <c r="D334" s="47"/>
      <c r="E334" s="47"/>
      <c r="F334" s="47"/>
      <c r="G334" s="47"/>
    </row>
    <row r="335">
      <c r="A335" s="47"/>
      <c r="B335" s="47"/>
      <c r="C335" s="47"/>
      <c r="D335" s="47"/>
      <c r="E335" s="47"/>
      <c r="F335" s="47"/>
      <c r="G335" s="47"/>
    </row>
    <row r="336">
      <c r="A336" s="47"/>
      <c r="B336" s="47"/>
      <c r="C336" s="47"/>
      <c r="D336" s="47"/>
      <c r="E336" s="47"/>
      <c r="F336" s="47"/>
      <c r="G336" s="47"/>
    </row>
    <row r="337">
      <c r="A337" s="47"/>
      <c r="B337" s="47"/>
      <c r="C337" s="47"/>
      <c r="D337" s="47"/>
      <c r="E337" s="47"/>
      <c r="F337" s="47"/>
      <c r="G337" s="47"/>
    </row>
    <row r="338">
      <c r="A338" s="47"/>
      <c r="B338" s="47"/>
      <c r="C338" s="47"/>
      <c r="D338" s="47"/>
      <c r="E338" s="47"/>
      <c r="F338" s="47"/>
      <c r="G338" s="47"/>
    </row>
    <row r="339">
      <c r="A339" s="47"/>
      <c r="B339" s="47"/>
      <c r="C339" s="47"/>
      <c r="D339" s="47"/>
      <c r="E339" s="47"/>
      <c r="F339" s="47"/>
      <c r="G339" s="47"/>
    </row>
    <row r="340">
      <c r="A340" s="47"/>
      <c r="B340" s="47"/>
      <c r="C340" s="47"/>
      <c r="D340" s="47"/>
      <c r="E340" s="47"/>
      <c r="F340" s="47"/>
      <c r="G340" s="47"/>
    </row>
    <row r="341">
      <c r="A341" s="47"/>
      <c r="B341" s="47"/>
      <c r="C341" s="47"/>
      <c r="D341" s="47"/>
      <c r="E341" s="47"/>
      <c r="F341" s="47"/>
      <c r="G341" s="47"/>
    </row>
    <row r="342">
      <c r="A342" s="47"/>
      <c r="B342" s="47"/>
      <c r="C342" s="47"/>
      <c r="D342" s="47"/>
      <c r="E342" s="47"/>
      <c r="F342" s="47"/>
      <c r="G342" s="47"/>
    </row>
    <row r="343">
      <c r="A343" s="47"/>
      <c r="B343" s="47"/>
      <c r="C343" s="47"/>
      <c r="D343" s="47"/>
      <c r="E343" s="47"/>
      <c r="F343" s="47"/>
      <c r="G343" s="47"/>
    </row>
    <row r="344">
      <c r="A344" s="47"/>
      <c r="B344" s="47"/>
      <c r="C344" s="47"/>
      <c r="D344" s="47"/>
      <c r="E344" s="47"/>
      <c r="F344" s="47"/>
      <c r="G344" s="47"/>
    </row>
    <row r="345">
      <c r="A345" s="47"/>
      <c r="B345" s="47"/>
      <c r="C345" s="47"/>
      <c r="D345" s="47"/>
      <c r="E345" s="47"/>
      <c r="F345" s="47"/>
      <c r="G345" s="47"/>
    </row>
    <row r="346">
      <c r="A346" s="47"/>
      <c r="B346" s="47"/>
      <c r="C346" s="47"/>
      <c r="D346" s="47"/>
      <c r="E346" s="47"/>
      <c r="F346" s="47"/>
      <c r="G346" s="47"/>
    </row>
    <row r="347">
      <c r="A347" s="47"/>
      <c r="B347" s="47"/>
      <c r="C347" s="47"/>
      <c r="D347" s="47"/>
      <c r="E347" s="47"/>
      <c r="F347" s="47"/>
      <c r="G347" s="47"/>
    </row>
    <row r="348">
      <c r="A348" s="47"/>
      <c r="B348" s="47"/>
      <c r="C348" s="47"/>
      <c r="D348" s="47"/>
      <c r="E348" s="47"/>
      <c r="F348" s="47"/>
      <c r="G348" s="47"/>
    </row>
    <row r="349">
      <c r="A349" s="47"/>
      <c r="B349" s="47"/>
      <c r="C349" s="47"/>
      <c r="D349" s="47"/>
      <c r="E349" s="47"/>
      <c r="F349" s="47"/>
      <c r="G349" s="47"/>
    </row>
    <row r="350">
      <c r="A350" s="47"/>
      <c r="B350" s="47"/>
      <c r="C350" s="47"/>
      <c r="D350" s="47"/>
      <c r="E350" s="47"/>
      <c r="F350" s="47"/>
      <c r="G350" s="47"/>
    </row>
    <row r="351">
      <c r="A351" s="47"/>
      <c r="B351" s="47"/>
      <c r="C351" s="47"/>
      <c r="D351" s="47"/>
      <c r="E351" s="47"/>
      <c r="F351" s="47"/>
      <c r="G351" s="47"/>
    </row>
    <row r="352">
      <c r="A352" s="47"/>
      <c r="B352" s="47"/>
      <c r="C352" s="47"/>
      <c r="D352" s="47"/>
      <c r="E352" s="47"/>
      <c r="F352" s="47"/>
      <c r="G352" s="47"/>
    </row>
    <row r="353">
      <c r="A353" s="47"/>
      <c r="B353" s="47"/>
      <c r="C353" s="47"/>
      <c r="D353" s="47"/>
      <c r="E353" s="47"/>
      <c r="F353" s="47"/>
      <c r="G353" s="47"/>
    </row>
    <row r="354">
      <c r="A354" s="47"/>
      <c r="B354" s="47"/>
      <c r="C354" s="47"/>
      <c r="D354" s="47"/>
      <c r="E354" s="47"/>
      <c r="F354" s="47"/>
      <c r="G354" s="47"/>
    </row>
    <row r="355">
      <c r="A355" s="47"/>
      <c r="B355" s="47"/>
      <c r="C355" s="47"/>
      <c r="D355" s="47"/>
      <c r="E355" s="47"/>
      <c r="F355" s="47"/>
      <c r="G355" s="47"/>
    </row>
    <row r="356">
      <c r="A356" s="47"/>
      <c r="B356" s="47"/>
      <c r="C356" s="47"/>
      <c r="D356" s="47"/>
      <c r="E356" s="47"/>
      <c r="F356" s="47"/>
      <c r="G356" s="47"/>
    </row>
    <row r="357">
      <c r="A357" s="47"/>
      <c r="B357" s="47"/>
      <c r="C357" s="47"/>
      <c r="D357" s="47"/>
      <c r="E357" s="47"/>
      <c r="F357" s="47"/>
      <c r="G357" s="47"/>
    </row>
    <row r="358">
      <c r="A358" s="47"/>
      <c r="B358" s="47"/>
      <c r="C358" s="47"/>
      <c r="D358" s="47"/>
      <c r="E358" s="47"/>
      <c r="F358" s="47"/>
      <c r="G358" s="47"/>
    </row>
    <row r="359">
      <c r="A359" s="47"/>
      <c r="B359" s="47"/>
      <c r="C359" s="47"/>
      <c r="D359" s="47"/>
      <c r="E359" s="47"/>
      <c r="F359" s="47"/>
      <c r="G359" s="47"/>
    </row>
    <row r="360">
      <c r="A360" s="47"/>
      <c r="B360" s="47"/>
      <c r="C360" s="47"/>
      <c r="D360" s="47"/>
      <c r="E360" s="47"/>
      <c r="F360" s="47"/>
      <c r="G360" s="47"/>
    </row>
    <row r="361">
      <c r="A361" s="47"/>
      <c r="B361" s="47"/>
      <c r="C361" s="47"/>
      <c r="D361" s="47"/>
      <c r="E361" s="47"/>
      <c r="F361" s="47"/>
      <c r="G361" s="47"/>
    </row>
    <row r="362">
      <c r="A362" s="47"/>
      <c r="B362" s="47"/>
      <c r="C362" s="47"/>
      <c r="D362" s="47"/>
      <c r="E362" s="47"/>
      <c r="F362" s="47"/>
      <c r="G362" s="47"/>
    </row>
    <row r="363">
      <c r="A363" s="47"/>
      <c r="B363" s="47"/>
      <c r="C363" s="47"/>
      <c r="D363" s="47"/>
      <c r="E363" s="47"/>
      <c r="F363" s="47"/>
      <c r="G363" s="47"/>
    </row>
    <row r="364">
      <c r="A364" s="47"/>
      <c r="B364" s="47"/>
      <c r="C364" s="47"/>
      <c r="D364" s="47"/>
      <c r="E364" s="47"/>
      <c r="F364" s="47"/>
      <c r="G364" s="47"/>
    </row>
    <row r="365">
      <c r="A365" s="47"/>
      <c r="B365" s="47"/>
      <c r="C365" s="47"/>
      <c r="D365" s="47"/>
      <c r="E365" s="47"/>
      <c r="F365" s="47"/>
      <c r="G365" s="47"/>
    </row>
    <row r="366">
      <c r="A366" s="47"/>
      <c r="B366" s="47"/>
      <c r="C366" s="47"/>
      <c r="D366" s="47"/>
      <c r="E366" s="47"/>
      <c r="F366" s="47"/>
      <c r="G366" s="47"/>
    </row>
    <row r="367">
      <c r="A367" s="47"/>
      <c r="B367" s="47"/>
      <c r="C367" s="47"/>
      <c r="D367" s="47"/>
      <c r="E367" s="47"/>
      <c r="F367" s="47"/>
      <c r="G367" s="47"/>
    </row>
    <row r="368">
      <c r="A368" s="47"/>
      <c r="B368" s="47"/>
      <c r="C368" s="47"/>
      <c r="D368" s="47"/>
      <c r="E368" s="47"/>
      <c r="F368" s="47"/>
      <c r="G368" s="47"/>
    </row>
    <row r="369">
      <c r="A369" s="47"/>
      <c r="B369" s="47"/>
      <c r="C369" s="47"/>
      <c r="D369" s="47"/>
      <c r="E369" s="47"/>
      <c r="F369" s="47"/>
      <c r="G369" s="47"/>
    </row>
    <row r="370">
      <c r="A370" s="47"/>
      <c r="B370" s="47"/>
      <c r="C370" s="47"/>
      <c r="D370" s="47"/>
      <c r="E370" s="47"/>
      <c r="F370" s="47"/>
      <c r="G370" s="47"/>
    </row>
    <row r="371">
      <c r="A371" s="47"/>
      <c r="B371" s="47"/>
      <c r="C371" s="47"/>
      <c r="D371" s="47"/>
      <c r="E371" s="47"/>
      <c r="F371" s="47"/>
      <c r="G371" s="47"/>
    </row>
    <row r="372">
      <c r="A372" s="47"/>
      <c r="B372" s="47"/>
      <c r="C372" s="47"/>
      <c r="D372" s="47"/>
      <c r="E372" s="47"/>
      <c r="F372" s="47"/>
      <c r="G372" s="47"/>
    </row>
    <row r="373">
      <c r="A373" s="47"/>
      <c r="B373" s="47"/>
      <c r="C373" s="47"/>
      <c r="D373" s="47"/>
      <c r="E373" s="47"/>
      <c r="F373" s="47"/>
      <c r="G373" s="47"/>
    </row>
    <row r="374">
      <c r="A374" s="47"/>
      <c r="B374" s="47"/>
      <c r="C374" s="47"/>
      <c r="D374" s="47"/>
      <c r="E374" s="47"/>
      <c r="F374" s="47"/>
      <c r="G374" s="47"/>
    </row>
    <row r="375">
      <c r="A375" s="47"/>
      <c r="B375" s="47"/>
      <c r="C375" s="47"/>
      <c r="D375" s="47"/>
      <c r="E375" s="47"/>
      <c r="F375" s="47"/>
      <c r="G375" s="47"/>
    </row>
    <row r="376">
      <c r="A376" s="47"/>
      <c r="B376" s="47"/>
      <c r="C376" s="47"/>
      <c r="D376" s="47"/>
      <c r="E376" s="47"/>
      <c r="F376" s="47"/>
      <c r="G376" s="47"/>
    </row>
    <row r="377">
      <c r="A377" s="47"/>
      <c r="B377" s="47"/>
      <c r="C377" s="47"/>
      <c r="D377" s="47"/>
      <c r="E377" s="47"/>
      <c r="F377" s="47"/>
      <c r="G377" s="47"/>
    </row>
    <row r="378">
      <c r="A378" s="47"/>
      <c r="B378" s="47"/>
      <c r="C378" s="47"/>
      <c r="D378" s="47"/>
      <c r="E378" s="47"/>
      <c r="F378" s="47"/>
      <c r="G378" s="47"/>
    </row>
    <row r="379">
      <c r="A379" s="47"/>
      <c r="B379" s="47"/>
      <c r="C379" s="47"/>
      <c r="D379" s="47"/>
      <c r="E379" s="47"/>
      <c r="F379" s="47"/>
      <c r="G379" s="47"/>
    </row>
    <row r="380">
      <c r="A380" s="47"/>
      <c r="B380" s="47"/>
      <c r="C380" s="47"/>
      <c r="D380" s="47"/>
      <c r="E380" s="47"/>
      <c r="F380" s="47"/>
      <c r="G380" s="47"/>
    </row>
    <row r="381">
      <c r="A381" s="47"/>
      <c r="B381" s="47"/>
      <c r="C381" s="47"/>
      <c r="D381" s="47"/>
      <c r="E381" s="47"/>
      <c r="F381" s="47"/>
      <c r="G381" s="47"/>
    </row>
    <row r="382">
      <c r="A382" s="47"/>
      <c r="B382" s="47"/>
      <c r="C382" s="47"/>
      <c r="D382" s="47"/>
      <c r="E382" s="47"/>
      <c r="F382" s="47"/>
      <c r="G382" s="47"/>
    </row>
    <row r="383">
      <c r="A383" s="47"/>
      <c r="B383" s="47"/>
      <c r="C383" s="47"/>
      <c r="D383" s="47"/>
      <c r="E383" s="47"/>
      <c r="F383" s="47"/>
      <c r="G383" s="47"/>
    </row>
    <row r="384">
      <c r="A384" s="47"/>
      <c r="B384" s="47"/>
      <c r="C384" s="47"/>
      <c r="D384" s="47"/>
      <c r="E384" s="47"/>
      <c r="F384" s="47"/>
      <c r="G384" s="47"/>
    </row>
    <row r="385">
      <c r="A385" s="47"/>
      <c r="B385" s="47"/>
      <c r="C385" s="47"/>
      <c r="D385" s="47"/>
      <c r="E385" s="47"/>
      <c r="F385" s="47"/>
      <c r="G385" s="47"/>
    </row>
    <row r="386">
      <c r="A386" s="47"/>
      <c r="B386" s="47"/>
      <c r="C386" s="47"/>
      <c r="D386" s="47"/>
      <c r="E386" s="47"/>
      <c r="F386" s="47"/>
      <c r="G386" s="47"/>
    </row>
    <row r="387">
      <c r="A387" s="47"/>
      <c r="B387" s="47"/>
      <c r="C387" s="47"/>
      <c r="D387" s="47"/>
      <c r="E387" s="47"/>
      <c r="F387" s="47"/>
      <c r="G387" s="47"/>
    </row>
    <row r="388">
      <c r="A388" s="47"/>
      <c r="B388" s="47"/>
      <c r="C388" s="47"/>
      <c r="D388" s="47"/>
      <c r="E388" s="47"/>
      <c r="F388" s="47"/>
      <c r="G388" s="47"/>
    </row>
    <row r="389">
      <c r="A389" s="47"/>
      <c r="B389" s="47"/>
      <c r="C389" s="47"/>
      <c r="D389" s="47"/>
      <c r="E389" s="47"/>
      <c r="F389" s="47"/>
      <c r="G389" s="47"/>
    </row>
    <row r="390">
      <c r="A390" s="47"/>
      <c r="B390" s="47"/>
      <c r="C390" s="47"/>
      <c r="D390" s="47"/>
      <c r="E390" s="47"/>
      <c r="F390" s="47"/>
      <c r="G390" s="47"/>
    </row>
    <row r="391">
      <c r="A391" s="47"/>
      <c r="B391" s="47"/>
      <c r="C391" s="47"/>
      <c r="D391" s="47"/>
      <c r="E391" s="47"/>
      <c r="F391" s="47"/>
      <c r="G391" s="47"/>
    </row>
    <row r="392">
      <c r="A392" s="47"/>
      <c r="B392" s="47"/>
      <c r="C392" s="47"/>
      <c r="D392" s="47"/>
      <c r="E392" s="47"/>
      <c r="F392" s="47"/>
      <c r="G392" s="47"/>
    </row>
    <row r="393">
      <c r="A393" s="47"/>
      <c r="B393" s="47"/>
      <c r="C393" s="47"/>
      <c r="D393" s="47"/>
      <c r="E393" s="47"/>
      <c r="F393" s="47"/>
      <c r="G393" s="47"/>
    </row>
    <row r="394">
      <c r="A394" s="47"/>
      <c r="B394" s="47"/>
      <c r="C394" s="47"/>
      <c r="D394" s="47"/>
      <c r="E394" s="47"/>
      <c r="F394" s="47"/>
      <c r="G394" s="47"/>
    </row>
    <row r="395">
      <c r="A395" s="47"/>
      <c r="B395" s="47"/>
      <c r="C395" s="47"/>
      <c r="D395" s="47"/>
      <c r="E395" s="47"/>
      <c r="F395" s="47"/>
      <c r="G395" s="47"/>
    </row>
    <row r="396">
      <c r="A396" s="47"/>
      <c r="B396" s="47"/>
      <c r="C396" s="47"/>
      <c r="D396" s="47"/>
      <c r="E396" s="47"/>
      <c r="F396" s="47"/>
      <c r="G396" s="47"/>
    </row>
    <row r="397">
      <c r="A397" s="47"/>
      <c r="B397" s="47"/>
      <c r="C397" s="47"/>
      <c r="D397" s="47"/>
      <c r="E397" s="47"/>
      <c r="F397" s="47"/>
      <c r="G397" s="47"/>
    </row>
    <row r="398">
      <c r="A398" s="47"/>
      <c r="B398" s="47"/>
      <c r="C398" s="47"/>
      <c r="D398" s="47"/>
      <c r="E398" s="47"/>
      <c r="F398" s="47"/>
      <c r="G398" s="47"/>
    </row>
    <row r="399">
      <c r="A399" s="47"/>
      <c r="B399" s="47"/>
      <c r="C399" s="47"/>
      <c r="D399" s="47"/>
      <c r="E399" s="47"/>
      <c r="F399" s="47"/>
      <c r="G399" s="47"/>
    </row>
    <row r="400">
      <c r="A400" s="47"/>
      <c r="B400" s="47"/>
      <c r="C400" s="47"/>
      <c r="D400" s="47"/>
      <c r="E400" s="47"/>
      <c r="F400" s="47"/>
      <c r="G400" s="47"/>
    </row>
    <row r="401">
      <c r="A401" s="47"/>
      <c r="B401" s="47"/>
      <c r="C401" s="47"/>
      <c r="D401" s="47"/>
      <c r="E401" s="47"/>
      <c r="F401" s="47"/>
      <c r="G401" s="47"/>
    </row>
    <row r="402">
      <c r="A402" s="47"/>
      <c r="B402" s="47"/>
      <c r="C402" s="47"/>
      <c r="D402" s="47"/>
      <c r="E402" s="47"/>
      <c r="F402" s="47"/>
      <c r="G402" s="47"/>
    </row>
    <row r="403">
      <c r="A403" s="47"/>
      <c r="B403" s="47"/>
      <c r="C403" s="47"/>
      <c r="D403" s="47"/>
      <c r="E403" s="47"/>
      <c r="F403" s="47"/>
      <c r="G403" s="47"/>
    </row>
    <row r="404">
      <c r="A404" s="47"/>
      <c r="B404" s="47"/>
      <c r="C404" s="47"/>
      <c r="D404" s="47"/>
      <c r="E404" s="47"/>
      <c r="F404" s="47"/>
      <c r="G404" s="47"/>
    </row>
    <row r="405">
      <c r="A405" s="47"/>
      <c r="B405" s="47"/>
      <c r="C405" s="47"/>
      <c r="D405" s="47"/>
      <c r="E405" s="47"/>
      <c r="F405" s="47"/>
      <c r="G405" s="47"/>
    </row>
    <row r="406">
      <c r="A406" s="47"/>
      <c r="B406" s="47"/>
      <c r="C406" s="47"/>
      <c r="D406" s="47"/>
      <c r="E406" s="47"/>
      <c r="F406" s="47"/>
      <c r="G406" s="47"/>
    </row>
    <row r="407">
      <c r="A407" s="47"/>
      <c r="B407" s="47"/>
      <c r="C407" s="47"/>
      <c r="D407" s="47"/>
      <c r="E407" s="47"/>
      <c r="F407" s="47"/>
      <c r="G407" s="47"/>
    </row>
    <row r="408">
      <c r="A408" s="47"/>
      <c r="B408" s="47"/>
      <c r="C408" s="47"/>
      <c r="D408" s="47"/>
      <c r="E408" s="47"/>
      <c r="F408" s="47"/>
      <c r="G408" s="47"/>
    </row>
    <row r="409">
      <c r="A409" s="47"/>
      <c r="B409" s="47"/>
      <c r="C409" s="47"/>
      <c r="D409" s="47"/>
      <c r="E409" s="47"/>
      <c r="F409" s="47"/>
      <c r="G409" s="47"/>
    </row>
    <row r="410">
      <c r="A410" s="47"/>
      <c r="B410" s="47"/>
      <c r="C410" s="47"/>
      <c r="D410" s="47"/>
      <c r="E410" s="47"/>
      <c r="F410" s="47"/>
      <c r="G410" s="47"/>
    </row>
    <row r="411">
      <c r="A411" s="47"/>
      <c r="B411" s="47"/>
      <c r="C411" s="47"/>
      <c r="D411" s="47"/>
      <c r="E411" s="47"/>
      <c r="F411" s="47"/>
      <c r="G411" s="47"/>
    </row>
    <row r="412">
      <c r="A412" s="47"/>
      <c r="B412" s="47"/>
      <c r="C412" s="47"/>
      <c r="D412" s="47"/>
      <c r="E412" s="47"/>
      <c r="F412" s="47"/>
      <c r="G412" s="47"/>
    </row>
    <row r="413">
      <c r="A413" s="47"/>
      <c r="B413" s="47"/>
      <c r="C413" s="47"/>
      <c r="D413" s="47"/>
      <c r="E413" s="47"/>
      <c r="F413" s="47"/>
      <c r="G413" s="47"/>
    </row>
    <row r="414">
      <c r="A414" s="47"/>
      <c r="B414" s="47"/>
      <c r="C414" s="47"/>
      <c r="D414" s="47"/>
      <c r="E414" s="47"/>
      <c r="F414" s="47"/>
      <c r="G414" s="47"/>
    </row>
    <row r="415">
      <c r="A415" s="47"/>
      <c r="B415" s="47"/>
      <c r="C415" s="47"/>
      <c r="D415" s="47"/>
      <c r="E415" s="47"/>
      <c r="F415" s="47"/>
      <c r="G415" s="47"/>
    </row>
    <row r="416">
      <c r="A416" s="47"/>
      <c r="B416" s="47"/>
      <c r="C416" s="47"/>
      <c r="D416" s="47"/>
      <c r="E416" s="47"/>
      <c r="F416" s="47"/>
      <c r="G416" s="47"/>
    </row>
    <row r="417">
      <c r="A417" s="47"/>
      <c r="B417" s="47"/>
      <c r="C417" s="47"/>
      <c r="D417" s="47"/>
      <c r="E417" s="47"/>
      <c r="F417" s="47"/>
      <c r="G417" s="47"/>
    </row>
    <row r="418">
      <c r="A418" s="47"/>
      <c r="B418" s="47"/>
      <c r="C418" s="47"/>
      <c r="D418" s="47"/>
      <c r="E418" s="47"/>
      <c r="F418" s="47"/>
      <c r="G418" s="47"/>
    </row>
    <row r="419">
      <c r="A419" s="47"/>
      <c r="B419" s="47"/>
      <c r="C419" s="47"/>
      <c r="D419" s="47"/>
      <c r="E419" s="47"/>
      <c r="F419" s="47"/>
      <c r="G419" s="47"/>
    </row>
    <row r="420">
      <c r="A420" s="47"/>
      <c r="B420" s="47"/>
      <c r="C420" s="47"/>
      <c r="D420" s="47"/>
      <c r="E420" s="47"/>
      <c r="F420" s="47"/>
      <c r="G420" s="47"/>
    </row>
    <row r="421">
      <c r="A421" s="47"/>
      <c r="B421" s="47"/>
      <c r="C421" s="47"/>
      <c r="D421" s="47"/>
      <c r="E421" s="47"/>
      <c r="F421" s="47"/>
      <c r="G421" s="47"/>
    </row>
    <row r="422">
      <c r="A422" s="47"/>
      <c r="B422" s="47"/>
      <c r="C422" s="47"/>
      <c r="D422" s="47"/>
      <c r="E422" s="47"/>
      <c r="F422" s="47"/>
      <c r="G422" s="47"/>
    </row>
    <row r="423">
      <c r="A423" s="47"/>
      <c r="B423" s="47"/>
      <c r="C423" s="47"/>
      <c r="D423" s="47"/>
      <c r="E423" s="47"/>
      <c r="F423" s="47"/>
      <c r="G423" s="47"/>
    </row>
    <row r="424">
      <c r="A424" s="47"/>
      <c r="B424" s="47"/>
      <c r="C424" s="47"/>
      <c r="D424" s="47"/>
      <c r="E424" s="47"/>
      <c r="F424" s="47"/>
      <c r="G424" s="47"/>
    </row>
    <row r="425">
      <c r="A425" s="47"/>
      <c r="B425" s="47"/>
      <c r="C425" s="47"/>
      <c r="D425" s="47"/>
      <c r="E425" s="47"/>
      <c r="F425" s="47"/>
      <c r="G425" s="47"/>
    </row>
    <row r="426">
      <c r="A426" s="47"/>
      <c r="B426" s="47"/>
      <c r="C426" s="47"/>
      <c r="D426" s="47"/>
      <c r="E426" s="47"/>
      <c r="F426" s="47"/>
      <c r="G426" s="47"/>
    </row>
    <row r="427">
      <c r="A427" s="47"/>
      <c r="B427" s="47"/>
      <c r="C427" s="47"/>
      <c r="D427" s="47"/>
      <c r="E427" s="47"/>
      <c r="F427" s="47"/>
      <c r="G427" s="47"/>
    </row>
    <row r="428">
      <c r="A428" s="47"/>
      <c r="B428" s="47"/>
      <c r="C428" s="47"/>
      <c r="D428" s="47"/>
      <c r="E428" s="47"/>
      <c r="F428" s="47"/>
      <c r="G428" s="47"/>
    </row>
    <row r="429">
      <c r="A429" s="47"/>
      <c r="B429" s="47"/>
      <c r="C429" s="47"/>
      <c r="D429" s="47"/>
      <c r="E429" s="47"/>
      <c r="F429" s="47"/>
      <c r="G429" s="47"/>
    </row>
    <row r="430">
      <c r="A430" s="47"/>
      <c r="B430" s="47"/>
      <c r="C430" s="47"/>
      <c r="D430" s="47"/>
      <c r="E430" s="47"/>
      <c r="F430" s="47"/>
      <c r="G430" s="47"/>
    </row>
    <row r="431">
      <c r="A431" s="47"/>
      <c r="B431" s="47"/>
      <c r="C431" s="47"/>
      <c r="D431" s="47"/>
      <c r="E431" s="47"/>
      <c r="F431" s="47"/>
      <c r="G431" s="47"/>
    </row>
    <row r="432">
      <c r="A432" s="47"/>
      <c r="B432" s="47"/>
      <c r="C432" s="47"/>
      <c r="D432" s="47"/>
      <c r="E432" s="47"/>
      <c r="F432" s="47"/>
      <c r="G432" s="47"/>
    </row>
    <row r="433">
      <c r="A433" s="47"/>
      <c r="B433" s="47"/>
      <c r="C433" s="47"/>
      <c r="D433" s="47"/>
      <c r="E433" s="47"/>
      <c r="F433" s="47"/>
      <c r="G433" s="47"/>
    </row>
    <row r="434">
      <c r="A434" s="47"/>
      <c r="B434" s="47"/>
      <c r="C434" s="47"/>
      <c r="D434" s="47"/>
      <c r="E434" s="47"/>
      <c r="F434" s="47"/>
      <c r="G434" s="47"/>
    </row>
    <row r="435">
      <c r="A435" s="47"/>
      <c r="B435" s="47"/>
      <c r="C435" s="47"/>
      <c r="D435" s="47"/>
      <c r="E435" s="47"/>
      <c r="F435" s="47"/>
      <c r="G435" s="47"/>
    </row>
    <row r="436">
      <c r="A436" s="47"/>
      <c r="B436" s="47"/>
      <c r="C436" s="47"/>
      <c r="D436" s="47"/>
      <c r="E436" s="47"/>
      <c r="F436" s="47"/>
      <c r="G436" s="47"/>
    </row>
    <row r="437">
      <c r="A437" s="47"/>
      <c r="B437" s="47"/>
      <c r="C437" s="47"/>
      <c r="D437" s="47"/>
      <c r="E437" s="47"/>
      <c r="F437" s="47"/>
      <c r="G437" s="47"/>
    </row>
    <row r="438">
      <c r="A438" s="47"/>
      <c r="B438" s="47"/>
      <c r="C438" s="47"/>
      <c r="D438" s="47"/>
      <c r="E438" s="47"/>
      <c r="F438" s="47"/>
      <c r="G438" s="47"/>
    </row>
    <row r="439">
      <c r="A439" s="47"/>
      <c r="B439" s="47"/>
      <c r="C439" s="47"/>
      <c r="D439" s="47"/>
      <c r="E439" s="47"/>
      <c r="F439" s="47"/>
      <c r="G439" s="47"/>
    </row>
    <row r="440">
      <c r="A440" s="47"/>
      <c r="B440" s="47"/>
      <c r="C440" s="47"/>
      <c r="D440" s="47"/>
      <c r="E440" s="47"/>
      <c r="F440" s="47"/>
      <c r="G440" s="47"/>
    </row>
    <row r="441">
      <c r="A441" s="47"/>
      <c r="B441" s="47"/>
      <c r="C441" s="47"/>
      <c r="D441" s="47"/>
      <c r="E441" s="47"/>
      <c r="F441" s="47"/>
      <c r="G441" s="47"/>
    </row>
    <row r="442">
      <c r="A442" s="47"/>
      <c r="B442" s="47"/>
      <c r="C442" s="47"/>
      <c r="D442" s="47"/>
      <c r="E442" s="47"/>
      <c r="F442" s="47"/>
      <c r="G442" s="47"/>
    </row>
    <row r="443">
      <c r="A443" s="47"/>
      <c r="B443" s="47"/>
      <c r="C443" s="47"/>
      <c r="D443" s="47"/>
      <c r="E443" s="47"/>
      <c r="F443" s="47"/>
      <c r="G443" s="47"/>
    </row>
    <row r="444">
      <c r="A444" s="47"/>
      <c r="B444" s="47"/>
      <c r="C444" s="47"/>
      <c r="D444" s="47"/>
      <c r="E444" s="47"/>
      <c r="F444" s="47"/>
      <c r="G444" s="47"/>
    </row>
    <row r="445">
      <c r="A445" s="47"/>
      <c r="B445" s="47"/>
      <c r="C445" s="47"/>
      <c r="D445" s="47"/>
      <c r="E445" s="47"/>
      <c r="F445" s="47"/>
      <c r="G445" s="47"/>
    </row>
    <row r="446">
      <c r="A446" s="47"/>
      <c r="B446" s="47"/>
      <c r="C446" s="47"/>
      <c r="D446" s="47"/>
      <c r="E446" s="47"/>
      <c r="F446" s="47"/>
      <c r="G446" s="47"/>
    </row>
    <row r="447">
      <c r="A447" s="47"/>
      <c r="B447" s="47"/>
      <c r="C447" s="47"/>
      <c r="D447" s="47"/>
      <c r="E447" s="47"/>
      <c r="F447" s="47"/>
      <c r="G447" s="47"/>
    </row>
    <row r="448">
      <c r="A448" s="47"/>
      <c r="B448" s="47"/>
      <c r="C448" s="47"/>
      <c r="D448" s="47"/>
      <c r="E448" s="47"/>
      <c r="F448" s="47"/>
      <c r="G448" s="47"/>
    </row>
    <row r="449">
      <c r="A449" s="47"/>
      <c r="B449" s="47"/>
      <c r="C449" s="47"/>
      <c r="D449" s="47"/>
      <c r="E449" s="47"/>
      <c r="F449" s="47"/>
      <c r="G449" s="47"/>
    </row>
    <row r="450">
      <c r="A450" s="47"/>
      <c r="B450" s="47"/>
      <c r="C450" s="47"/>
      <c r="D450" s="47"/>
      <c r="E450" s="47"/>
      <c r="F450" s="47"/>
      <c r="G450" s="47"/>
    </row>
    <row r="451">
      <c r="A451" s="47"/>
      <c r="B451" s="47"/>
      <c r="C451" s="47"/>
      <c r="D451" s="47"/>
      <c r="E451" s="47"/>
      <c r="F451" s="47"/>
      <c r="G451" s="47"/>
    </row>
    <row r="452">
      <c r="A452" s="47"/>
      <c r="B452" s="47"/>
      <c r="C452" s="47"/>
      <c r="D452" s="47"/>
      <c r="E452" s="47"/>
      <c r="F452" s="47"/>
      <c r="G452" s="47"/>
    </row>
    <row r="453">
      <c r="A453" s="47"/>
      <c r="B453" s="47"/>
      <c r="C453" s="47"/>
      <c r="D453" s="47"/>
      <c r="E453" s="47"/>
      <c r="F453" s="47"/>
      <c r="G453" s="47"/>
    </row>
    <row r="454">
      <c r="A454" s="47"/>
      <c r="B454" s="47"/>
      <c r="C454" s="47"/>
      <c r="D454" s="47"/>
      <c r="E454" s="47"/>
      <c r="F454" s="47"/>
      <c r="G454" s="47"/>
    </row>
    <row r="455">
      <c r="A455" s="47"/>
      <c r="B455" s="47"/>
      <c r="C455" s="47"/>
      <c r="D455" s="47"/>
      <c r="E455" s="47"/>
      <c r="F455" s="47"/>
      <c r="G455" s="47"/>
    </row>
    <row r="456">
      <c r="A456" s="47"/>
      <c r="B456" s="47"/>
      <c r="C456" s="47"/>
      <c r="D456" s="47"/>
      <c r="E456" s="47"/>
      <c r="F456" s="47"/>
      <c r="G456" s="47"/>
    </row>
    <row r="457">
      <c r="A457" s="47"/>
      <c r="B457" s="47"/>
      <c r="C457" s="47"/>
      <c r="D457" s="47"/>
      <c r="E457" s="47"/>
      <c r="F457" s="47"/>
      <c r="G457" s="47"/>
    </row>
    <row r="458">
      <c r="A458" s="47"/>
      <c r="B458" s="47"/>
      <c r="C458" s="47"/>
      <c r="D458" s="47"/>
      <c r="E458" s="47"/>
      <c r="F458" s="47"/>
      <c r="G458" s="47"/>
    </row>
    <row r="459">
      <c r="A459" s="47"/>
      <c r="B459" s="47"/>
      <c r="C459" s="47"/>
      <c r="D459" s="47"/>
      <c r="E459" s="47"/>
      <c r="F459" s="47"/>
      <c r="G459" s="47"/>
    </row>
    <row r="460">
      <c r="A460" s="47"/>
      <c r="B460" s="47"/>
      <c r="C460" s="47"/>
      <c r="D460" s="47"/>
      <c r="E460" s="47"/>
      <c r="F460" s="47"/>
      <c r="G460" s="47"/>
    </row>
    <row r="461">
      <c r="A461" s="47"/>
      <c r="B461" s="47"/>
      <c r="C461" s="47"/>
      <c r="D461" s="47"/>
      <c r="E461" s="47"/>
      <c r="F461" s="47"/>
      <c r="G461" s="47"/>
    </row>
    <row r="462">
      <c r="A462" s="47"/>
      <c r="B462" s="47"/>
      <c r="C462" s="47"/>
      <c r="D462" s="47"/>
      <c r="E462" s="47"/>
      <c r="F462" s="47"/>
      <c r="G462" s="47"/>
    </row>
    <row r="463">
      <c r="A463" s="47"/>
      <c r="B463" s="47"/>
      <c r="C463" s="47"/>
      <c r="D463" s="47"/>
      <c r="E463" s="47"/>
      <c r="F463" s="47"/>
      <c r="G463" s="47"/>
    </row>
    <row r="464">
      <c r="A464" s="47"/>
      <c r="B464" s="47"/>
      <c r="C464" s="47"/>
      <c r="D464" s="47"/>
      <c r="E464" s="47"/>
      <c r="F464" s="47"/>
      <c r="G464" s="47"/>
    </row>
    <row r="465">
      <c r="A465" s="47"/>
      <c r="B465" s="47"/>
      <c r="C465" s="47"/>
      <c r="D465" s="47"/>
      <c r="E465" s="47"/>
      <c r="F465" s="47"/>
      <c r="G465" s="47"/>
    </row>
    <row r="466">
      <c r="A466" s="47"/>
      <c r="B466" s="47"/>
      <c r="C466" s="47"/>
      <c r="D466" s="47"/>
      <c r="E466" s="47"/>
      <c r="F466" s="47"/>
      <c r="G466" s="47"/>
    </row>
    <row r="467">
      <c r="A467" s="47"/>
      <c r="B467" s="47"/>
      <c r="C467" s="47"/>
      <c r="D467" s="47"/>
      <c r="E467" s="47"/>
      <c r="F467" s="47"/>
      <c r="G467" s="47"/>
    </row>
    <row r="468">
      <c r="A468" s="47"/>
      <c r="B468" s="47"/>
      <c r="C468" s="47"/>
      <c r="D468" s="47"/>
      <c r="E468" s="47"/>
      <c r="F468" s="47"/>
      <c r="G468" s="47"/>
    </row>
    <row r="469">
      <c r="A469" s="47"/>
      <c r="B469" s="47"/>
      <c r="C469" s="47"/>
      <c r="D469" s="47"/>
      <c r="E469" s="47"/>
      <c r="F469" s="47"/>
      <c r="G469" s="47"/>
    </row>
    <row r="470">
      <c r="A470" s="47"/>
      <c r="B470" s="47"/>
      <c r="C470" s="47"/>
      <c r="D470" s="47"/>
      <c r="E470" s="47"/>
      <c r="F470" s="47"/>
      <c r="G470" s="47"/>
    </row>
    <row r="471">
      <c r="A471" s="47"/>
      <c r="B471" s="47"/>
      <c r="C471" s="47"/>
      <c r="D471" s="47"/>
      <c r="E471" s="47"/>
      <c r="F471" s="47"/>
      <c r="G471" s="47"/>
    </row>
    <row r="472">
      <c r="A472" s="47"/>
      <c r="B472" s="47"/>
      <c r="C472" s="47"/>
      <c r="D472" s="47"/>
      <c r="E472" s="47"/>
      <c r="F472" s="47"/>
      <c r="G472" s="47"/>
    </row>
    <row r="473">
      <c r="A473" s="47"/>
      <c r="B473" s="47"/>
      <c r="C473" s="47"/>
      <c r="D473" s="47"/>
      <c r="E473" s="47"/>
      <c r="F473" s="47"/>
      <c r="G473" s="47"/>
    </row>
    <row r="474">
      <c r="A474" s="47"/>
      <c r="B474" s="47"/>
      <c r="C474" s="47"/>
      <c r="D474" s="47"/>
      <c r="E474" s="47"/>
      <c r="F474" s="47"/>
      <c r="G474" s="47"/>
    </row>
    <row r="475">
      <c r="A475" s="47"/>
      <c r="B475" s="47"/>
      <c r="C475" s="47"/>
      <c r="D475" s="47"/>
      <c r="E475" s="47"/>
      <c r="F475" s="47"/>
      <c r="G475" s="47"/>
    </row>
    <row r="476">
      <c r="A476" s="47"/>
      <c r="B476" s="47"/>
      <c r="C476" s="47"/>
      <c r="D476" s="47"/>
      <c r="E476" s="47"/>
      <c r="F476" s="47"/>
      <c r="G476" s="47"/>
    </row>
    <row r="477">
      <c r="A477" s="47"/>
      <c r="B477" s="47"/>
      <c r="C477" s="47"/>
      <c r="D477" s="47"/>
      <c r="E477" s="47"/>
      <c r="F477" s="47"/>
      <c r="G477" s="47"/>
    </row>
    <row r="478">
      <c r="A478" s="47"/>
      <c r="B478" s="47"/>
      <c r="C478" s="47"/>
      <c r="D478" s="47"/>
      <c r="E478" s="47"/>
      <c r="F478" s="47"/>
      <c r="G478" s="47"/>
    </row>
    <row r="479">
      <c r="A479" s="47"/>
      <c r="B479" s="47"/>
      <c r="C479" s="47"/>
      <c r="D479" s="47"/>
      <c r="E479" s="47"/>
      <c r="F479" s="47"/>
      <c r="G479" s="47"/>
    </row>
    <row r="480">
      <c r="A480" s="47"/>
      <c r="B480" s="47"/>
      <c r="C480" s="47"/>
      <c r="D480" s="47"/>
      <c r="E480" s="47"/>
      <c r="F480" s="47"/>
      <c r="G480" s="47"/>
    </row>
    <row r="481">
      <c r="A481" s="47"/>
      <c r="B481" s="47"/>
      <c r="C481" s="47"/>
      <c r="D481" s="47"/>
      <c r="E481" s="47"/>
      <c r="F481" s="47"/>
      <c r="G481" s="47"/>
    </row>
    <row r="482">
      <c r="A482" s="47"/>
      <c r="B482" s="47"/>
      <c r="C482" s="47"/>
      <c r="D482" s="47"/>
      <c r="E482" s="47"/>
      <c r="F482" s="47"/>
      <c r="G482" s="47"/>
    </row>
    <row r="483">
      <c r="A483" s="47"/>
      <c r="B483" s="47"/>
      <c r="C483" s="47"/>
      <c r="D483" s="47"/>
      <c r="E483" s="47"/>
      <c r="F483" s="47"/>
      <c r="G483" s="47"/>
    </row>
    <row r="484">
      <c r="A484" s="47"/>
      <c r="B484" s="47"/>
      <c r="C484" s="47"/>
      <c r="D484" s="47"/>
      <c r="E484" s="47"/>
      <c r="F484" s="47"/>
      <c r="G484" s="47"/>
    </row>
    <row r="485">
      <c r="A485" s="47"/>
      <c r="B485" s="47"/>
      <c r="C485" s="47"/>
      <c r="D485" s="47"/>
      <c r="E485" s="47"/>
      <c r="F485" s="47"/>
      <c r="G485" s="47"/>
    </row>
    <row r="486">
      <c r="A486" s="47"/>
      <c r="B486" s="47"/>
      <c r="C486" s="47"/>
      <c r="D486" s="47"/>
      <c r="E486" s="47"/>
      <c r="F486" s="47"/>
      <c r="G486" s="47"/>
    </row>
    <row r="487">
      <c r="A487" s="47"/>
      <c r="B487" s="47"/>
      <c r="C487" s="47"/>
      <c r="D487" s="47"/>
      <c r="E487" s="47"/>
      <c r="F487" s="47"/>
      <c r="G487" s="47"/>
    </row>
    <row r="488">
      <c r="A488" s="47"/>
      <c r="B488" s="47"/>
      <c r="C488" s="47"/>
      <c r="D488" s="47"/>
      <c r="E488" s="47"/>
      <c r="F488" s="47"/>
      <c r="G488" s="47"/>
    </row>
    <row r="489">
      <c r="A489" s="47"/>
      <c r="B489" s="47"/>
      <c r="C489" s="47"/>
      <c r="D489" s="47"/>
      <c r="E489" s="47"/>
      <c r="F489" s="47"/>
      <c r="G489" s="47"/>
    </row>
    <row r="490">
      <c r="A490" s="47"/>
      <c r="B490" s="47"/>
      <c r="C490" s="47"/>
      <c r="D490" s="47"/>
      <c r="E490" s="47"/>
      <c r="F490" s="47"/>
      <c r="G490" s="47"/>
    </row>
    <row r="491">
      <c r="A491" s="47"/>
      <c r="B491" s="47"/>
      <c r="C491" s="47"/>
      <c r="D491" s="47"/>
      <c r="E491" s="47"/>
      <c r="F491" s="47"/>
      <c r="G491" s="47"/>
    </row>
    <row r="492">
      <c r="A492" s="47"/>
      <c r="B492" s="47"/>
      <c r="C492" s="47"/>
      <c r="D492" s="47"/>
      <c r="E492" s="47"/>
      <c r="F492" s="47"/>
      <c r="G492" s="47"/>
    </row>
    <row r="493">
      <c r="A493" s="47"/>
      <c r="B493" s="47"/>
      <c r="C493" s="47"/>
      <c r="D493" s="47"/>
      <c r="E493" s="47"/>
      <c r="F493" s="47"/>
      <c r="G493" s="47"/>
    </row>
    <row r="494">
      <c r="A494" s="47"/>
      <c r="B494" s="47"/>
      <c r="C494" s="47"/>
      <c r="D494" s="47"/>
      <c r="E494" s="47"/>
      <c r="F494" s="47"/>
      <c r="G494" s="47"/>
    </row>
    <row r="495">
      <c r="A495" s="47"/>
      <c r="B495" s="47"/>
      <c r="C495" s="47"/>
      <c r="D495" s="47"/>
      <c r="E495" s="47"/>
      <c r="F495" s="47"/>
      <c r="G495" s="47"/>
    </row>
    <row r="496">
      <c r="A496" s="47"/>
      <c r="B496" s="47"/>
      <c r="C496" s="47"/>
      <c r="D496" s="47"/>
      <c r="E496" s="47"/>
      <c r="F496" s="47"/>
      <c r="G496" s="47"/>
    </row>
    <row r="497">
      <c r="A497" s="47"/>
      <c r="B497" s="47"/>
      <c r="C497" s="47"/>
      <c r="D497" s="47"/>
      <c r="E497" s="47"/>
      <c r="F497" s="47"/>
      <c r="G497" s="47"/>
    </row>
    <row r="498">
      <c r="A498" s="47"/>
      <c r="B498" s="47"/>
      <c r="C498" s="47"/>
      <c r="D498" s="47"/>
      <c r="E498" s="47"/>
      <c r="F498" s="47"/>
      <c r="G498" s="47"/>
    </row>
    <row r="499">
      <c r="A499" s="47"/>
      <c r="B499" s="47"/>
      <c r="C499" s="47"/>
      <c r="D499" s="47"/>
      <c r="E499" s="47"/>
      <c r="F499" s="47"/>
      <c r="G499" s="47"/>
    </row>
    <row r="500">
      <c r="A500" s="47"/>
      <c r="B500" s="47"/>
      <c r="C500" s="47"/>
      <c r="D500" s="47"/>
      <c r="E500" s="47"/>
      <c r="F500" s="47"/>
      <c r="G500" s="47"/>
    </row>
    <row r="501">
      <c r="A501" s="47"/>
      <c r="B501" s="47"/>
      <c r="C501" s="47"/>
      <c r="D501" s="47"/>
      <c r="E501" s="47"/>
      <c r="F501" s="47"/>
      <c r="G501" s="47"/>
    </row>
    <row r="502">
      <c r="A502" s="47"/>
      <c r="B502" s="47"/>
      <c r="C502" s="47"/>
      <c r="D502" s="47"/>
      <c r="E502" s="47"/>
      <c r="F502" s="47"/>
      <c r="G502" s="47"/>
    </row>
    <row r="503">
      <c r="A503" s="47"/>
      <c r="B503" s="47"/>
      <c r="C503" s="47"/>
      <c r="D503" s="47"/>
      <c r="E503" s="47"/>
      <c r="F503" s="47"/>
      <c r="G503" s="47"/>
    </row>
    <row r="504">
      <c r="A504" s="47"/>
      <c r="B504" s="47"/>
      <c r="C504" s="47"/>
      <c r="D504" s="47"/>
      <c r="E504" s="47"/>
      <c r="F504" s="47"/>
      <c r="G504" s="47"/>
    </row>
    <row r="505">
      <c r="A505" s="47"/>
      <c r="B505" s="47"/>
      <c r="C505" s="47"/>
      <c r="D505" s="47"/>
      <c r="E505" s="47"/>
      <c r="F505" s="47"/>
      <c r="G505" s="47"/>
    </row>
    <row r="506">
      <c r="A506" s="47"/>
      <c r="B506" s="47"/>
      <c r="C506" s="47"/>
      <c r="D506" s="47"/>
      <c r="E506" s="47"/>
      <c r="F506" s="47"/>
      <c r="G506" s="47"/>
    </row>
    <row r="507">
      <c r="A507" s="47"/>
      <c r="B507" s="47"/>
      <c r="C507" s="47"/>
      <c r="D507" s="47"/>
      <c r="E507" s="47"/>
      <c r="F507" s="47"/>
      <c r="G507" s="47"/>
    </row>
    <row r="508">
      <c r="A508" s="47"/>
      <c r="B508" s="47"/>
      <c r="C508" s="47"/>
      <c r="D508" s="47"/>
      <c r="E508" s="47"/>
      <c r="F508" s="47"/>
      <c r="G508" s="47"/>
    </row>
    <row r="509">
      <c r="A509" s="47"/>
      <c r="B509" s="47"/>
      <c r="C509" s="47"/>
      <c r="D509" s="47"/>
      <c r="E509" s="47"/>
      <c r="F509" s="47"/>
      <c r="G509" s="47"/>
    </row>
    <row r="510">
      <c r="A510" s="47"/>
      <c r="B510" s="47"/>
      <c r="C510" s="47"/>
      <c r="D510" s="47"/>
      <c r="E510" s="47"/>
      <c r="F510" s="47"/>
      <c r="G510" s="47"/>
    </row>
    <row r="511">
      <c r="A511" s="47"/>
      <c r="B511" s="47"/>
      <c r="C511" s="47"/>
      <c r="D511" s="47"/>
      <c r="E511" s="47"/>
      <c r="F511" s="47"/>
      <c r="G511" s="47"/>
    </row>
    <row r="512">
      <c r="A512" s="47"/>
      <c r="B512" s="47"/>
      <c r="C512" s="47"/>
      <c r="D512" s="47"/>
      <c r="E512" s="47"/>
      <c r="F512" s="47"/>
      <c r="G512" s="47"/>
    </row>
    <row r="513">
      <c r="A513" s="47"/>
      <c r="B513" s="47"/>
      <c r="C513" s="47"/>
      <c r="D513" s="47"/>
      <c r="E513" s="47"/>
      <c r="F513" s="47"/>
      <c r="G513" s="47"/>
    </row>
    <row r="514">
      <c r="A514" s="47"/>
      <c r="B514" s="47"/>
      <c r="C514" s="47"/>
      <c r="D514" s="47"/>
      <c r="E514" s="47"/>
      <c r="F514" s="47"/>
      <c r="G514" s="47"/>
    </row>
    <row r="515">
      <c r="A515" s="47"/>
      <c r="B515" s="47"/>
      <c r="C515" s="47"/>
      <c r="D515" s="47"/>
      <c r="E515" s="47"/>
      <c r="F515" s="47"/>
      <c r="G515" s="47"/>
    </row>
    <row r="516">
      <c r="A516" s="47"/>
      <c r="B516" s="47"/>
      <c r="C516" s="47"/>
      <c r="D516" s="47"/>
      <c r="E516" s="47"/>
      <c r="F516" s="47"/>
      <c r="G516" s="47"/>
    </row>
    <row r="517">
      <c r="A517" s="47"/>
      <c r="B517" s="47"/>
      <c r="C517" s="47"/>
      <c r="D517" s="47"/>
      <c r="E517" s="47"/>
      <c r="F517" s="47"/>
      <c r="G517" s="47"/>
    </row>
    <row r="518">
      <c r="A518" s="47"/>
      <c r="B518" s="47"/>
      <c r="C518" s="47"/>
      <c r="D518" s="47"/>
      <c r="E518" s="47"/>
      <c r="F518" s="47"/>
      <c r="G518" s="47"/>
    </row>
    <row r="519">
      <c r="A519" s="47"/>
      <c r="B519" s="47"/>
      <c r="C519" s="47"/>
      <c r="D519" s="47"/>
      <c r="E519" s="47"/>
      <c r="F519" s="47"/>
      <c r="G519" s="47"/>
    </row>
    <row r="520">
      <c r="A520" s="47"/>
      <c r="B520" s="47"/>
      <c r="C520" s="47"/>
      <c r="D520" s="47"/>
      <c r="E520" s="47"/>
      <c r="F520" s="47"/>
      <c r="G520" s="47"/>
    </row>
    <row r="521">
      <c r="A521" s="47"/>
      <c r="B521" s="47"/>
      <c r="C521" s="47"/>
      <c r="D521" s="47"/>
      <c r="E521" s="47"/>
      <c r="F521" s="47"/>
      <c r="G521" s="4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.38"/>
    <col customWidth="1" min="3" max="3" width="13.75"/>
    <col customWidth="1" min="4" max="4" width="4.0"/>
    <col customWidth="1" min="6" max="6" width="3.88"/>
    <col customWidth="1" min="8" max="8" width="3.5"/>
    <col customWidth="1" min="10" max="10" width="4.25"/>
  </cols>
  <sheetData>
    <row r="1">
      <c r="A1" s="225" t="str">
        <f t="array" ref="A1:A4">UNIQUE('Time 1'!D11:D16)</f>
        <v>Energético 1</v>
      </c>
      <c r="B1" s="226"/>
      <c r="C1" s="227" t="str">
        <f t="array" ref="C1:C2">UNIQUE('Time 2'!D11:D16)</f>
        <v>Energético 3</v>
      </c>
      <c r="D1" s="228"/>
      <c r="E1" s="227" t="str">
        <f t="array" ref="E1:E2">UNIQUE('Time 3'!D11:D16)</f>
        <v>Energético 3</v>
      </c>
      <c r="F1" s="228"/>
      <c r="G1" s="227" t="str">
        <f t="array" ref="G1:G3">UNIQUE('Time 4'!D11:D16)</f>
        <v>Energético 3</v>
      </c>
      <c r="H1" s="228"/>
      <c r="I1" s="227" t="str">
        <f t="array" ref="I1:I3">UNIQUE('Time 5'!D11:D16)</f>
        <v>Energético 3</v>
      </c>
      <c r="J1" s="228"/>
    </row>
    <row r="2">
      <c r="A2" s="229" t="s">
        <v>171</v>
      </c>
      <c r="B2" s="230"/>
      <c r="C2" s="229" t="s">
        <v>129</v>
      </c>
      <c r="D2" s="231"/>
      <c r="E2" s="229" t="s">
        <v>129</v>
      </c>
      <c r="F2" s="231"/>
      <c r="G2" s="229" t="s">
        <v>129</v>
      </c>
      <c r="H2" s="231"/>
      <c r="I2" s="229" t="s">
        <v>129</v>
      </c>
      <c r="J2" s="231"/>
    </row>
    <row r="3">
      <c r="A3" s="229" t="s">
        <v>249</v>
      </c>
      <c r="B3" s="230"/>
      <c r="C3" s="229"/>
      <c r="D3" s="231"/>
      <c r="E3" s="229"/>
      <c r="F3" s="231"/>
      <c r="G3" s="229" t="e">
        <v>#REF!</v>
      </c>
      <c r="H3" s="231"/>
      <c r="I3" s="229" t="e">
        <v>#REF!</v>
      </c>
      <c r="J3" s="231"/>
    </row>
    <row r="4">
      <c r="A4" s="229" t="s">
        <v>129</v>
      </c>
      <c r="B4" s="230"/>
      <c r="C4" s="229"/>
      <c r="D4" s="231"/>
      <c r="E4" s="229"/>
      <c r="F4" s="231"/>
      <c r="G4" s="229"/>
      <c r="H4" s="231"/>
      <c r="I4" s="229"/>
      <c r="J4" s="231"/>
    </row>
    <row r="5">
      <c r="A5" s="229"/>
      <c r="B5" s="230"/>
      <c r="C5" s="229"/>
      <c r="D5" s="231"/>
      <c r="E5" s="229"/>
      <c r="F5" s="231"/>
      <c r="G5" s="229"/>
      <c r="H5" s="231"/>
      <c r="I5" s="232"/>
      <c r="J5" s="231"/>
    </row>
    <row r="6">
      <c r="A6" s="233"/>
      <c r="B6" s="234"/>
      <c r="C6" s="233"/>
      <c r="D6" s="235"/>
      <c r="E6" s="233"/>
      <c r="F6" s="235"/>
      <c r="G6" s="233"/>
      <c r="H6" s="235"/>
      <c r="I6" s="233"/>
      <c r="J6" s="235"/>
    </row>
    <row r="7">
      <c r="A7" s="236" t="str">
        <f t="array" ref="A7:A8">UNIQUE('Time 1'!E11:E16)</f>
        <v>Encontrar mágica</v>
      </c>
      <c r="B7" s="230"/>
      <c r="C7" s="236" t="str">
        <f t="array" ref="C7:C9">UNIQUE('Time 2'!E11:E16)</f>
        <v>Encontrar mágica</v>
      </c>
      <c r="D7" s="231"/>
      <c r="E7" s="227" t="str">
        <f t="array" ref="E7:E9">UNIQUE('Time 3'!E11:E16)</f>
        <v>Encontrar mágica</v>
      </c>
      <c r="F7" s="231"/>
      <c r="G7" s="227" t="str">
        <f t="array" ref="G7:G10">UNIQUE('Time 4'!E11:E16)</f>
        <v>Encontrar mágica</v>
      </c>
      <c r="H7" s="231"/>
      <c r="I7" s="227" t="str">
        <f t="array" ref="I7:I9">UNIQUE('Time 5'!E11:E16)</f>
        <v>Encontrar mágica</v>
      </c>
      <c r="J7" s="237"/>
    </row>
    <row r="8">
      <c r="A8" s="229" t="s">
        <v>197</v>
      </c>
      <c r="B8" s="230"/>
      <c r="C8" s="229" t="s">
        <v>106</v>
      </c>
      <c r="D8" s="231"/>
      <c r="E8" s="229" t="s">
        <v>197</v>
      </c>
      <c r="F8" s="231"/>
      <c r="G8" s="229" t="s">
        <v>197</v>
      </c>
      <c r="H8" s="231"/>
      <c r="I8" s="229" t="s">
        <v>197</v>
      </c>
      <c r="J8" s="231"/>
    </row>
    <row r="9">
      <c r="A9" s="229"/>
      <c r="B9" s="230"/>
      <c r="C9" s="229" t="s">
        <v>197</v>
      </c>
      <c r="D9" s="231"/>
      <c r="E9" s="229" t="s">
        <v>106</v>
      </c>
      <c r="F9" s="231"/>
      <c r="G9" s="229" t="s">
        <v>106</v>
      </c>
      <c r="H9" s="231"/>
      <c r="I9" s="229" t="e">
        <v>#REF!</v>
      </c>
      <c r="J9" s="231"/>
    </row>
    <row r="10">
      <c r="A10" s="229"/>
      <c r="B10" s="230"/>
      <c r="C10" s="229"/>
      <c r="D10" s="231"/>
      <c r="E10" s="229"/>
      <c r="F10" s="231"/>
      <c r="G10" s="229" t="e">
        <v>#REF!</v>
      </c>
      <c r="H10" s="231"/>
      <c r="I10" s="229"/>
      <c r="J10" s="231"/>
    </row>
    <row r="11">
      <c r="A11" s="229"/>
      <c r="B11" s="230"/>
      <c r="C11" s="229"/>
      <c r="D11" s="231"/>
      <c r="E11" s="229"/>
      <c r="F11" s="231"/>
      <c r="G11" s="238"/>
      <c r="H11" s="231"/>
      <c r="I11" s="229"/>
      <c r="J11" s="231"/>
    </row>
    <row r="12">
      <c r="A12" s="233"/>
      <c r="B12" s="234"/>
      <c r="C12" s="233"/>
      <c r="D12" s="235"/>
      <c r="E12" s="233"/>
      <c r="F12" s="235"/>
      <c r="G12" s="233"/>
      <c r="H12" s="235"/>
      <c r="I12" s="233"/>
      <c r="J12" s="235"/>
    </row>
    <row r="13">
      <c r="A13" s="236" t="str">
        <f t="array" ref="A13:A16">UNIQUE('Time 1'!F11:F16)</f>
        <v>Reviver 2</v>
      </c>
      <c r="B13" s="230"/>
      <c r="C13" s="236" t="str">
        <f t="array" ref="C13:C15">UNIQUE('Time 2'!F11:F16)</f>
        <v>Encontrar mágica</v>
      </c>
      <c r="D13" s="231"/>
      <c r="E13" s="227" t="str">
        <f t="array" ref="E13:E15">UNIQUE('Time 3'!F11:F16)</f>
        <v>Encontrar mágica</v>
      </c>
      <c r="F13" s="231"/>
      <c r="G13" s="227" t="str">
        <f t="array" ref="G13:G15">UNIQUE('Time 4'!F11:F16)</f>
        <v>Encontrar mágica</v>
      </c>
      <c r="H13" s="231"/>
      <c r="I13" s="227" t="str">
        <f t="array" ref="I13:I16">UNIQUE('Time 5'!F11:F16)</f>
        <v>Encontrar mágica</v>
      </c>
      <c r="J13" s="231"/>
    </row>
    <row r="14">
      <c r="A14" s="229" t="s">
        <v>308</v>
      </c>
      <c r="B14" s="230"/>
      <c r="C14" s="229" t="s">
        <v>106</v>
      </c>
      <c r="D14" s="231"/>
      <c r="E14" s="229" t="s">
        <v>197</v>
      </c>
      <c r="F14" s="231"/>
      <c r="G14" s="229" t="s">
        <v>106</v>
      </c>
      <c r="H14" s="231"/>
      <c r="I14" s="229" t="s">
        <v>197</v>
      </c>
      <c r="J14" s="231"/>
    </row>
    <row r="15">
      <c r="A15" s="229" t="s">
        <v>197</v>
      </c>
      <c r="B15" s="230"/>
      <c r="C15" s="229" t="s">
        <v>197</v>
      </c>
      <c r="D15" s="231"/>
      <c r="E15" s="229" t="s">
        <v>308</v>
      </c>
      <c r="F15" s="231"/>
      <c r="G15" s="229"/>
      <c r="H15" s="231"/>
      <c r="I15" s="229" t="s">
        <v>106</v>
      </c>
      <c r="J15" s="231"/>
    </row>
    <row r="16">
      <c r="A16" s="229" t="s">
        <v>129</v>
      </c>
      <c r="B16" s="230"/>
      <c r="C16" s="229"/>
      <c r="D16" s="231"/>
      <c r="E16" s="229"/>
      <c r="F16" s="231"/>
      <c r="G16" s="229"/>
      <c r="H16" s="231"/>
      <c r="I16" s="229"/>
      <c r="J16" s="231"/>
    </row>
    <row r="17">
      <c r="A17" s="229"/>
      <c r="B17" s="230"/>
      <c r="C17" s="229"/>
      <c r="D17" s="231"/>
      <c r="E17" s="229"/>
      <c r="F17" s="231"/>
      <c r="G17" s="229"/>
      <c r="H17" s="231"/>
      <c r="I17" s="229"/>
      <c r="J17" s="231"/>
    </row>
    <row r="18">
      <c r="A18" s="233"/>
      <c r="B18" s="234"/>
      <c r="C18" s="233"/>
      <c r="D18" s="235"/>
      <c r="E18" s="233"/>
      <c r="F18" s="235"/>
      <c r="G18" s="233"/>
      <c r="H18" s="235"/>
      <c r="I18" s="233"/>
      <c r="J18" s="235"/>
    </row>
    <row r="19">
      <c r="A19" s="227" t="str">
        <f t="array" ref="A19">UNIQUE('Time 1'!G11:G16)</f>
        <v>Encontrar mágica</v>
      </c>
      <c r="B19" s="230"/>
      <c r="C19" s="227" t="str">
        <f t="array" ref="C19:C20">UNIQUE('Time 2'!G11:G16)</f>
        <v>Encontrar mágica</v>
      </c>
      <c r="D19" s="231"/>
      <c r="E19" s="227" t="str">
        <f t="array" ref="E19">UNIQUE('Time 3'!G11:G16)</f>
        <v>Encontrar mágica</v>
      </c>
      <c r="F19" s="231"/>
      <c r="G19" s="227" t="str">
        <f t="array" ref="G19:G20">UNIQUE('Time 4'!G11:G16)</f>
        <v>Encontrar mágica</v>
      </c>
      <c r="H19" s="231"/>
      <c r="I19" s="227" t="str">
        <f t="array" ref="I19:I20">UNIQUE('Time 5'!G11:G16)</f>
        <v>Encontrar mágica</v>
      </c>
      <c r="J19" s="231"/>
    </row>
    <row r="20">
      <c r="A20" s="229"/>
      <c r="B20" s="230"/>
      <c r="C20" s="229" t="s">
        <v>171</v>
      </c>
      <c r="D20" s="231"/>
      <c r="E20" s="229"/>
      <c r="F20" s="231"/>
      <c r="G20" s="229" t="e">
        <v>#REF!</v>
      </c>
      <c r="H20" s="231"/>
      <c r="I20" s="229" t="e">
        <v>#REF!</v>
      </c>
      <c r="J20" s="231"/>
    </row>
    <row r="21">
      <c r="A21" s="229"/>
      <c r="B21" s="230"/>
      <c r="C21" s="229"/>
      <c r="D21" s="231"/>
      <c r="E21" s="229"/>
      <c r="F21" s="231"/>
      <c r="G21" s="229"/>
      <c r="H21" s="231"/>
      <c r="I21" s="229"/>
      <c r="J21" s="231"/>
    </row>
    <row r="22">
      <c r="A22" s="229"/>
      <c r="B22" s="230"/>
      <c r="C22" s="229"/>
      <c r="D22" s="231"/>
      <c r="E22" s="229"/>
      <c r="F22" s="231"/>
      <c r="G22" s="229"/>
      <c r="H22" s="231"/>
      <c r="I22" s="229"/>
      <c r="J22" s="231"/>
    </row>
    <row r="23">
      <c r="A23" s="229"/>
      <c r="B23" s="230"/>
      <c r="C23" s="229"/>
      <c r="D23" s="231"/>
      <c r="E23" s="229"/>
      <c r="F23" s="231"/>
      <c r="G23" s="229"/>
      <c r="H23" s="231"/>
      <c r="I23" s="229"/>
      <c r="J23" s="231"/>
    </row>
    <row r="24">
      <c r="A24" s="233"/>
      <c r="B24" s="234"/>
      <c r="C24" s="233"/>
      <c r="D24" s="235"/>
      <c r="E24" s="233"/>
      <c r="F24" s="235"/>
      <c r="G24" s="233"/>
      <c r="H24" s="235"/>
      <c r="I24" s="233"/>
      <c r="J24" s="235"/>
    </row>
    <row r="25">
      <c r="A25" s="236" t="str">
        <f t="array" ref="A25:A29">UNIQUE('Time 1'!H11:H16)</f>
        <v>Velocista 3</v>
      </c>
      <c r="B25" s="230"/>
      <c r="C25" s="227" t="str">
        <f t="array" ref="C25:C28">UNIQUE('Time 2'!H11:H16)</f>
        <v>Velocista 3</v>
      </c>
      <c r="D25" s="231"/>
      <c r="E25" s="239" t="str">
        <f t="array" ref="E25:E27">UNIQUE('Time 3'!H11:H16)</f>
        <v>Velocista 3</v>
      </c>
      <c r="F25" s="231"/>
      <c r="G25" s="239" t="str">
        <f t="array" ref="G25:G29">UNIQUE('Time 4'!H11:H16)</f>
        <v>Velocista 3</v>
      </c>
      <c r="H25" s="231"/>
      <c r="I25" s="239" t="str">
        <f t="array" ref="I25:I28">UNIQUE('Time 5'!H11:H16)</f>
        <v>Velocista 3</v>
      </c>
      <c r="J25" s="231"/>
    </row>
    <row r="26">
      <c r="A26" s="229" t="s">
        <v>106</v>
      </c>
      <c r="B26" s="230"/>
      <c r="C26" s="229" t="s">
        <v>106</v>
      </c>
      <c r="D26" s="231"/>
      <c r="E26" s="229" t="s">
        <v>109</v>
      </c>
      <c r="F26" s="231"/>
      <c r="G26" s="229" t="s">
        <v>129</v>
      </c>
      <c r="H26" s="231"/>
      <c r="I26" s="229" t="s">
        <v>109</v>
      </c>
      <c r="J26" s="231"/>
    </row>
    <row r="27">
      <c r="A27" s="229" t="s">
        <v>129</v>
      </c>
      <c r="B27" s="230"/>
      <c r="C27" s="229" t="s">
        <v>129</v>
      </c>
      <c r="D27" s="231"/>
      <c r="E27" s="229" t="s">
        <v>106</v>
      </c>
      <c r="F27" s="231"/>
      <c r="G27" s="229" t="s">
        <v>106</v>
      </c>
      <c r="H27" s="231"/>
      <c r="I27" s="229" t="s">
        <v>106</v>
      </c>
      <c r="J27" s="231"/>
    </row>
    <row r="28">
      <c r="A28" s="229" t="s">
        <v>135</v>
      </c>
      <c r="B28" s="230"/>
      <c r="C28" s="229" t="s">
        <v>109</v>
      </c>
      <c r="D28" s="231"/>
      <c r="E28" s="229"/>
      <c r="F28" s="231"/>
      <c r="G28" s="229" t="s">
        <v>109</v>
      </c>
      <c r="H28" s="231"/>
      <c r="I28" s="229" t="e">
        <v>#REF!</v>
      </c>
      <c r="J28" s="231"/>
    </row>
    <row r="29">
      <c r="A29" s="229" t="s">
        <v>109</v>
      </c>
      <c r="B29" s="230"/>
      <c r="C29" s="229"/>
      <c r="D29" s="231"/>
      <c r="E29" s="229"/>
      <c r="F29" s="231"/>
      <c r="G29" s="229" t="e">
        <v>#REF!</v>
      </c>
      <c r="H29" s="231"/>
      <c r="I29" s="229"/>
      <c r="J29" s="231"/>
    </row>
    <row r="30">
      <c r="A30" s="233"/>
      <c r="B30" s="234"/>
      <c r="C30" s="233"/>
      <c r="D30" s="235"/>
      <c r="E30" s="233"/>
      <c r="F30" s="235"/>
      <c r="G30" s="233"/>
      <c r="H30" s="235"/>
      <c r="I30" s="233"/>
      <c r="J30" s="235"/>
    </row>
    <row r="31">
      <c r="A31" s="236" t="str">
        <f t="array" ref="A31:A34">UNIQUE('Time 1'!I11:I16)</f>
        <v>Velocista 3</v>
      </c>
      <c r="B31" s="230"/>
      <c r="C31" s="227" t="str">
        <f t="array" ref="C31:C33">UNIQUE('Time 2'!I11:I16)</f>
        <v>Líder 1</v>
      </c>
      <c r="D31" s="231"/>
      <c r="E31" s="239" t="str">
        <f t="array" ref="E31:E33">UNIQUE('Time 3'!I11:I16)</f>
        <v>Líder 1</v>
      </c>
      <c r="F31" s="231"/>
      <c r="G31" s="239" t="str">
        <f t="array" ref="G31:G34">UNIQUE('Time 4'!I11:I16)</f>
        <v>Velocista 3</v>
      </c>
      <c r="H31" s="231"/>
      <c r="I31" s="239" t="str">
        <f t="array" ref="I31:I36">UNIQUE('Time 5'!I11:I16)</f>
        <v>Velocista 3</v>
      </c>
      <c r="J31" s="231"/>
    </row>
    <row r="32">
      <c r="A32" s="229" t="s">
        <v>367</v>
      </c>
      <c r="B32" s="230"/>
      <c r="C32" s="229" t="s">
        <v>129</v>
      </c>
      <c r="D32" s="231"/>
      <c r="E32" s="229" t="s">
        <v>171</v>
      </c>
      <c r="F32" s="231"/>
      <c r="G32" s="229" t="s">
        <v>171</v>
      </c>
      <c r="H32" s="231"/>
      <c r="I32" s="229" t="s">
        <v>171</v>
      </c>
      <c r="J32" s="231"/>
    </row>
    <row r="33">
      <c r="A33" s="229" t="s">
        <v>129</v>
      </c>
      <c r="B33" s="230"/>
      <c r="C33" s="229" t="s">
        <v>106</v>
      </c>
      <c r="D33" s="231"/>
      <c r="E33" s="229" t="s">
        <v>129</v>
      </c>
      <c r="F33" s="231"/>
      <c r="G33" s="229" t="s">
        <v>129</v>
      </c>
      <c r="H33" s="231"/>
      <c r="I33" s="229" t="s">
        <v>106</v>
      </c>
      <c r="J33" s="231"/>
    </row>
    <row r="34">
      <c r="A34" s="229" t="s">
        <v>171</v>
      </c>
      <c r="B34" s="230"/>
      <c r="C34" s="229"/>
      <c r="D34" s="231"/>
      <c r="E34" s="229"/>
      <c r="F34" s="231"/>
      <c r="G34" s="229" t="e">
        <v>#REF!</v>
      </c>
      <c r="H34" s="231"/>
      <c r="I34" s="229" t="s">
        <v>129</v>
      </c>
      <c r="J34" s="231"/>
    </row>
    <row r="35">
      <c r="A35" s="229"/>
      <c r="B35" s="230"/>
      <c r="C35" s="229"/>
      <c r="D35" s="231"/>
      <c r="E35" s="229"/>
      <c r="F35" s="231"/>
      <c r="G35" s="229"/>
      <c r="H35" s="231"/>
      <c r="I35" s="229" t="s">
        <v>367</v>
      </c>
      <c r="J35" s="231"/>
    </row>
    <row r="36">
      <c r="A36" s="233"/>
      <c r="B36" s="234"/>
      <c r="C36" s="233"/>
      <c r="D36" s="235"/>
      <c r="E36" s="233"/>
      <c r="F36" s="235"/>
      <c r="G36" s="233"/>
      <c r="H36" s="235"/>
      <c r="I36" s="233" t="e">
        <v>#REF!</v>
      </c>
      <c r="J36" s="235"/>
    </row>
    <row r="37">
      <c r="A37" s="236" t="str">
        <f t="array" ref="A37">UNIQUE('Time 1'!J11:J16)</f>
        <v>Encontrar mágica</v>
      </c>
      <c r="B37" s="230"/>
      <c r="C37" s="227" t="str">
        <f t="array" ref="C37">UNIQUE('Time 2'!J11:J16)</f>
        <v>Encontrar mágica</v>
      </c>
      <c r="D37" s="231"/>
      <c r="E37" s="239" t="str">
        <f t="array" ref="E37:E39">UNIQUE('Time 3'!J11:J16)</f>
        <v>Velocista 2</v>
      </c>
      <c r="F37" s="231"/>
      <c r="G37" s="239" t="str">
        <f t="array" ref="G37:G38">UNIQUE('Time 4'!J11:J16)</f>
        <v>Encontrar mágica</v>
      </c>
      <c r="H37" s="231"/>
      <c r="I37" s="239" t="str">
        <f t="array" ref="I37:I38">UNIQUE('Time 5'!J11:J16)</f>
        <v>Encontrar mágica</v>
      </c>
      <c r="J37" s="231"/>
    </row>
    <row r="38">
      <c r="A38" s="229"/>
      <c r="B38" s="230"/>
      <c r="C38" s="229"/>
      <c r="D38" s="231"/>
      <c r="E38" s="229" t="s">
        <v>129</v>
      </c>
      <c r="F38" s="231"/>
      <c r="G38" s="229" t="e">
        <v>#REF!</v>
      </c>
      <c r="H38" s="231"/>
      <c r="I38" s="229" t="e">
        <v>#REF!</v>
      </c>
      <c r="J38" s="231"/>
    </row>
    <row r="39">
      <c r="A39" s="229"/>
      <c r="B39" s="230"/>
      <c r="C39" s="229"/>
      <c r="D39" s="231"/>
      <c r="E39" s="229" t="s">
        <v>109</v>
      </c>
      <c r="F39" s="231"/>
      <c r="G39" s="229"/>
      <c r="H39" s="231"/>
      <c r="I39" s="229"/>
      <c r="J39" s="231"/>
    </row>
    <row r="40">
      <c r="A40" s="229"/>
      <c r="B40" s="230"/>
      <c r="C40" s="229"/>
      <c r="D40" s="231"/>
      <c r="E40" s="229"/>
      <c r="F40" s="231"/>
      <c r="G40" s="229"/>
      <c r="H40" s="231"/>
      <c r="I40" s="229"/>
      <c r="J40" s="231"/>
    </row>
    <row r="41">
      <c r="A41" s="229"/>
      <c r="B41" s="230"/>
      <c r="C41" s="229"/>
      <c r="D41" s="231"/>
      <c r="E41" s="229"/>
      <c r="F41" s="231"/>
      <c r="G41" s="229"/>
      <c r="H41" s="231"/>
      <c r="I41" s="229"/>
      <c r="J41" s="231"/>
    </row>
    <row r="42">
      <c r="A42" s="233"/>
      <c r="B42" s="234"/>
      <c r="C42" s="233"/>
      <c r="D42" s="235"/>
      <c r="E42" s="233"/>
      <c r="F42" s="235"/>
      <c r="G42" s="233"/>
      <c r="H42" s="235"/>
      <c r="I42" s="233"/>
      <c r="J42" s="235"/>
    </row>
    <row r="43">
      <c r="A43" s="236" t="str">
        <f t="array" ref="A43:A48">UNIQUE('Time 1'!K11:K16)</f>
        <v>Energético 2</v>
      </c>
      <c r="B43" s="230"/>
      <c r="C43" s="239" t="str">
        <f t="array" ref="C43:C48">UNIQUE('Time 2'!K11:K16)</f>
        <v>Engenhoso 3</v>
      </c>
      <c r="D43" s="231"/>
      <c r="E43" s="239" t="str">
        <f t="array" ref="E43:E48">UNIQUE('Time 3'!K11:K16)</f>
        <v>Sábio 2</v>
      </c>
      <c r="F43" s="231"/>
      <c r="G43" s="239" t="str">
        <f t="array" ref="G43:G48">UNIQUE('Time 4'!K11:K16)</f>
        <v>Cuidadoso 2</v>
      </c>
      <c r="H43" s="231"/>
      <c r="I43" s="239" t="str">
        <f t="array" ref="I43:I48">UNIQUE('Time 5'!K11:K16)</f>
        <v>Ganancioso 1</v>
      </c>
      <c r="J43" s="231"/>
    </row>
    <row r="44">
      <c r="A44" s="229" t="s">
        <v>269</v>
      </c>
      <c r="B44" s="230"/>
      <c r="C44" s="229" t="s">
        <v>115</v>
      </c>
      <c r="D44" s="231"/>
      <c r="E44" s="229" t="s">
        <v>231</v>
      </c>
      <c r="F44" s="231"/>
      <c r="G44" s="229" t="s">
        <v>164</v>
      </c>
      <c r="H44" s="231"/>
      <c r="I44" s="229" t="s">
        <v>72</v>
      </c>
      <c r="J44" s="231"/>
    </row>
    <row r="45">
      <c r="A45" s="229" t="s">
        <v>451</v>
      </c>
      <c r="B45" s="230"/>
      <c r="C45" s="229" t="s">
        <v>361</v>
      </c>
      <c r="D45" s="231"/>
      <c r="E45" s="229" t="s">
        <v>89</v>
      </c>
      <c r="F45" s="231"/>
      <c r="G45" s="229" t="s">
        <v>171</v>
      </c>
      <c r="H45" s="231"/>
      <c r="I45" s="229" t="s">
        <v>212</v>
      </c>
      <c r="J45" s="231"/>
    </row>
    <row r="46">
      <c r="A46" s="229" t="s">
        <v>412</v>
      </c>
      <c r="B46" s="230"/>
      <c r="C46" s="229" t="s">
        <v>425</v>
      </c>
      <c r="D46" s="231"/>
      <c r="E46" s="229" t="s">
        <v>138</v>
      </c>
      <c r="F46" s="231"/>
      <c r="G46" s="229" t="s">
        <v>374</v>
      </c>
      <c r="H46" s="231"/>
      <c r="I46" s="229" t="s">
        <v>388</v>
      </c>
      <c r="J46" s="231"/>
    </row>
    <row r="47">
      <c r="A47" s="229" t="s">
        <v>354</v>
      </c>
      <c r="B47" s="230"/>
      <c r="C47" s="229" t="s">
        <v>664</v>
      </c>
      <c r="D47" s="231"/>
      <c r="E47" s="229" t="s">
        <v>177</v>
      </c>
      <c r="F47" s="231"/>
      <c r="G47" s="229" t="s">
        <v>124</v>
      </c>
      <c r="H47" s="231"/>
      <c r="I47" s="229" t="s">
        <v>208</v>
      </c>
      <c r="J47" s="231"/>
    </row>
    <row r="48">
      <c r="A48" s="233" t="s">
        <v>141</v>
      </c>
      <c r="B48" s="234"/>
      <c r="C48" s="233" t="s">
        <v>252</v>
      </c>
      <c r="D48" s="235"/>
      <c r="E48" s="233" t="s">
        <v>109</v>
      </c>
      <c r="F48" s="235"/>
      <c r="G48" s="233" t="b">
        <v>0</v>
      </c>
      <c r="H48" s="235"/>
      <c r="I48" s="233" t="b">
        <v>0</v>
      </c>
      <c r="J48" s="235"/>
    </row>
    <row r="49">
      <c r="A49" s="236" t="str">
        <f t="array" ref="A49:A54">UNIQUE('Time 1'!L11:L16)</f>
        <v>Catador 2</v>
      </c>
      <c r="B49" s="230"/>
      <c r="C49" s="227" t="str">
        <f t="array" ref="C49:C54">UNIQUE('Time 2'!L11:L16)</f>
        <v>Gangster 3</v>
      </c>
      <c r="D49" s="231"/>
      <c r="E49" s="239" t="str">
        <f t="array" ref="E49:E53">UNIQUE('Time 3'!L11:L16)</f>
        <v>Companheiro de Guerra 3</v>
      </c>
      <c r="F49" s="231"/>
      <c r="G49" s="239" t="str">
        <f t="array" ref="G49:G54">UNIQUE('Time 4'!L11:L16)</f>
        <v>Suporte 2</v>
      </c>
      <c r="H49" s="231"/>
      <c r="I49" s="239" t="str">
        <f t="array" ref="I49:I54">UNIQUE('Time 5'!L11:L16)</f>
        <v>Sortudo 2</v>
      </c>
      <c r="J49" s="231"/>
    </row>
    <row r="50">
      <c r="A50" s="229" t="s">
        <v>686</v>
      </c>
      <c r="B50" s="230"/>
      <c r="C50" s="229" t="s">
        <v>167</v>
      </c>
      <c r="D50" s="231"/>
      <c r="E50" s="229" t="s">
        <v>92</v>
      </c>
      <c r="F50" s="231"/>
      <c r="G50" s="229" t="s">
        <v>177</v>
      </c>
      <c r="H50" s="231"/>
      <c r="I50" s="229" t="s">
        <v>210</v>
      </c>
      <c r="J50" s="231"/>
    </row>
    <row r="51">
      <c r="A51" s="229" t="s">
        <v>197</v>
      </c>
      <c r="B51" s="230"/>
      <c r="C51" s="229" t="s">
        <v>187</v>
      </c>
      <c r="D51" s="231"/>
      <c r="E51" s="229" t="s">
        <v>86</v>
      </c>
      <c r="F51" s="231"/>
      <c r="G51" s="229" t="s">
        <v>291</v>
      </c>
      <c r="H51" s="231"/>
      <c r="I51" s="229" t="s">
        <v>177</v>
      </c>
      <c r="J51" s="231"/>
    </row>
    <row r="52">
      <c r="A52" s="229" t="s">
        <v>291</v>
      </c>
      <c r="B52" s="230"/>
      <c r="C52" s="229" t="s">
        <v>199</v>
      </c>
      <c r="D52" s="231"/>
      <c r="E52" s="229" t="s">
        <v>146</v>
      </c>
      <c r="F52" s="231"/>
      <c r="G52" s="229" t="s">
        <v>106</v>
      </c>
      <c r="H52" s="231"/>
      <c r="I52" s="229" t="s">
        <v>135</v>
      </c>
      <c r="J52" s="231"/>
    </row>
    <row r="53">
      <c r="A53" s="229" t="s">
        <v>597</v>
      </c>
      <c r="B53" s="230"/>
      <c r="C53" s="229" t="s">
        <v>205</v>
      </c>
      <c r="D53" s="231"/>
      <c r="E53" s="229" t="s">
        <v>129</v>
      </c>
      <c r="F53" s="231"/>
      <c r="G53" s="229" t="s">
        <v>103</v>
      </c>
      <c r="H53" s="231"/>
      <c r="I53" s="229" t="s">
        <v>158</v>
      </c>
      <c r="J53" s="231"/>
    </row>
    <row r="54">
      <c r="A54" s="233" t="s">
        <v>150</v>
      </c>
      <c r="B54" s="234"/>
      <c r="C54" s="233" t="s">
        <v>224</v>
      </c>
      <c r="D54" s="235"/>
      <c r="E54" s="233"/>
      <c r="F54" s="235"/>
      <c r="G54" s="233"/>
      <c r="H54" s="235"/>
      <c r="I54" s="233"/>
      <c r="J54" s="235"/>
    </row>
    <row r="55">
      <c r="A55" s="236" t="str">
        <f t="array" ref="A55:A60">UNIQUE('Time 1'!M11:M16)</f>
        <v>Líder 2</v>
      </c>
      <c r="B55" s="230"/>
      <c r="C55" s="239" t="str">
        <f t="array" ref="C55:C60">UNIQUE('Time 2'!M11:M16)</f>
        <v>Velocista 3</v>
      </c>
      <c r="D55" s="231"/>
      <c r="E55" s="239" t="str">
        <f t="array" ref="E55:E60">UNIQUE('Time 3'!M11:M16)</f>
        <v>Velocista 2</v>
      </c>
      <c r="F55" s="231"/>
      <c r="G55" s="239" t="str">
        <f t="array" ref="G55:G60">UNIQUE('Time 4'!M11:M16)</f>
        <v>Amazona 2</v>
      </c>
      <c r="H55" s="231"/>
      <c r="I55" s="239" t="str">
        <f t="array" ref="I55:I60">UNIQUE('Time 5'!M11:M16)</f>
        <v>Caça-tesouros 2</v>
      </c>
      <c r="J55" s="231"/>
    </row>
    <row r="56">
      <c r="A56" s="229" t="s">
        <v>347</v>
      </c>
      <c r="B56" s="230"/>
      <c r="C56" s="229" t="s">
        <v>341</v>
      </c>
      <c r="D56" s="231"/>
      <c r="E56" s="229" t="s">
        <v>158</v>
      </c>
      <c r="F56" s="231"/>
      <c r="G56" s="229" t="s">
        <v>624</v>
      </c>
      <c r="H56" s="231"/>
      <c r="I56" s="229" t="s">
        <v>92</v>
      </c>
      <c r="J56" s="231"/>
    </row>
    <row r="57">
      <c r="A57" s="229" t="s">
        <v>316</v>
      </c>
      <c r="B57" s="230"/>
      <c r="C57" s="229" t="s">
        <v>185</v>
      </c>
      <c r="D57" s="231"/>
      <c r="E57" s="229" t="s">
        <v>80</v>
      </c>
      <c r="F57" s="231"/>
      <c r="G57" s="229" t="s">
        <v>681</v>
      </c>
      <c r="H57" s="231"/>
      <c r="I57" s="229" t="s">
        <v>94</v>
      </c>
      <c r="J57" s="231"/>
    </row>
    <row r="58">
      <c r="A58" s="229" t="s">
        <v>425</v>
      </c>
      <c r="B58" s="230"/>
      <c r="C58" s="229" t="s">
        <v>126</v>
      </c>
      <c r="D58" s="231"/>
      <c r="E58" s="229" t="s">
        <v>83</v>
      </c>
      <c r="F58" s="231"/>
      <c r="G58" s="229" t="s">
        <v>217</v>
      </c>
      <c r="H58" s="231"/>
      <c r="I58" s="229" t="s">
        <v>86</v>
      </c>
      <c r="J58" s="231"/>
    </row>
    <row r="59">
      <c r="A59" s="229" t="s">
        <v>328</v>
      </c>
      <c r="B59" s="230"/>
      <c r="C59" s="229" t="s">
        <v>347</v>
      </c>
      <c r="D59" s="231"/>
      <c r="E59" s="229" t="s">
        <v>150</v>
      </c>
      <c r="F59" s="231"/>
      <c r="G59" s="229" t="s">
        <v>308</v>
      </c>
      <c r="H59" s="231"/>
      <c r="I59" s="229" t="s">
        <v>132</v>
      </c>
      <c r="J59" s="231"/>
    </row>
    <row r="60">
      <c r="A60" s="233" t="s">
        <v>152</v>
      </c>
      <c r="B60" s="234"/>
      <c r="C60" s="233" t="s">
        <v>325</v>
      </c>
      <c r="D60" s="235"/>
      <c r="E60" s="233" t="s">
        <v>121</v>
      </c>
      <c r="F60" s="235"/>
      <c r="G60" s="233"/>
      <c r="H60" s="235"/>
      <c r="I60" s="233"/>
      <c r="J60" s="235"/>
    </row>
    <row r="61">
      <c r="A61" s="229"/>
      <c r="B61" s="230"/>
      <c r="C61" s="229"/>
      <c r="D61" s="231"/>
      <c r="E61" s="229"/>
      <c r="F61" s="231"/>
      <c r="G61" s="229"/>
      <c r="H61" s="231"/>
      <c r="I61" s="229"/>
      <c r="J61" s="23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240" t="s">
        <v>208</v>
      </c>
      <c r="B1" s="240">
        <v>25.0</v>
      </c>
    </row>
    <row r="2">
      <c r="A2" s="240" t="s">
        <v>388</v>
      </c>
      <c r="B2" s="240">
        <v>25.0</v>
      </c>
    </row>
    <row r="3">
      <c r="A3" s="240" t="s">
        <v>212</v>
      </c>
      <c r="B3" s="240">
        <v>25.0</v>
      </c>
    </row>
    <row r="4">
      <c r="A4" s="240" t="s">
        <v>189</v>
      </c>
      <c r="B4" s="240">
        <v>30.0</v>
      </c>
    </row>
    <row r="5">
      <c r="A5" s="240" t="s">
        <v>154</v>
      </c>
      <c r="B5" s="240">
        <v>35.0</v>
      </c>
    </row>
    <row r="6">
      <c r="A6" s="240" t="s">
        <v>72</v>
      </c>
      <c r="B6" s="240">
        <v>40.0</v>
      </c>
    </row>
    <row r="7">
      <c r="A7" s="240" t="s">
        <v>269</v>
      </c>
      <c r="B7" s="240">
        <v>50.0</v>
      </c>
    </row>
    <row r="8">
      <c r="A8" s="240" t="s">
        <v>412</v>
      </c>
      <c r="B8" s="240">
        <v>25.0</v>
      </c>
    </row>
    <row r="9">
      <c r="A9" s="240" t="s">
        <v>361</v>
      </c>
      <c r="B9" s="240">
        <v>10.0</v>
      </c>
    </row>
    <row r="10">
      <c r="A10" s="240" t="s">
        <v>285</v>
      </c>
      <c r="B10" s="240">
        <v>15.0</v>
      </c>
    </row>
    <row r="11">
      <c r="A11" s="240" t="s">
        <v>109</v>
      </c>
      <c r="B11" s="224">
        <f>sum(COUNTA('Time 1'!C3:C8 )*1)</f>
        <v>6</v>
      </c>
    </row>
    <row r="12">
      <c r="A12" s="240" t="s">
        <v>129</v>
      </c>
      <c r="B12" s="224">
        <f>sum(COUNTA('Time 1'!C3:C8 )*2)</f>
        <v>12</v>
      </c>
    </row>
    <row r="13">
      <c r="A13" s="240" t="s">
        <v>279</v>
      </c>
      <c r="B13" s="240">
        <v>8.0</v>
      </c>
    </row>
    <row r="14">
      <c r="A14" s="240" t="s">
        <v>112</v>
      </c>
      <c r="B14" s="240">
        <v>20.0</v>
      </c>
    </row>
    <row r="15">
      <c r="A15" s="240" t="s">
        <v>664</v>
      </c>
      <c r="B15" s="240">
        <v>50.0</v>
      </c>
    </row>
    <row r="16">
      <c r="A16" s="240" t="s">
        <v>210</v>
      </c>
      <c r="B16" s="240">
        <v>10.0</v>
      </c>
    </row>
    <row r="17">
      <c r="A17" s="240" t="s">
        <v>252</v>
      </c>
      <c r="B17" s="240">
        <v>20.0</v>
      </c>
    </row>
    <row r="18">
      <c r="A18" s="240" t="s">
        <v>686</v>
      </c>
      <c r="B18" s="240">
        <v>30.0</v>
      </c>
    </row>
    <row r="19">
      <c r="A19" s="240" t="s">
        <v>135</v>
      </c>
      <c r="B19" s="240">
        <v>50.0</v>
      </c>
    </row>
    <row r="20">
      <c r="A20" s="240" t="s">
        <v>249</v>
      </c>
      <c r="B20" s="240">
        <v>75.0</v>
      </c>
    </row>
    <row r="21">
      <c r="A21" s="240" t="s">
        <v>171</v>
      </c>
      <c r="B21" s="240">
        <v>100.0</v>
      </c>
    </row>
    <row r="22">
      <c r="A22" s="240" t="s">
        <v>141</v>
      </c>
      <c r="B22" s="240">
        <v>15.0</v>
      </c>
    </row>
    <row r="23">
      <c r="A23" s="240" t="s">
        <v>244</v>
      </c>
      <c r="B23" s="240">
        <v>30.0</v>
      </c>
    </row>
    <row r="24">
      <c r="A24" s="240" t="s">
        <v>164</v>
      </c>
      <c r="B24" s="240">
        <v>50.0</v>
      </c>
    </row>
    <row r="25">
      <c r="A25" s="240" t="s">
        <v>76</v>
      </c>
      <c r="B25" s="240">
        <v>50.0</v>
      </c>
    </row>
    <row r="26">
      <c r="A26" s="240" t="s">
        <v>374</v>
      </c>
      <c r="B26" s="240">
        <v>100.0</v>
      </c>
    </row>
    <row r="27">
      <c r="A27" s="240" t="s">
        <v>124</v>
      </c>
      <c r="B27" s="240">
        <v>200.0</v>
      </c>
    </row>
    <row r="28">
      <c r="A28" s="240" t="s">
        <v>231</v>
      </c>
      <c r="B28" s="240">
        <v>10.0</v>
      </c>
    </row>
    <row r="29">
      <c r="A29" s="240" t="s">
        <v>103</v>
      </c>
      <c r="B29" s="240">
        <v>25.0</v>
      </c>
    </row>
    <row r="30">
      <c r="A30" s="240" t="s">
        <v>224</v>
      </c>
      <c r="B30" s="240">
        <v>50.0</v>
      </c>
    </row>
    <row r="31">
      <c r="A31" s="240" t="s">
        <v>138</v>
      </c>
      <c r="B31" s="240">
        <v>10.0</v>
      </c>
    </row>
    <row r="32">
      <c r="A32" s="240" t="s">
        <v>143</v>
      </c>
      <c r="B32" s="240">
        <v>20.0</v>
      </c>
    </row>
    <row r="33">
      <c r="A33" s="240" t="s">
        <v>291</v>
      </c>
      <c r="B33" s="240">
        <v>30.0</v>
      </c>
    </row>
    <row r="34">
      <c r="A34" s="240" t="s">
        <v>187</v>
      </c>
      <c r="B34" s="240">
        <v>2.0</v>
      </c>
    </row>
    <row r="35">
      <c r="A35" s="240" t="s">
        <v>115</v>
      </c>
      <c r="B35" s="240">
        <v>5.0</v>
      </c>
    </row>
    <row r="36">
      <c r="A36" s="240" t="s">
        <v>451</v>
      </c>
      <c r="B36" s="240">
        <v>10.0</v>
      </c>
    </row>
    <row r="37">
      <c r="A37" s="240" t="s">
        <v>177</v>
      </c>
      <c r="B37" s="240">
        <v>25.0</v>
      </c>
    </row>
    <row r="38">
      <c r="A38" s="240" t="s">
        <v>89</v>
      </c>
      <c r="B38" s="240">
        <v>50.0</v>
      </c>
    </row>
    <row r="39">
      <c r="A39" s="240" t="s">
        <v>205</v>
      </c>
      <c r="B39" s="240">
        <v>100.0</v>
      </c>
    </row>
    <row r="40">
      <c r="A40" s="240" t="s">
        <v>354</v>
      </c>
      <c r="B40" s="240">
        <v>1.0</v>
      </c>
    </row>
    <row r="41">
      <c r="A41" s="240" t="s">
        <v>167</v>
      </c>
      <c r="B41" s="240">
        <v>2.0</v>
      </c>
    </row>
    <row r="42">
      <c r="A42" s="240" t="s">
        <v>367</v>
      </c>
      <c r="B42" s="240">
        <v>3.0</v>
      </c>
    </row>
    <row r="43">
      <c r="A43" s="240" t="s">
        <v>92</v>
      </c>
      <c r="B43" s="240">
        <v>5.0</v>
      </c>
    </row>
    <row r="44">
      <c r="A44" s="240" t="s">
        <v>106</v>
      </c>
      <c r="B44" s="240">
        <v>10.0</v>
      </c>
    </row>
    <row r="45">
      <c r="A45" s="240" t="s">
        <v>197</v>
      </c>
      <c r="B45" s="240">
        <v>15.0</v>
      </c>
    </row>
    <row r="46">
      <c r="A46" s="240" t="s">
        <v>146</v>
      </c>
      <c r="B46" s="240">
        <v>1.0</v>
      </c>
    </row>
    <row r="47">
      <c r="A47" s="240" t="s">
        <v>484</v>
      </c>
      <c r="B47" s="240">
        <v>2.0</v>
      </c>
    </row>
    <row r="48">
      <c r="A48" s="240" t="s">
        <v>425</v>
      </c>
      <c r="B48" s="240">
        <v>3.0</v>
      </c>
    </row>
    <row r="49">
      <c r="A49" s="240" t="s">
        <v>150</v>
      </c>
      <c r="B49" s="240">
        <v>5.0</v>
      </c>
    </row>
    <row r="50">
      <c r="A50" s="240" t="s">
        <v>597</v>
      </c>
      <c r="B50" s="240">
        <v>10.0</v>
      </c>
    </row>
    <row r="51">
      <c r="A51" s="240" t="s">
        <v>624</v>
      </c>
      <c r="B51" s="240">
        <v>15.0</v>
      </c>
    </row>
    <row r="52">
      <c r="A52" s="240" t="s">
        <v>152</v>
      </c>
      <c r="B52" s="240">
        <v>1.0</v>
      </c>
    </row>
    <row r="53">
      <c r="A53" s="240" t="s">
        <v>308</v>
      </c>
      <c r="B53" s="240">
        <v>2.0</v>
      </c>
    </row>
    <row r="54">
      <c r="A54" s="240" t="s">
        <v>199</v>
      </c>
      <c r="B54" s="240">
        <v>3.0</v>
      </c>
    </row>
    <row r="55">
      <c r="A55" s="240" t="s">
        <v>83</v>
      </c>
      <c r="B55" s="240">
        <v>2.0</v>
      </c>
    </row>
    <row r="56">
      <c r="A56" s="240" t="s">
        <v>96</v>
      </c>
      <c r="B56" s="240">
        <v>4.0</v>
      </c>
    </row>
    <row r="57">
      <c r="A57" s="240" t="s">
        <v>126</v>
      </c>
      <c r="B57" s="240">
        <v>6.0</v>
      </c>
    </row>
    <row r="58">
      <c r="A58" s="240" t="s">
        <v>158</v>
      </c>
      <c r="B58" s="240">
        <v>25.0</v>
      </c>
    </row>
    <row r="59">
      <c r="A59" s="240" t="s">
        <v>276</v>
      </c>
      <c r="B59" s="240">
        <v>50.0</v>
      </c>
    </row>
    <row r="60">
      <c r="A60" s="240" t="s">
        <v>325</v>
      </c>
      <c r="B60" s="240">
        <v>100.0</v>
      </c>
    </row>
    <row r="61">
      <c r="A61" s="240" t="s">
        <v>94</v>
      </c>
      <c r="B61" s="240">
        <v>5.0</v>
      </c>
    </row>
    <row r="62">
      <c r="A62" s="240" t="s">
        <v>181</v>
      </c>
      <c r="B62" s="240">
        <v>10.0</v>
      </c>
    </row>
    <row r="63">
      <c r="A63" s="240" t="s">
        <v>681</v>
      </c>
      <c r="B63" s="240">
        <v>25.0</v>
      </c>
    </row>
    <row r="64">
      <c r="A64" s="240" t="s">
        <v>86</v>
      </c>
      <c r="B64" s="240">
        <v>5.0</v>
      </c>
    </row>
    <row r="65">
      <c r="A65" s="240" t="s">
        <v>341</v>
      </c>
      <c r="B65" s="240">
        <v>10.0</v>
      </c>
    </row>
    <row r="66">
      <c r="A66" s="240" t="s">
        <v>700</v>
      </c>
      <c r="B66" s="240">
        <v>25.0</v>
      </c>
    </row>
    <row r="67">
      <c r="A67" s="240" t="s">
        <v>185</v>
      </c>
      <c r="B67" s="240">
        <v>15.0</v>
      </c>
    </row>
    <row r="68">
      <c r="A68" s="240" t="s">
        <v>217</v>
      </c>
      <c r="B68" s="240">
        <v>25.0</v>
      </c>
    </row>
    <row r="69">
      <c r="A69" s="240" t="s">
        <v>347</v>
      </c>
      <c r="B69" s="240">
        <v>50.0</v>
      </c>
    </row>
    <row r="70">
      <c r="A70" s="240" t="s">
        <v>328</v>
      </c>
      <c r="B70" s="240">
        <v>10.0</v>
      </c>
    </row>
    <row r="71">
      <c r="A71" s="240" t="s">
        <v>160</v>
      </c>
      <c r="B71" s="240">
        <v>25.0</v>
      </c>
    </row>
    <row r="72">
      <c r="A72" s="240" t="s">
        <v>121</v>
      </c>
      <c r="B72" s="240">
        <v>25.0</v>
      </c>
    </row>
    <row r="73">
      <c r="A73" s="240" t="s">
        <v>494</v>
      </c>
      <c r="B73" s="240">
        <v>50.0</v>
      </c>
    </row>
    <row r="74">
      <c r="A74" s="240" t="s">
        <v>80</v>
      </c>
      <c r="B74" s="240">
        <v>1.0</v>
      </c>
    </row>
    <row r="75">
      <c r="A75" s="240" t="s">
        <v>709</v>
      </c>
      <c r="B75" s="240">
        <v>2.0</v>
      </c>
    </row>
    <row r="76">
      <c r="A76" s="240" t="s">
        <v>316</v>
      </c>
      <c r="B76" s="240">
        <v>3.0</v>
      </c>
    </row>
    <row r="77">
      <c r="A77" s="240" t="s">
        <v>132</v>
      </c>
      <c r="B77" s="240">
        <v>10.0</v>
      </c>
    </row>
    <row r="78">
      <c r="A78" s="240" t="s">
        <v>431</v>
      </c>
      <c r="B78" s="240">
        <v>25.0</v>
      </c>
    </row>
    <row r="79">
      <c r="A79" s="240" t="s">
        <v>222</v>
      </c>
      <c r="B79" s="240">
        <v>50.0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4.75"/>
    <col customWidth="1" min="4" max="4" width="4.0"/>
    <col customWidth="1" min="5" max="5" width="4.88"/>
    <col customWidth="1" min="6" max="6" width="3.38"/>
    <col customWidth="1" min="7" max="7" width="4.75"/>
    <col customWidth="1" min="8" max="8" width="4.13"/>
    <col customWidth="1" min="9" max="9" width="4.5"/>
    <col customWidth="1" min="10" max="10" width="4.13"/>
    <col customWidth="1" min="11" max="11" width="3.88"/>
    <col customWidth="1" min="12" max="12" width="4.13"/>
    <col customWidth="1" min="13" max="13" width="4.25"/>
    <col customWidth="1" min="14" max="14" width="3.63"/>
    <col customWidth="1" min="15" max="15" width="4.63"/>
    <col customWidth="1" min="16" max="16" width="3.5"/>
    <col customWidth="1" min="17" max="17" width="4.38"/>
    <col customWidth="1" min="18" max="18" width="3.25"/>
    <col customWidth="1" min="19" max="19" width="4.63"/>
    <col customWidth="1" min="20" max="20" width="3.63"/>
    <col customWidth="1" min="21" max="21" width="3.88"/>
    <col customWidth="1" min="22" max="22" width="2.88"/>
    <col customWidth="1" min="23" max="23" width="4.13"/>
    <col customWidth="1" min="24" max="24" width="3.88"/>
    <col customWidth="1" min="25" max="25" width="4.88"/>
    <col customWidth="1" min="26" max="26" width="3.88"/>
    <col customWidth="1" min="27" max="30" width="4.0"/>
    <col customWidth="1" min="31" max="31" width="3.75"/>
    <col customWidth="1" min="32" max="32" width="4.0"/>
    <col customWidth="1" min="33" max="33" width="4.13"/>
    <col customWidth="1" min="34" max="34" width="3.63"/>
    <col customWidth="1" min="35" max="35" width="3.88"/>
    <col customWidth="1" min="36" max="36" width="4.38"/>
  </cols>
  <sheetData>
    <row r="1">
      <c r="A1" s="241" t="str">
        <f>IFERROR(__xludf.DUMMYFUNCTION("if('Time 1'!C3 = ""Albert"", query(IMPORTRANGE(cd_planilha, ""Armas!B3:G""), ""Select Col1 Where Col2 = '""&amp;Personagem!$B$2&amp;""' or Col2 = '""&amp;Personagem!$B$3&amp;""' or Col2 = '""&amp;Personagem!$B$4&amp;""' or Col2 = '""&amp;Personagem!$B$5&amp;""'""),     
if('Time 1'!C3 ="&amp;" ""Alicia"", query(IMPORTRANGE(cd_planilha, ""Armas!B3:G""), ""Select Col1 Where Col2 = '""&amp;Personagem!$C$2&amp;""' or Col2 = '""&amp;Personagem!$C$3&amp;""' or Col2 = '""&amp;Personagem!$C$4&amp;""' or Col2 = '""&amp;Personagem!$C$5&amp;""'""),
if('Time 1'!C3 = ""Azula"", query(IMP"&amp;"ORTRANGE(cd_planilha, ""Armas!B3:G""), ""Select Col1 Where Col2 = '""&amp;Personagem!$D$2&amp;""' or Col2 = '""&amp;Personagem!$D$3&amp;""' or Col2 = '""&amp;Personagem!$D$4&amp;""' or Col2 = '""&amp;Personagem!$D$5&amp;""'""),
if('Time 1'!C3 = ""Charles"", query(IMPORTRANGE(cd_planilha"&amp;", ""Armas!B3:G""), ""Select Col1 Where Col2 = '""&amp;Personagem!$E$2&amp;""' or Col2 = '""&amp;Personagem!$E$3&amp;""' or Col2 = '""&amp;Personagem!$E$4&amp;""' or Col2 = '""&amp;Personagem!$E$5&amp;""'""),
if('Time 1'!C3 = ""Clovis"", query(IMPORTRANGE(cd_planilha, ""Armas!B3:G""), """&amp;"Select Col1 Where Col2 = '""&amp;Personagem!$F$2&amp;""' or Col2 = '""&amp;Personagem!$F$3&amp;""' or Col2 = '""&amp;Personagem!$F$4&amp;""' or Col2 = '""&amp;Personagem!$F$5&amp;""'""),
if('Time 1'!C3 = ""Darthos"", query(IMPORTRANGE(cd_planilha, ""Armas!B3:G""), ""Select Col1 Where Co"&amp;"l2 = '""&amp;Personagem!$G$2&amp;""' or Col2 = '""&amp;Personagem!$G$3&amp;""' or Col2 = '""&amp;Personagem!$G$4&amp;""' or Col2 = '""&amp;Personagem!$G$5&amp;""'""),
if('Time 1'!C3 = ""Edward"", query(IMPORTRANGE(cd_planilha, ""Armas!B3:G""), ""Select Col1 Where Col2 = '""&amp;Personagem!$"&amp;"H$2&amp;""' or Col2 = '""&amp;Personagem!$H$3&amp;""' or Col2 = '""&amp;Personagem!$H$4&amp;""' or Col2 = '""&amp;Personagem!$H$5&amp;""'""),
if('Time 1'!C3 = ""Fiora"", query(IMPORTRANGE(cd_planilha, ""Armas!B3:G""), ""Select Col1 Where Col2 = '""&amp;Personagem!$I$2&amp;""' or Col2 = '""&amp;"&amp;"Personagem!$I$3&amp;""' or Col2 = '""&amp;Personagem!$I$4&amp;""' or Col2 = '""&amp;Personagem!$I$5&amp;""'""),
if('Time 1'!C3 = ""Francesca"", query(IMPORTRANGE(cd_planilha, ""Armas!B3:G""), ""Select Col1 Where Col2 = '""&amp;Personagem!$J$2&amp;""' or Col2 = '""&amp;Personagem!$J$3&amp;"""&amp;"' or Col2 = '""&amp;Personagem!$J$4&amp;""' or Col2 = '""&amp;Personagem!$J$5&amp;""'""),
if('Time 1'!C3 = ""Garreth"", query(IMPORTRANGE(cd_planilha, ""Armas!B3:G""), ""Select Col1 Where Col2 = '""&amp;Personagem!$K$2&amp;""' or Col2 = '""&amp;Personagem!$K$3&amp;""' or Col2 = '""&amp;Pers"&amp;"onagem!$K$4&amp;""' or Col2 = '""&amp;Personagem!$K$5&amp;""'""),
if('Time 1'!C3 = ""Gauvin"", query(IMPORTRANGE(cd_planilha, ""Armas!B3:G""), ""Select Col1 Where Col2 = '""&amp;Personagem!$L$2&amp;""' or Col2 = '""&amp;Personagem!$L$3&amp;""' or Col2 = '""&amp;Personagem!$L$4&amp;""' or Co"&amp;"l2 = '""&amp;Personagem!$L$5&amp;""'""),
if('Time 1'!C3 = ""Irene"", query(IMPORTRANGE(cd_planilha, ""Armas!B3:G""), ""Select Col1 Where Col2 = '""&amp;Personagem!$M$2&amp;""' or Col2 = '""&amp;Personagem!$M$3&amp;""' or Col2 = '""&amp;Personagem!$M$4&amp;""' or Col2 = '""&amp;Personagem!$M"&amp;"$5&amp;""'""),
if('Time 1'!C3 = ""Karal"", query(IMPORTRANGE(cd_planilha, ""Armas!B3:G""), ""Select Col1 Where Col2 = '""&amp;Personagem!$N$2&amp;""' or Col2 = '""&amp;Personagem!$N$3&amp;""' or Col2 = '""&amp;Personagem!$N$4&amp;""' or Col2 = '""&amp;Personagem!$N$5&amp;""'""),
if('Time 1'"&amp;"!C3 = ""Kuro Shobi"", query(IMPORTRANGE(cd_planilha, ""Armas!B3:G""), ""Select Col1 Where Col2 = '""&amp;Personagem!$O$2&amp;""' or Col2 = '""&amp;Personagem!$O$3&amp;""' or Col2 = '""&amp;Personagem!$O$4&amp;""' or Col2 = '""&amp;Personagem!$O$5&amp;""'""),
if('Time 1'!C3 = ""Kurul"", "&amp;"query(IMPORTRANGE(cd_planilha, ""Armas!B3:G""), ""Select Col1 Where Col2 = '""&amp;Personagem!$P$2&amp;""' or Col2 = '""&amp;Personagem!$P$3&amp;""' or Col2 = '""&amp;Personagem!$P$4&amp;""' or Col2 = '""&amp;Personagem!$P$5&amp;""'""),
if('Time 1'!C3 = ""Lancaster"", query(IMPORTRANGE("&amp;"cd_planilha, ""Armas!B3:G""), ""Select Col1 Where Col2 = '""&amp;Personagem!$Q$2&amp;""' or Col2 = '""&amp;Personagem!$Q$3&amp;""' or Col2 = '""&amp;Personagem!$Q$4&amp;""' or Col2 = '""&amp;Personagem!$Q$5&amp;""'""),
if('Time 1'!C3 = ""Lorelei"", query(IMPORTRANGE(cd_planilha, ""Armas"&amp;"!B3:G""), ""Select Col1 Where Col2 = '""&amp;Personagem!$R$2&amp;""' or Col2 = '""&amp;Personagem!$R$3&amp;""' or Col2 = '""&amp;Personagem!$R$4&amp;""' or Col2 = '""&amp;Personagem!$R$5&amp;""'""),
if('Time 1'!C3 = ""Louca"", query(IMPORTRANGE(cd_planilha, ""Armas!B3:G""), ""Select Col"&amp;"1 Where Col2 = '""&amp;Personagem!$S$2&amp;""' or Col2 = '""&amp;Personagem!$S$3&amp;""' or Col2 = '""&amp;Personagem!$S$4&amp;""' or Col2 = '""&amp;Personagem!$S$5&amp;""'""),
if('Time 1'!C3 = ""Melina"", query(IMPORTRANGE(cd_planilha, ""Armas!B3:G""), ""Select Col1 Where Col2 = '""&amp;Pe"&amp;"rsonagem!$T$2&amp;""' or Col2 = '""&amp;Personagem!$T$3&amp;""' or Col2 = '""&amp;Personagem!$T$4&amp;""' or Col2 = '""&amp;Personagem!$T$5&amp;""'""),
if('Time 1'!C3 = ""Mila"", query(IMPORTRANGE(cd_planilha, ""Armas!B3:G""), ""Select Col1 Where Col2 = '""&amp;Personagem!$U$2&amp;""' or Co"&amp;"l2 = '""&amp;Personagem!$U$3&amp;""' or Col2 = '""&amp;Personagem!$U$4&amp;""' or Col2 = '""&amp;Personagem!$U$5&amp;""'""),
if('Time 1'!C3 = ""Minh"", query(IMPORTRANGE(cd_planilha, ""Armas!B3:G""), ""Select Col1 Where Col2 = '""&amp;Personagem!$V$2&amp;""' or Col2 = '""&amp;Personagem!$V$"&amp;"3&amp;""' or Col2 = '""&amp;Personagem!$V$4&amp;""' or Col2 = '""&amp;Personagem!$V$5&amp;""'""),
if('Time 1'!C3 = ""Mojian"", query(IMPORTRANGE(cd_planilha, ""Armas!B3:G""), ""Select Col1 Where Col2 = '""&amp;Personagem!$W$2&amp;""' or Col2 = '""&amp;Personagem!$W$3&amp;""' or Col2 = '""&amp;P"&amp;"ersonagem!$W$4&amp;""' or Col2 = '""&amp;Personagem!$W$5&amp;""'""),
if('Time 1'!C3 = ""Nya"", query(IMPORTRANGE(cd_planilha, ""Armas!B3:G""), ""Select Col1 Where Col2 = '""&amp;Personagem!$X$2&amp;""' or Col2 = '""&amp;Personagem!$X$3&amp;""' or Col2 = '""&amp;Personagem!$X$4&amp;""' or Co"&amp;"l2 = '""&amp;Personagem!$X$5&amp;""'""),
if('Time 1'!C3 = ""Odette"", query(IMPORTRANGE(cd_planilha, ""Armas!B3:G""), ""Select Col1 Where Col2 = '""&amp;Personagem!$Y$2&amp;""' or Col2 = '""&amp;Personagem!$Y$3&amp;""' or Col2 = '""&amp;Personagem!$Y$4&amp;""' or Col2 = '""&amp;Personagem!$"&amp;"Y$5&amp;""'""),
if('Time 1'!C3 = ""Oneira"", query(IMPORTRANGE(cd_planilha, ""Armas!B3:G""), ""Select Col1 Where Col2 = '""&amp;Personagem!$Z$2&amp;""' or Col2 = '""&amp;Personagem!$Z$3&amp;""' or Col2 = '""&amp;Personagem!$Z$4&amp;""' or Col2 = '""&amp;Personagem!$Z$5&amp;""'""),
if('Time "&amp;"1'!C3 = ""Palash"", query(IMPORTRANGE(cd_planilha, ""Armas!B3:G""), ""Select Col1 Where Col2 = '""&amp;Personagem!$AA$2&amp;""' or Col2 = '""&amp;Personagem!$AA$3&amp;""' or Col2 = '""&amp;Personagem!$AA$4&amp;""' or Col2 = '""&amp;Personagem!$AA$5&amp;""'""),
if('Time 1'!C3 = ""Theor"""&amp;", query(IMPORTRANGE(cd_planilha, ""Armas!B3:G""), ""Select Col1 Where Col2 = '""&amp;Personagem!$AB$2&amp;""' or Col2 = '""&amp;Personagem!$AB$3&amp;""' or Col2 = '""&amp;Personagem!$AB$4&amp;""' or Col2 = '""&amp;Personagem!$AB$5&amp;""'""),
if('Time 1'!C3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'""&amp;Personagem!$AC$5&amp;""'"")))))))))))))))))))))))))))))"),"Ponta Perseguidora")</f>
        <v>Ponta Perseguidora</v>
      </c>
      <c r="B1" s="241"/>
      <c r="C1" s="241" t="str">
        <f>IFERROR(__xludf.DUMMYFUNCTION("if('Time 1'!C4 = ""Albert"", query(IMPORTRANGE(cd_planilha, ""Armas!B3:G""), ""Select Col1 Where Col2 = '""&amp;Personagem!$B$2&amp;""' or Col2 = '""&amp;Personagem!$B$3&amp;""' or Col2 = '""&amp;Personagem!$B$4&amp;""' or Col2 = '""&amp;Personagem!$B$5&amp;""'""),     
if('Time 1'!C4 ="&amp;" ""Alicia"", query(IMPORTRANGE(cd_planilha, ""Armas!B3:G""), ""Select Col1 Where Col2 = '""&amp;Personagem!$C$2&amp;""' or Col2 = '""&amp;Personagem!$C$3&amp;""' or Col2 = '""&amp;Personagem!$C$4&amp;""' or Col2 = '""&amp;Personagem!$C$5&amp;""'""),
if('Time 1'!C4 = ""Azula"", query(IMP"&amp;"ORTRANGE(cd_planilha, ""Armas!B3:G""), ""Select Col1 Where Col2 = '""&amp;Personagem!$D$2&amp;""' or Col2 = '""&amp;Personagem!$D$3&amp;""' or Col2 = '""&amp;Personagem!$D$4&amp;""' or Col2 = '""&amp;Personagem!$D$5&amp;""'""),
if('Time 1'!C4 = ""Charles"", query(IMPORTRANGE(cd_planilha"&amp;", ""Armas!B3:G""), ""Select Col1 Where Col2 = '""&amp;Personagem!$E$2&amp;""' or Col2 = '""&amp;Personagem!$E$3&amp;""' or Col2 = '""&amp;Personagem!$E$4&amp;""' or Col2 = '""&amp;Personagem!$E$5&amp;""'""),
if('Time 1'!C4 = ""Clovis"", query(IMPORTRANGE(cd_planilha, ""Armas!B3:G""), """&amp;"Select Col1 Where Col2 = '""&amp;Personagem!$F$2&amp;""' or Col2 = '""&amp;Personagem!$F$3&amp;""' or Col2 = '""&amp;Personagem!$F$4&amp;""' or Col2 = '""&amp;Personagem!$F$5&amp;""'""),
if('Time 1'!C4 = ""Darthos"", query(IMPORTRANGE(cd_planilha, ""Armas!B3:G""), ""Select Col1 Where Co"&amp;"l2 = '""&amp;Personagem!$G$2&amp;""' or Col2 = '""&amp;Personagem!$G$3&amp;""' or Col2 = '""&amp;Personagem!$G$4&amp;""' or Col2 = '""&amp;Personagem!$G$5&amp;""'""),
if('Time 1'!C4 = ""Edward"", query(IMPORTRANGE(cd_planilha, ""Armas!B3:G""), ""Select Col1 Where Col2 = '""&amp;Personagem!$"&amp;"H$2&amp;""' or Col2 = '""&amp;Personagem!$H$3&amp;""' or Col2 = '""&amp;Personagem!$H$4&amp;""' or Col2 = '""&amp;Personagem!$H$5&amp;""'""),
if('Time 1'!C4 = ""Fiora"", query(IMPORTRANGE(cd_planilha, ""Armas!B3:G""), ""Select Col1 Where Col2 = '""&amp;Personagem!$I$2&amp;""' or Col2 = '""&amp;"&amp;"Personagem!$I$3&amp;""' or Col2 = '""&amp;Personagem!$I$4&amp;""' or Col2 = '""&amp;Personagem!$I$5&amp;""'""),
if('Time 1'!C4 = ""Francesca"", query(IMPORTRANGE(cd_planilha, ""Armas!B3:G""), ""Select Col1 Where Col2 = '""&amp;Personagem!$J$2&amp;""' or Col2 = '""&amp;Personagem!$J$3&amp;"""&amp;"' or Col2 = '""&amp;Personagem!$J$4&amp;""' or Col2 = '""&amp;Personagem!$J$5&amp;""'""),
if('Time 1'!C4 = ""Garreth"", query(IMPORTRANGE(cd_planilha, ""Armas!B3:G""), ""Select Col1 Where Col2 = '""&amp;Personagem!$K$2&amp;""' or Col2 = '""&amp;Personagem!$K$3&amp;""' or Col2 = '""&amp;Pers"&amp;"onagem!$K$4&amp;""' or Col2 = '""&amp;Personagem!$K$5&amp;""'""),
if('Time 1'!C4 = ""Gauvin"", query(IMPORTRANGE(cd_planilha, ""Armas!B3:G""), ""Select Col1 Where Col2 = '""&amp;Personagem!$L$2&amp;""' or Col2 = '""&amp;Personagem!$L$3&amp;""' or Col2 = '""&amp;Personagem!$L$4&amp;""' or Co"&amp;"l2 = '""&amp;Personagem!$L$5&amp;""'""),
if('Time 1'!C4 = ""Irene"", query(IMPORTRANGE(cd_planilha, ""Armas!B3:G""), ""Select Col1 Where Col2 = '""&amp;Personagem!$M$2&amp;""' or Col2 = '""&amp;Personagem!$M$3&amp;""' or Col2 = '""&amp;Personagem!$M$4&amp;""' or Col2 = '""&amp;Personagem!$M"&amp;"$5&amp;""'""),
if('Time 1'!C4 = ""Karal"", query(IMPORTRANGE(cd_planilha, ""Armas!B3:G""), ""Select Col1 Where Col2 = '""&amp;Personagem!$N$2&amp;""' or Col2 = '""&amp;Personagem!$N$3&amp;""' or Col2 = '""&amp;Personagem!$N$4&amp;""' or Col2 = '""&amp;Personagem!$N$5&amp;""'""),
if('Time 1'"&amp;"!C4 = ""Kuro Shobi"", query(IMPORTRANGE(cd_planilha, ""Armas!B3:G""), ""Select Col1 Where Col2 = '""&amp;Personagem!$O$2&amp;""' or Col2 = '""&amp;Personagem!$O$3&amp;""' or Col2 = '""&amp;Personagem!$O$4&amp;""' or Col2 = '""&amp;Personagem!$O$5&amp;""'""),
if('Time 1'!C4 = ""Kurul"", "&amp;"query(IMPORTRANGE(cd_planilha, ""Armas!B3:G""), ""Select Col1 Where Col2 = '""&amp;Personagem!$P$2&amp;""' or Col2 = '""&amp;Personagem!$P$3&amp;""' or Col2 = '""&amp;Personagem!$P$4&amp;""' or Col2 = '""&amp;Personagem!$P$5&amp;""'""),
if('Time 1'!C4 = ""Lancaster"", query(IMPORTRANGE("&amp;"cd_planilha, ""Armas!B3:G""), ""Select Col1 Where Col2 = '""&amp;Personagem!$Q$2&amp;""' or Col2 = '""&amp;Personagem!$Q$3&amp;""' or Col2 = '""&amp;Personagem!$Q$4&amp;""' or Col2 = '""&amp;Personagem!$Q$5&amp;""'""),
if('Time 1'!C4 = ""Lorelei"", query(IMPORTRANGE(cd_planilha, ""Armas"&amp;"!B3:G""), ""Select Col1 Where Col2 = '""&amp;Personagem!$R$2&amp;""' or Col2 = '""&amp;Personagem!$R$3&amp;""' or Col2 = '""&amp;Personagem!$R$4&amp;""' or Col2 = '""&amp;Personagem!$R$5&amp;""'""),
if('Time 1'!C4 = ""Louca"", query(IMPORTRANGE(cd_planilha, ""Armas!B3:G""), ""Select Col"&amp;"1 Where Col2 = '""&amp;Personagem!$S$2&amp;""' or Col2 = '""&amp;Personagem!$S$3&amp;""' or Col2 = '""&amp;Personagem!$S$4&amp;""' or Col2 = '""&amp;Personagem!$S$5&amp;""'""),
if('Time 1'!C4 = ""Melina"", query(IMPORTRANGE(cd_planilha, ""Armas!B3:G""), ""Select Col1 Where Col2 = '""&amp;Pe"&amp;"rsonagem!$T$2&amp;""' or Col2 = '""&amp;Personagem!$T$3&amp;""' or Col2 = '""&amp;Personagem!$T$4&amp;""' or Col2 = '""&amp;Personagem!$T$5&amp;""'""),
if('Time 1'!C4 = ""Mila"", query(IMPORTRANGE(cd_planilha, ""Armas!B3:G""), ""Select Col1 Where Col2 = '""&amp;Personagem!$U$2&amp;""' or Co"&amp;"l2 = '""&amp;Personagem!$U$3&amp;""' or Col2 = '""&amp;Personagem!$U$4&amp;""' or Col2 = '""&amp;Personagem!$U$5&amp;""'""),
if('Time 1'!C4 = ""Minh"", query(IMPORTRANGE(cd_planilha, ""Armas!B3:G""), ""Select Col1 Where Col2 = '""&amp;Personagem!$V$2&amp;""' or Col2 = '""&amp;Personagem!$V$"&amp;"3&amp;""' or Col2 = '""&amp;Personagem!$V$4&amp;""' or Col2 = '""&amp;Personagem!$V$5&amp;""'""),
if('Time 1'!C4 = ""Mojian"", query(IMPORTRANGE(cd_planilha, ""Armas!B3:G""), ""Select Col1 Where Col2 = '""&amp;Personagem!$W$2&amp;""' or Col2 = '""&amp;Personagem!$W$3&amp;""' or Col2 = '""&amp;P"&amp;"ersonagem!$W$4&amp;""' or Col2 = '""&amp;Personagem!$W$5&amp;""'""),
if('Time 1'!C4 = ""Nya"", query(IMPORTRANGE(cd_planilha, ""Armas!B3:G""), ""Select Col1 Where Col2 = '""&amp;Personagem!$X$2&amp;""' or Col2 = '""&amp;Personagem!$X$3&amp;""' or Col2 = '""&amp;Personagem!$X$4&amp;""' or Co"&amp;"l2 = '""&amp;Personagem!$X$5&amp;""'""),
if('Time 1'!C4 = ""Odette"", query(IMPORTRANGE(cd_planilha, ""Armas!B3:G""), ""Select Col1 Where Col2 = '""&amp;Personagem!$Y$2&amp;""' or Col2 = '""&amp;Personagem!$Y$3&amp;""' or Col2 = '""&amp;Personagem!$Y$4&amp;""' or Col2 = '""&amp;Personagem!$"&amp;"Y$5&amp;""'""),
if('Time 1'!C4 = ""Oneira"", query(IMPORTRANGE(cd_planilha, ""Armas!B3:G""), ""Select Col1 Where Col2 = '""&amp;Personagem!$Z$2&amp;""' or Col2 = '""&amp;Personagem!$Z$3&amp;""' or Col2 = '""&amp;Personagem!$Z$4&amp;""' or Col2 = '""&amp;Personagem!$Z$5&amp;""'""),
if('Time "&amp;"1'!C4 = ""Palash"", query(IMPORTRANGE(cd_planilha, ""Armas!B3:G""), ""Select Col1 Where Col2 = '""&amp;Personagem!$AA$2&amp;""' or Col2 = '""&amp;Personagem!$AA$3&amp;""' or Col2 = '""&amp;Personagem!$AA$4&amp;""' or Col2 = '""&amp;Personagem!$AA$5&amp;""'""),
if('Time 1'!C4 = ""Theor"""&amp;", query(IMPORTRANGE(cd_planilha, ""Armas!B3:G""), ""Select Col1 Where Col2 = '""&amp;Personagem!$AB$2&amp;""' or Col2 = '""&amp;Personagem!$AB$3&amp;""' or Col2 = '""&amp;Personagem!$AB$4&amp;""' or Col2 = '""&amp;Personagem!$AB$5&amp;""'""),
if('Time 1'!C4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D1" s="241"/>
      <c r="E1" s="241" t="str">
        <f>IFERROR(__xludf.DUMMYFUNCTION("if('Time 1'!C5 = ""Albert"", query(IMPORTRANGE(cd_planilha, ""Armas!B3:G""), ""Select Col1 Where Col2 = '""&amp;Personagem!$B$2&amp;""' or Col2 = '""&amp;Personagem!$B$3&amp;""' or Col2 = '""&amp;Personagem!$B$4&amp;""' or Col2 = '""&amp;Personagem!$B$5&amp;""'""),     
if('Time 1'!C5 ="&amp;" ""Alicia"", query(IMPORTRANGE(cd_planilha, ""Armas!B3:G""), ""Select Col1 Where Col2 = '""&amp;Personagem!$C$2&amp;""' or Col2 = '""&amp;Personagem!$C$3&amp;""' or Col2 = '""&amp;Personagem!$C$4&amp;""' or Col2 = '""&amp;Personagem!$C$5&amp;""'""),
if('Time 1'!C5 = ""Azula"", query(IMP"&amp;"ORTRANGE(cd_planilha, ""Armas!B3:G""), ""Select Col1 Where Col2 = '""&amp;Personagem!$D$2&amp;""' or Col2 = '""&amp;Personagem!$D$3&amp;""' or Col2 = '""&amp;Personagem!$D$4&amp;""' or Col2 = '""&amp;Personagem!$D$5&amp;""'""),
if('Time 1'!C5 = ""Charles"", query(IMPORTRANGE(cd_planilha"&amp;", ""Armas!B3:G""), ""Select Col1 Where Col2 = '""&amp;Personagem!$E$2&amp;""' or Col2 = '""&amp;Personagem!$E$3&amp;""' or Col2 = '""&amp;Personagem!$E$4&amp;""' or Col2 = '""&amp;Personagem!$E$5&amp;""'""),
if('Time 1'!C5 = ""Clovis"", query(IMPORTRANGE(cd_planilha, ""Armas!B3:G""), """&amp;"Select Col1 Where Col2 = '""&amp;Personagem!$F$2&amp;""' or Col2 = '""&amp;Personagem!$F$3&amp;""' or Col2 = '""&amp;Personagem!$F$4&amp;""' or Col2 = '""&amp;Personagem!$F$5&amp;""'""),
if('Time 1'!C5 = ""Darthos"", query(IMPORTRANGE(cd_planilha, ""Armas!B3:G""), ""Select Col1 Where Co"&amp;"l2 = '""&amp;Personagem!$G$2&amp;""' or Col2 = '""&amp;Personagem!$G$3&amp;""' or Col2 = '""&amp;Personagem!$G$4&amp;""' or Col2 = '""&amp;Personagem!$G$5&amp;""'""),
if('Time 1'!C5 = ""Edward"", query(IMPORTRANGE(cd_planilha, ""Armas!B3:G""), ""Select Col1 Where Col2 = '""&amp;Personagem!$"&amp;"H$2&amp;""' or Col2 = '""&amp;Personagem!$H$3&amp;""' or Col2 = '""&amp;Personagem!$H$4&amp;""' or Col2 = '""&amp;Personagem!$H$5&amp;""'""),
if('Time 1'!C5 = ""Fiora"", query(IMPORTRANGE(cd_planilha, ""Armas!B3:G""), ""Select Col1 Where Col2 = '""&amp;Personagem!$I$2&amp;""' or Col2 = '""&amp;"&amp;"Personagem!$I$3&amp;""' or Col2 = '""&amp;Personagem!$I$4&amp;""' or Col2 = '""&amp;Personagem!$I$5&amp;""'""),
if('Time 1'!C5 = ""Francesca"", query(IMPORTRANGE(cd_planilha, ""Armas!B3:G""), ""Select Col1 Where Col2 = '""&amp;Personagem!$J$2&amp;""' or Col2 = '""&amp;Personagem!$J$3&amp;"""&amp;"' or Col2 = '""&amp;Personagem!$J$4&amp;""' or Col2 = '""&amp;Personagem!$J$5&amp;""'""),
if('Time 1'!C5 = ""Garreth"", query(IMPORTRANGE(cd_planilha, ""Armas!B3:G""), ""Select Col1 Where Col2 = '""&amp;Personagem!$K$2&amp;""' or Col2 = '""&amp;Personagem!$K$3&amp;""' or Col2 = '""&amp;Pers"&amp;"onagem!$K$4&amp;""' or Col2 = '""&amp;Personagem!$K$5&amp;""'""),
if('Time 1'!C5 = ""Gauvin"", query(IMPORTRANGE(cd_planilha, ""Armas!B3:G""), ""Select Col1 Where Col2 = '""&amp;Personagem!$L$2&amp;""' or Col2 = '""&amp;Personagem!$L$3&amp;""' or Col2 = '""&amp;Personagem!$L$4&amp;""' or Co"&amp;"l2 = '""&amp;Personagem!$L$5&amp;""'""),
if('Time 1'!C5 = ""Irene"", query(IMPORTRANGE(cd_planilha, ""Armas!B3:G""), ""Select Col1 Where Col2 = '""&amp;Personagem!$M$2&amp;""' or Col2 = '""&amp;Personagem!$M$3&amp;""' or Col2 = '""&amp;Personagem!$M$4&amp;""' or Col2 = '""&amp;Personagem!$M"&amp;"$5&amp;""'""),
if('Time 1'!C5 = ""Karal"", query(IMPORTRANGE(cd_planilha, ""Armas!B3:G""), ""Select Col1 Where Col2 = '""&amp;Personagem!$N$2&amp;""' or Col2 = '""&amp;Personagem!$N$3&amp;""' or Col2 = '""&amp;Personagem!$N$4&amp;""' or Col2 = '""&amp;Personagem!$N$5&amp;""'""),
if('Time 1'"&amp;"!C5 = ""Kuro Shobi"", query(IMPORTRANGE(cd_planilha, ""Armas!B3:G""), ""Select Col1 Where Col2 = '""&amp;Personagem!$O$2&amp;""' or Col2 = '""&amp;Personagem!$O$3&amp;""' or Col2 = '""&amp;Personagem!$O$4&amp;""' or Col2 = '""&amp;Personagem!$O$5&amp;""'""),
if('Time 1'!C5 = ""Kurul"", "&amp;"query(IMPORTRANGE(cd_planilha, ""Armas!B3:G""), ""Select Col1 Where Col2 = '""&amp;Personagem!$P$2&amp;""' or Col2 = '""&amp;Personagem!$P$3&amp;""' or Col2 = '""&amp;Personagem!$P$4&amp;""' or Col2 = '""&amp;Personagem!$P$5&amp;""'""),
if('Time 1'!C5 = ""Lancaster"", query(IMPORTRANGE("&amp;"cd_planilha, ""Armas!B3:G""), ""Select Col1 Where Col2 = '""&amp;Personagem!$Q$2&amp;""' or Col2 = '""&amp;Personagem!$Q$3&amp;""' or Col2 = '""&amp;Personagem!$Q$4&amp;""' or Col2 = '""&amp;Personagem!$Q$5&amp;""'""),
if('Time 1'!C5 = ""Lorelei"", query(IMPORTRANGE(cd_planilha, ""Armas"&amp;"!B3:G""), ""Select Col1 Where Col2 = '""&amp;Personagem!$R$2&amp;""' or Col2 = '""&amp;Personagem!$R$3&amp;""' or Col2 = '""&amp;Personagem!$R$4&amp;""' or Col2 = '""&amp;Personagem!$R$5&amp;""'""),
if('Time 1'!C5 = ""Louca"", query(IMPORTRANGE(cd_planilha, ""Armas!B3:G""), ""Select Col"&amp;"1 Where Col2 = '""&amp;Personagem!$S$2&amp;""' or Col2 = '""&amp;Personagem!$S$3&amp;""' or Col2 = '""&amp;Personagem!$S$4&amp;""' or Col2 = '""&amp;Personagem!$S$5&amp;""'""),
if('Time 1'!C5 = ""Melina"", query(IMPORTRANGE(cd_planilha, ""Armas!B3:G""), ""Select Col1 Where Col2 = '""&amp;Pe"&amp;"rsonagem!$T$2&amp;""' or Col2 = '""&amp;Personagem!$T$3&amp;""' or Col2 = '""&amp;Personagem!$T$4&amp;""' or Col2 = '""&amp;Personagem!$T$5&amp;""'""),
if('Time 1'!C5 = ""Mila"", query(IMPORTRANGE(cd_planilha, ""Armas!B3:G""), ""Select Col1 Where Col2 = '""&amp;Personagem!$U$2&amp;""' or Co"&amp;"l2 = '""&amp;Personagem!$U$3&amp;""' or Col2 = '""&amp;Personagem!$U$4&amp;""' or Col2 = '""&amp;Personagem!$U$5&amp;""'""),
if('Time 1'!C5 = ""Minh"", query(IMPORTRANGE(cd_planilha, ""Armas!B3:G""), ""Select Col1 Where Col2 = '""&amp;Personagem!$V$2&amp;""' or Col2 = '""&amp;Personagem!$V$"&amp;"3&amp;""' or Col2 = '""&amp;Personagem!$V$4&amp;""' or Col2 = '""&amp;Personagem!$V$5&amp;""'""),
if('Time 1'!C5 = ""Mojian"", query(IMPORTRANGE(cd_planilha, ""Armas!B3:G""), ""Select Col1 Where Col2 = '""&amp;Personagem!$W$2&amp;""' or Col2 = '""&amp;Personagem!$W$3&amp;""' or Col2 = '""&amp;P"&amp;"ersonagem!$W$4&amp;""' or Col2 = '""&amp;Personagem!$W$5&amp;""'""),
if('Time 1'!C5 = ""Nya"", query(IMPORTRANGE(cd_planilha, ""Armas!B3:G""), ""Select Col1 Where Col2 = '""&amp;Personagem!$X$2&amp;""' or Col2 = '""&amp;Personagem!$X$3&amp;""' or Col2 = '""&amp;Personagem!$X$4&amp;""' or Co"&amp;"l2 = '""&amp;Personagem!$X$5&amp;""'""),
if('Time 1'!C5 = ""Odette"", query(IMPORTRANGE(cd_planilha, ""Armas!B3:G""), ""Select Col1 Where Col2 = '""&amp;Personagem!$Y$2&amp;""' or Col2 = '""&amp;Personagem!$Y$3&amp;""' or Col2 = '""&amp;Personagem!$Y$4&amp;""' or Col2 = '""&amp;Personagem!$"&amp;"Y$5&amp;""'""),
if('Time 1'!C5 = ""Oneira"", query(IMPORTRANGE(cd_planilha, ""Armas!B3:G""), ""Select Col1 Where Col2 = '""&amp;Personagem!$Z$2&amp;""' or Col2 = '""&amp;Personagem!$Z$3&amp;""' or Col2 = '""&amp;Personagem!$Z$4&amp;""' or Col2 = '""&amp;Personagem!$Z$5&amp;""'""),
if('Time "&amp;"1'!C5 = ""Palash"", query(IMPORTRANGE(cd_planilha, ""Armas!B3:G""), ""Select Col1 Where Col2 = '""&amp;Personagem!$AA$2&amp;""' or Col2 = '""&amp;Personagem!$AA$3&amp;""' or Col2 = '""&amp;Personagem!$AA$4&amp;""' or Col2 = '""&amp;Personagem!$AA$5&amp;""'""),
if('Time 1'!C5 = ""Theor"""&amp;", query(IMPORTRANGE(cd_planilha, ""Armas!B3:G""), ""Select Col1 Where Col2 = '""&amp;Personagem!$AB$2&amp;""' or Col2 = '""&amp;Personagem!$AB$3&amp;""' or Col2 = '""&amp;Personagem!$AB$4&amp;""' or Col2 = '""&amp;Personagem!$AB$5&amp;""'""),
if('Time 1'!C5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F1" s="241"/>
      <c r="G1" s="241" t="str">
        <f>IFERROR(__xludf.DUMMYFUNCTION("if('Time 1'!C6 = ""Albert"", query(IMPORTRANGE(cd_planilha, ""Armas!B3:G""), ""Select Col1 Where Col2 = '""&amp;Personagem!$B$2&amp;""' or Col2 = '""&amp;Personagem!$B$3&amp;""' or Col2 = '""&amp;Personagem!$B$4&amp;""' or Col2 = '""&amp;Personagem!$B$5&amp;""'""),     
if('Time 1'!C6 ="&amp;" ""Alicia"", query(IMPORTRANGE(cd_planilha, ""Armas!B3:G""), ""Select Col1 Where Col2 = '""&amp;Personagem!$C$2&amp;""' or Col2 = '""&amp;Personagem!$C$3&amp;""' or Col2 = '""&amp;Personagem!$C$4&amp;""' or Col2 = '""&amp;Personagem!$C$5&amp;""'""),
if('Time 1'!C6 = ""Azula"", query(IMP"&amp;"ORTRANGE(cd_planilha, ""Armas!B3:G""), ""Select Col1 Where Col2 = '""&amp;Personagem!$D$2&amp;""' or Col2 = '""&amp;Personagem!$D$3&amp;""' or Col2 = '""&amp;Personagem!$D$4&amp;""' or Col2 = '""&amp;Personagem!$D$5&amp;""'""),
if('Time 1'!C6 = ""Charles"", query(IMPORTRANGE(cd_planilha"&amp;", ""Armas!B3:G""), ""Select Col1 Where Col2 = '""&amp;Personagem!$E$2&amp;""' or Col2 = '""&amp;Personagem!$E$3&amp;""' or Col2 = '""&amp;Personagem!$E$4&amp;""' or Col2 = '""&amp;Personagem!$E$5&amp;""'""),
if('Time 1'!C6 = ""Clovis"", query(IMPORTRANGE(cd_planilha, ""Armas!B3:G""), """&amp;"Select Col1 Where Col2 = '""&amp;Personagem!$F$2&amp;""' or Col2 = '""&amp;Personagem!$F$3&amp;""' or Col2 = '""&amp;Personagem!$F$4&amp;""' or Col2 = '""&amp;Personagem!$F$5&amp;""'""),
if('Time 1'!C6 = ""Darthos"", query(IMPORTRANGE(cd_planilha, ""Armas!B3:G""), ""Select Col1 Where Co"&amp;"l2 = '""&amp;Personagem!$G$2&amp;""' or Col2 = '""&amp;Personagem!$G$3&amp;""' or Col2 = '""&amp;Personagem!$G$4&amp;""' or Col2 = '""&amp;Personagem!$G$5&amp;""'""),
if('Time 1'!C6 = ""Edward"", query(IMPORTRANGE(cd_planilha, ""Armas!B3:G""), ""Select Col1 Where Col2 = '""&amp;Personagem!$"&amp;"H$2&amp;""' or Col2 = '""&amp;Personagem!$H$3&amp;""' or Col2 = '""&amp;Personagem!$H$4&amp;""' or Col2 = '""&amp;Personagem!$H$5&amp;""'""),
if('Time 1'!C6 = ""Fiora"", query(IMPORTRANGE(cd_planilha, ""Armas!B3:G""), ""Select Col1 Where Col2 = '""&amp;Personagem!$I$2&amp;""' or Col2 = '""&amp;"&amp;"Personagem!$I$3&amp;""' or Col2 = '""&amp;Personagem!$I$4&amp;""' or Col2 = '""&amp;Personagem!$I$5&amp;""'""),
if('Time 1'!C6 = ""Francesca"", query(IMPORTRANGE(cd_planilha, ""Armas!B3:G""), ""Select Col1 Where Col2 = '""&amp;Personagem!$J$2&amp;""' or Col2 = '""&amp;Personagem!$J$3&amp;"""&amp;"' or Col2 = '""&amp;Personagem!$J$4&amp;""' or Col2 = '""&amp;Personagem!$J$5&amp;""'""),
if('Time 1'!C6 = ""Garreth"", query(IMPORTRANGE(cd_planilha, ""Armas!B3:G""), ""Select Col1 Where Col2 = '""&amp;Personagem!$K$2&amp;""' or Col2 = '""&amp;Personagem!$K$3&amp;""' or Col2 = '""&amp;Pers"&amp;"onagem!$K$4&amp;""' or Col2 = '""&amp;Personagem!$K$5&amp;""'""),
if('Time 1'!C6 = ""Gauvin"", query(IMPORTRANGE(cd_planilha, ""Armas!B3:G""), ""Select Col1 Where Col2 = '""&amp;Personagem!$L$2&amp;""' or Col2 = '""&amp;Personagem!$L$3&amp;""' or Col2 = '""&amp;Personagem!$L$4&amp;""' or Co"&amp;"l2 = '""&amp;Personagem!$L$5&amp;""'""),
if('Time 1'!C6 = ""Irene"", query(IMPORTRANGE(cd_planilha, ""Armas!B3:G""), ""Select Col1 Where Col2 = '""&amp;Personagem!$M$2&amp;""' or Col2 = '""&amp;Personagem!$M$3&amp;""' or Col2 = '""&amp;Personagem!$M$4&amp;""' or Col2 = '""&amp;Personagem!$M"&amp;"$5&amp;""'""),
if('Time 1'!C6 = ""Karal"", query(IMPORTRANGE(cd_planilha, ""Armas!B3:G""), ""Select Col1 Where Col2 = '""&amp;Personagem!$N$2&amp;""' or Col2 = '""&amp;Personagem!$N$3&amp;""' or Col2 = '""&amp;Personagem!$N$4&amp;""' or Col2 = '""&amp;Personagem!$N$5&amp;""'""),
if('Time 1'"&amp;"!C6 = ""Kuro Shobi"", query(IMPORTRANGE(cd_planilha, ""Armas!B3:G""), ""Select Col1 Where Col2 = '""&amp;Personagem!$O$2&amp;""' or Col2 = '""&amp;Personagem!$O$3&amp;""' or Col2 = '""&amp;Personagem!$O$4&amp;""' or Col2 = '""&amp;Personagem!$O$5&amp;""'""),
if('Time 1'!C6 = ""Kurul"", "&amp;"query(IMPORTRANGE(cd_planilha, ""Armas!B3:G""), ""Select Col1 Where Col2 = '""&amp;Personagem!$P$2&amp;""' or Col2 = '""&amp;Personagem!$P$3&amp;""' or Col2 = '""&amp;Personagem!$P$4&amp;""' or Col2 = '""&amp;Personagem!$P$5&amp;""'""),
if('Time 1'!C6 = ""Lancaster"", query(IMPORTRANGE("&amp;"cd_planilha, ""Armas!B3:G""), ""Select Col1 Where Col2 = '""&amp;Personagem!$Q$2&amp;""' or Col2 = '""&amp;Personagem!$Q$3&amp;""' or Col2 = '""&amp;Personagem!$Q$4&amp;""' or Col2 = '""&amp;Personagem!$Q$5&amp;""'""),
if('Time 1'!C6 = ""Lorelei"", query(IMPORTRANGE(cd_planilha, ""Armas"&amp;"!B3:G""), ""Select Col1 Where Col2 = '""&amp;Personagem!$R$2&amp;""' or Col2 = '""&amp;Personagem!$R$3&amp;""' or Col2 = '""&amp;Personagem!$R$4&amp;""' or Col2 = '""&amp;Personagem!$R$5&amp;""'""),
if('Time 1'!C6 = ""Louca"", query(IMPORTRANGE(cd_planilha, ""Armas!B3:G""), ""Select Col"&amp;"1 Where Col2 = '""&amp;Personagem!$S$2&amp;""' or Col2 = '""&amp;Personagem!$S$3&amp;""' or Col2 = '""&amp;Personagem!$S$4&amp;""' or Col2 = '""&amp;Personagem!$S$5&amp;""'""),
if('Time 1'!C6 = ""Melina"", query(IMPORTRANGE(cd_planilha, ""Armas!B3:G""), ""Select Col1 Where Col2 = '""&amp;Pe"&amp;"rsonagem!$T$2&amp;""' or Col2 = '""&amp;Personagem!$T$3&amp;""' or Col2 = '""&amp;Personagem!$T$4&amp;""' or Col2 = '""&amp;Personagem!$T$5&amp;""'""),
if('Time 1'!C6 = ""Mila"", query(IMPORTRANGE(cd_planilha, ""Armas!B3:G""), ""Select Col1 Where Col2 = '""&amp;Personagem!$U$2&amp;""' or Co"&amp;"l2 = '""&amp;Personagem!$U$3&amp;""' or Col2 = '""&amp;Personagem!$U$4&amp;""' or Col2 = '""&amp;Personagem!$U$5&amp;""'""),
if('Time 1'!C6 = ""Minh"", query(IMPORTRANGE(cd_planilha, ""Armas!B3:G""), ""Select Col1 Where Col2 = '""&amp;Personagem!$V$2&amp;""' or Col2 = '""&amp;Personagem!$V$"&amp;"3&amp;""' or Col2 = '""&amp;Personagem!$V$4&amp;""' or Col2 = '""&amp;Personagem!$V$5&amp;""'""),
if('Time 1'!C6 = ""Mojian"", query(IMPORTRANGE(cd_planilha, ""Armas!B3:G""), ""Select Col1 Where Col2 = '""&amp;Personagem!$W$2&amp;""' or Col2 = '""&amp;Personagem!$W$3&amp;""' or Col2 = '""&amp;P"&amp;"ersonagem!$W$4&amp;""' or Col2 = '""&amp;Personagem!$W$5&amp;""'""),
if('Time 1'!C6 = ""Nya"", query(IMPORTRANGE(cd_planilha, ""Armas!B3:G""), ""Select Col1 Where Col2 = '""&amp;Personagem!$X$2&amp;""' or Col2 = '""&amp;Personagem!$X$3&amp;""' or Col2 = '""&amp;Personagem!$X$4&amp;""' or Co"&amp;"l2 = '""&amp;Personagem!$X$5&amp;""'""),
if('Time 1'!C6 = ""Odette"", query(IMPORTRANGE(cd_planilha, ""Armas!B3:G""), ""Select Col1 Where Col2 = '""&amp;Personagem!$Y$2&amp;""' or Col2 = '""&amp;Personagem!$Y$3&amp;""' or Col2 = '""&amp;Personagem!$Y$4&amp;""' or Col2 = '""&amp;Personagem!$"&amp;"Y$5&amp;""'""),
if('Time 1'!C6 = ""Oneira"", query(IMPORTRANGE(cd_planilha, ""Armas!B3:G""), ""Select Col1 Where Col2 = '""&amp;Personagem!$Z$2&amp;""' or Col2 = '""&amp;Personagem!$Z$3&amp;""' or Col2 = '""&amp;Personagem!$Z$4&amp;""' or Col2 = '""&amp;Personagem!$Z$5&amp;""'""),
if('Time "&amp;"1'!C6 = ""Palash"", query(IMPORTRANGE(cd_planilha, ""Armas!B3:G""), ""Select Col1 Where Col2 = '""&amp;Personagem!$AA$2&amp;""' or Col2 = '""&amp;Personagem!$AA$3&amp;""' or Col2 = '""&amp;Personagem!$AA$4&amp;""' or Col2 = '""&amp;Personagem!$AA$5&amp;""'""),
if('Time 1'!C6 = ""Theor"""&amp;", query(IMPORTRANGE(cd_planilha, ""Armas!B3:G""), ""Select Col1 Where Col2 = '""&amp;Personagem!$AB$2&amp;""' or Col2 = '""&amp;Personagem!$AB$3&amp;""' or Col2 = '""&amp;Personagem!$AB$4&amp;""' or Col2 = '""&amp;Personagem!$AB$5&amp;""'""),
if('Time 1'!C6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'""&amp;Personagem!$AC$5&amp;""'"")))))))))))))))))))))))))))))"),"Adaga Branca")</f>
        <v>Adaga Branca</v>
      </c>
      <c r="H1" s="241"/>
      <c r="I1" s="241" t="str">
        <f>IFERROR(__xludf.DUMMYFUNCTION("if('Time 1'!C7 = ""Albert"", query(IMPORTRANGE(cd_planilha, ""Armas!B3:G""), ""Select Col1 Where Col2 = '""&amp;Personagem!$B$2&amp;""' or Col2 = '""&amp;Personagem!$B$3&amp;""' or Col2 = '""&amp;Personagem!$B$4&amp;""' or Col2 = '""&amp;Personagem!$B$5&amp;""'""),     
if('Time 1'!C7 ="&amp;" ""Alicia"", query(IMPORTRANGE(cd_planilha, ""Armas!B3:G""), ""Select Col1 Where Col2 = '""&amp;Personagem!$C$2&amp;""' or Col2 = '""&amp;Personagem!$C$3&amp;""' or Col2 = '""&amp;Personagem!$C$4&amp;""' or Col2 = '""&amp;Personagem!$C$5&amp;""'""),
if('Time 1'!C7 = ""Azula"", query(IMP"&amp;"ORTRANGE(cd_planilha, ""Armas!B3:G""), ""Select Col1 Where Col2 = '""&amp;Personagem!$D$2&amp;""' or Col2 = '""&amp;Personagem!$D$3&amp;""' or Col2 = '""&amp;Personagem!$D$4&amp;""' or Col2 = '""&amp;Personagem!$D$5&amp;""'""),
if('Time 1'!C7 = ""Charles"", query(IMPORTRANGE(cd_planilha"&amp;", ""Armas!B3:G""), ""Select Col1 Where Col2 = '""&amp;Personagem!$E$2&amp;""' or Col2 = '""&amp;Personagem!$E$3&amp;""' or Col2 = '""&amp;Personagem!$E$4&amp;""' or Col2 = '""&amp;Personagem!$E$5&amp;""'""),
if('Time 1'!C7 = ""Clovis"", query(IMPORTRANGE(cd_planilha, ""Armas!B3:G""), """&amp;"Select Col1 Where Col2 = '""&amp;Personagem!$F$2&amp;""' or Col2 = '""&amp;Personagem!$F$3&amp;""' or Col2 = '""&amp;Personagem!$F$4&amp;""' or Col2 = '""&amp;Personagem!$F$5&amp;""'""),
if('Time 1'!C7 = ""Darthos"", query(IMPORTRANGE(cd_planilha, ""Armas!B3:G""), ""Select Col1 Where Co"&amp;"l2 = '""&amp;Personagem!$G$2&amp;""' or Col2 = '""&amp;Personagem!$G$3&amp;""' or Col2 = '""&amp;Personagem!$G$4&amp;""' or Col2 = '""&amp;Personagem!$G$5&amp;""'""),
if('Time 1'!C7 = ""Edward"", query(IMPORTRANGE(cd_planilha, ""Armas!B3:G""), ""Select Col1 Where Col2 = '""&amp;Personagem!$"&amp;"H$2&amp;""' or Col2 = '""&amp;Personagem!$H$3&amp;""' or Col2 = '""&amp;Personagem!$H$4&amp;""' or Col2 = '""&amp;Personagem!$H$5&amp;""'""),
if('Time 1'!C7 = ""Fiora"", query(IMPORTRANGE(cd_planilha, ""Armas!B3:G""), ""Select Col1 Where Col2 = '""&amp;Personagem!$I$2&amp;""' or Col2 = '""&amp;"&amp;"Personagem!$I$3&amp;""' or Col2 = '""&amp;Personagem!$I$4&amp;""' or Col2 = '""&amp;Personagem!$I$5&amp;""'""),
if('Time 1'!C7 = ""Francesca"", query(IMPORTRANGE(cd_planilha, ""Armas!B3:G""), ""Select Col1 Where Col2 = '""&amp;Personagem!$J$2&amp;""' or Col2 = '""&amp;Personagem!$J$3&amp;"""&amp;"' or Col2 = '""&amp;Personagem!$J$4&amp;""' or Col2 = '""&amp;Personagem!$J$5&amp;""'""),
if('Time 1'!C7 = ""Garreth"", query(IMPORTRANGE(cd_planilha, ""Armas!B3:G""), ""Select Col1 Where Col2 = '""&amp;Personagem!$K$2&amp;""' or Col2 = '""&amp;Personagem!$K$3&amp;""' or Col2 = '""&amp;Pers"&amp;"onagem!$K$4&amp;""' or Col2 = '""&amp;Personagem!$K$5&amp;""'""),
if('Time 1'!C7 = ""Gauvin"", query(IMPORTRANGE(cd_planilha, ""Armas!B3:G""), ""Select Col1 Where Col2 = '""&amp;Personagem!$L$2&amp;""' or Col2 = '""&amp;Personagem!$L$3&amp;""' or Col2 = '""&amp;Personagem!$L$4&amp;""' or Co"&amp;"l2 = '""&amp;Personagem!$L$5&amp;""'""),
if('Time 1'!C7 = ""Irene"", query(IMPORTRANGE(cd_planilha, ""Armas!B3:G""), ""Select Col1 Where Col2 = '""&amp;Personagem!$M$2&amp;""' or Col2 = '""&amp;Personagem!$M$3&amp;""' or Col2 = '""&amp;Personagem!$M$4&amp;""' or Col2 = '""&amp;Personagem!$M"&amp;"$5&amp;""'""),
if('Time 1'!C7 = ""Karal"", query(IMPORTRANGE(cd_planilha, ""Armas!B3:G""), ""Select Col1 Where Col2 = '""&amp;Personagem!$N$2&amp;""' or Col2 = '""&amp;Personagem!$N$3&amp;""' or Col2 = '""&amp;Personagem!$N$4&amp;""' or Col2 = '""&amp;Personagem!$N$5&amp;""'""),
if('Time 1'"&amp;"!C7 = ""Kuro Shobi"", query(IMPORTRANGE(cd_planilha, ""Armas!B3:G""), ""Select Col1 Where Col2 = '""&amp;Personagem!$O$2&amp;""' or Col2 = '""&amp;Personagem!$O$3&amp;""' or Col2 = '""&amp;Personagem!$O$4&amp;""' or Col2 = '""&amp;Personagem!$O$5&amp;""'""),
if('Time 1'!C7 = ""Kurul"", "&amp;"query(IMPORTRANGE(cd_planilha, ""Armas!B3:G""), ""Select Col1 Where Col2 = '""&amp;Personagem!$P$2&amp;""' or Col2 = '""&amp;Personagem!$P$3&amp;""' or Col2 = '""&amp;Personagem!$P$4&amp;""' or Col2 = '""&amp;Personagem!$P$5&amp;""'""),
if('Time 1'!C7 = ""Lancaster"", query(IMPORTRANGE("&amp;"cd_planilha, ""Armas!B3:G""), ""Select Col1 Where Col2 = '""&amp;Personagem!$Q$2&amp;""' or Col2 = '""&amp;Personagem!$Q$3&amp;""' or Col2 = '""&amp;Personagem!$Q$4&amp;""' or Col2 = '""&amp;Personagem!$Q$5&amp;""'""),
if('Time 1'!C7 = ""Lorelei"", query(IMPORTRANGE(cd_planilha, ""Armas"&amp;"!B3:G""), ""Select Col1 Where Col2 = '""&amp;Personagem!$R$2&amp;""' or Col2 = '""&amp;Personagem!$R$3&amp;""' or Col2 = '""&amp;Personagem!$R$4&amp;""' or Col2 = '""&amp;Personagem!$R$5&amp;""'""),
if('Time 1'!C7 = ""Louca"", query(IMPORTRANGE(cd_planilha, ""Armas!B3:G""), ""Select Col"&amp;"1 Where Col2 = '""&amp;Personagem!$S$2&amp;""' or Col2 = '""&amp;Personagem!$S$3&amp;""' or Col2 = '""&amp;Personagem!$S$4&amp;""' or Col2 = '""&amp;Personagem!$S$5&amp;""'""),
if('Time 1'!C7 = ""Melina"", query(IMPORTRANGE(cd_planilha, ""Armas!B3:G""), ""Select Col1 Where Col2 = '""&amp;Pe"&amp;"rsonagem!$T$2&amp;""' or Col2 = '""&amp;Personagem!$T$3&amp;""' or Col2 = '""&amp;Personagem!$T$4&amp;""' or Col2 = '""&amp;Personagem!$T$5&amp;""'""),
if('Time 1'!C7 = ""Mila"", query(IMPORTRANGE(cd_planilha, ""Armas!B3:G""), ""Select Col1 Where Col2 = '""&amp;Personagem!$U$2&amp;""' or Co"&amp;"l2 = '""&amp;Personagem!$U$3&amp;""' or Col2 = '""&amp;Personagem!$U$4&amp;""' or Col2 = '""&amp;Personagem!$U$5&amp;""'""),
if('Time 1'!C7 = ""Minh"", query(IMPORTRANGE(cd_planilha, ""Armas!B3:G""), ""Select Col1 Where Col2 = '""&amp;Personagem!$V$2&amp;""' or Col2 = '""&amp;Personagem!$V$"&amp;"3&amp;""' or Col2 = '""&amp;Personagem!$V$4&amp;""' or Col2 = '""&amp;Personagem!$V$5&amp;""'""),
if('Time 1'!C7 = ""Mojian"", query(IMPORTRANGE(cd_planilha, ""Armas!B3:G""), ""Select Col1 Where Col2 = '""&amp;Personagem!$W$2&amp;""' or Col2 = '""&amp;Personagem!$W$3&amp;""' or Col2 = '""&amp;P"&amp;"ersonagem!$W$4&amp;""' or Col2 = '""&amp;Personagem!$W$5&amp;""'""),
if('Time 1'!C7 = ""Nya"", query(IMPORTRANGE(cd_planilha, ""Armas!B3:G""), ""Select Col1 Where Col2 = '""&amp;Personagem!$X$2&amp;""' or Col2 = '""&amp;Personagem!$X$3&amp;""' or Col2 = '""&amp;Personagem!$X$4&amp;""' or Co"&amp;"l2 = '""&amp;Personagem!$X$5&amp;""'""),
if('Time 1'!C7 = ""Odette"", query(IMPORTRANGE(cd_planilha, ""Armas!B3:G""), ""Select Col1 Where Col2 = '""&amp;Personagem!$Y$2&amp;""' or Col2 = '""&amp;Personagem!$Y$3&amp;""' or Col2 = '""&amp;Personagem!$Y$4&amp;""' or Col2 = '""&amp;Personagem!$"&amp;"Y$5&amp;""'""),
if('Time 1'!C7 = ""Oneira"", query(IMPORTRANGE(cd_planilha, ""Armas!B3:G""), ""Select Col1 Where Col2 = '""&amp;Personagem!$Z$2&amp;""' or Col2 = '""&amp;Personagem!$Z$3&amp;""' or Col2 = '""&amp;Personagem!$Z$4&amp;""' or Col2 = '""&amp;Personagem!$Z$5&amp;""'""),
if('Time "&amp;"1'!C7 = ""Palash"", query(IMPORTRANGE(cd_planilha, ""Armas!B3:G""), ""Select Col1 Where Col2 = '""&amp;Personagem!$AA$2&amp;""' or Col2 = '""&amp;Personagem!$AA$3&amp;""' or Col2 = '""&amp;Personagem!$AA$4&amp;""' or Col2 = '""&amp;Personagem!$AA$5&amp;""'""),
if('Time 1'!C7 = ""Theor"""&amp;", query(IMPORTRANGE(cd_planilha, ""Armas!B3:G""), ""Select Col1 Where Col2 = '""&amp;Personagem!$AB$2&amp;""' or Col2 = '""&amp;Personagem!$AB$3&amp;""' or Col2 = '""&amp;Personagem!$AB$4&amp;""' or Col2 = '""&amp;Personagem!$AB$5&amp;""'""),
if('Time 1'!C7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J1" s="241"/>
      <c r="K1" s="241" t="str">
        <f>IFERROR(__xludf.DUMMYFUNCTION("if('Time 1'!C8 = ""Albert"", query(IMPORTRANGE(cd_planilha, ""Armas!B3:G""), ""Select Col1 Where Col2 = '""&amp;Personagem!$B$2&amp;""' or Col2 = '""&amp;Personagem!$B$3&amp;""' or Col2 = '""&amp;Personagem!$B$4&amp;""' or Col2 = '""&amp;Personagem!$B$5&amp;""'""),     
if('Time 1'!C8 ="&amp;" ""Alicia"", query(IMPORTRANGE(cd_planilha, ""Armas!B3:G""), ""Select Col1 Where Col2 = '""&amp;Personagem!$C$2&amp;""' or Col2 = '""&amp;Personagem!$C$3&amp;""' or Col2 = '""&amp;Personagem!$C$4&amp;""' or Col2 = '""&amp;Personagem!$C$5&amp;""'""),
if('Time 1'!C8 = ""Azula"", query(IMP"&amp;"ORTRANGE(cd_planilha, ""Armas!B3:G""), ""Select Col1 Where Col2 = '""&amp;Personagem!$D$2&amp;""' or Col2 = '""&amp;Personagem!$D$3&amp;""' or Col2 = '""&amp;Personagem!$D$4&amp;""' or Col2 = '""&amp;Personagem!$D$5&amp;""'""),
if('Time 1'!C8 = ""Charles"", query(IMPORTRANGE(cd_planilha"&amp;", ""Armas!B3:G""), ""Select Col1 Where Col2 = '""&amp;Personagem!$E$2&amp;""' or Col2 = '""&amp;Personagem!$E$3&amp;""' or Col2 = '""&amp;Personagem!$E$4&amp;""' or Col2 = '""&amp;Personagem!$E$5&amp;""'""),
if('Time 1'!C8 = ""Clovis"", query(IMPORTRANGE(cd_planilha, ""Armas!B3:G""), """&amp;"Select Col1 Where Col2 = '""&amp;Personagem!$F$2&amp;""' or Col2 = '""&amp;Personagem!$F$3&amp;""' or Col2 = '""&amp;Personagem!$F$4&amp;""' or Col2 = '""&amp;Personagem!$F$5&amp;""'""),
if('Time 1'!C8 = ""Darthos"", query(IMPORTRANGE(cd_planilha, ""Armas!B3:G""), ""Select Col1 Where Co"&amp;"l2 = '""&amp;Personagem!$G$2&amp;""' or Col2 = '""&amp;Personagem!$G$3&amp;""' or Col2 = '""&amp;Personagem!$G$4&amp;""' or Col2 = '""&amp;Personagem!$G$5&amp;""'""),
if('Time 1'!C8 = ""Edward"", query(IMPORTRANGE(cd_planilha, ""Armas!B3:G""), ""Select Col1 Where Col2 = '""&amp;Personagem!$"&amp;"H$2&amp;""' or Col2 = '""&amp;Personagem!$H$3&amp;""' or Col2 = '""&amp;Personagem!$H$4&amp;""' or Col2 = '""&amp;Personagem!$H$5&amp;""'""),
if('Time 1'!C8 = ""Fiora"", query(IMPORTRANGE(cd_planilha, ""Armas!B3:G""), ""Select Col1 Where Col2 = '""&amp;Personagem!$I$2&amp;""' or Col2 = '""&amp;"&amp;"Personagem!$I$3&amp;""' or Col2 = '""&amp;Personagem!$I$4&amp;""' or Col2 = '""&amp;Personagem!$I$5&amp;""'""),
if('Time 1'!C8 = ""Francesca"", query(IMPORTRANGE(cd_planilha, ""Armas!B3:G""), ""Select Col1 Where Col2 = '""&amp;Personagem!$J$2&amp;""' or Col2 = '""&amp;Personagem!$J$3&amp;"""&amp;"' or Col2 = '""&amp;Personagem!$J$4&amp;""' or Col2 = '""&amp;Personagem!$J$5&amp;""'""),
if('Time 1'!C8 = ""Garreth"", query(IMPORTRANGE(cd_planilha, ""Armas!B3:G""), ""Select Col1 Where Col2 = '""&amp;Personagem!$K$2&amp;""' or Col2 = '""&amp;Personagem!$K$3&amp;""' or Col2 = '""&amp;Pers"&amp;"onagem!$K$4&amp;""' or Col2 = '""&amp;Personagem!$K$5&amp;""'""),
if('Time 1'!C8 = ""Gauvin"", query(IMPORTRANGE(cd_planilha, ""Armas!B3:G""), ""Select Col1 Where Col2 = '""&amp;Personagem!$L$2&amp;""' or Col2 = '""&amp;Personagem!$L$3&amp;""' or Col2 = '""&amp;Personagem!$L$4&amp;""' or Co"&amp;"l2 = '""&amp;Personagem!$L$5&amp;""'""),
if('Time 1'!C8 = ""Irene"", query(IMPORTRANGE(cd_planilha, ""Armas!B3:G""), ""Select Col1 Where Col2 = '""&amp;Personagem!$M$2&amp;""' or Col2 = '""&amp;Personagem!$M$3&amp;""' or Col2 = '""&amp;Personagem!$M$4&amp;""' or Col2 = '""&amp;Personagem!$M"&amp;"$5&amp;""'""),
if('Time 1'!C8 = ""Karal"", query(IMPORTRANGE(cd_planilha, ""Armas!B3:G""), ""Select Col1 Where Col2 = '""&amp;Personagem!$N$2&amp;""' or Col2 = '""&amp;Personagem!$N$3&amp;""' or Col2 = '""&amp;Personagem!$N$4&amp;""' or Col2 = '""&amp;Personagem!$N$5&amp;""'""),
if('Time 1'"&amp;"!C8 = ""Kuro Shobi"", query(IMPORTRANGE(cd_planilha, ""Armas!B3:G""), ""Select Col1 Where Col2 = '""&amp;Personagem!$O$2&amp;""' or Col2 = '""&amp;Personagem!$O$3&amp;""' or Col2 = '""&amp;Personagem!$O$4&amp;""' or Col2 = '""&amp;Personagem!$O$5&amp;""'""),
if('Time 1'!C8 = ""Kurul"", "&amp;"query(IMPORTRANGE(cd_planilha, ""Armas!B3:G""), ""Select Col1 Where Col2 = '""&amp;Personagem!$P$2&amp;""' or Col2 = '""&amp;Personagem!$P$3&amp;""' or Col2 = '""&amp;Personagem!$P$4&amp;""' or Col2 = '""&amp;Personagem!$P$5&amp;""'""),
if('Time 1'!C8 = ""Lancaster"", query(IMPORTRANGE("&amp;"cd_planilha, ""Armas!B3:G""), ""Select Col1 Where Col2 = '""&amp;Personagem!$Q$2&amp;""' or Col2 = '""&amp;Personagem!$Q$3&amp;""' or Col2 = '""&amp;Personagem!$Q$4&amp;""' or Col2 = '""&amp;Personagem!$Q$5&amp;""'""),
if('Time 1'!C8 = ""Lorelei"", query(IMPORTRANGE(cd_planilha, ""Armas"&amp;"!B3:G""), ""Select Col1 Where Col2 = '""&amp;Personagem!$R$2&amp;""' or Col2 = '""&amp;Personagem!$R$3&amp;""' or Col2 = '""&amp;Personagem!$R$4&amp;""' or Col2 = '""&amp;Personagem!$R$5&amp;""'""),
if('Time 1'!C8 = ""Louca"", query(IMPORTRANGE(cd_planilha, ""Armas!B3:G""), ""Select Col"&amp;"1 Where Col2 = '""&amp;Personagem!$S$2&amp;""' or Col2 = '""&amp;Personagem!$S$3&amp;""' or Col2 = '""&amp;Personagem!$S$4&amp;""' or Col2 = '""&amp;Personagem!$S$5&amp;""'""),
if('Time 1'!C8 = ""Melina"", query(IMPORTRANGE(cd_planilha, ""Armas!B3:G""), ""Select Col1 Where Col2 = '""&amp;Pe"&amp;"rsonagem!$T$2&amp;""' or Col2 = '""&amp;Personagem!$T$3&amp;""' or Col2 = '""&amp;Personagem!$T$4&amp;""' or Col2 = '""&amp;Personagem!$T$5&amp;""'""),
if('Time 1'!C8 = ""Mila"", query(IMPORTRANGE(cd_planilha, ""Armas!B3:G""), ""Select Col1 Where Col2 = '""&amp;Personagem!$U$2&amp;""' or Co"&amp;"l2 = '""&amp;Personagem!$U$3&amp;""' or Col2 = '""&amp;Personagem!$U$4&amp;""' or Col2 = '""&amp;Personagem!$U$5&amp;""'""),
if('Time 1'!C8 = ""Minh"", query(IMPORTRANGE(cd_planilha, ""Armas!B3:G""), ""Select Col1 Where Col2 = '""&amp;Personagem!$V$2&amp;""' or Col2 = '""&amp;Personagem!$V$"&amp;"3&amp;""' or Col2 = '""&amp;Personagem!$V$4&amp;""' or Col2 = '""&amp;Personagem!$V$5&amp;""'""),
if('Time 1'!C8 = ""Mojian"", query(IMPORTRANGE(cd_planilha, ""Armas!B3:G""), ""Select Col1 Where Col2 = '""&amp;Personagem!$W$2&amp;""' or Col2 = '""&amp;Personagem!$W$3&amp;""' or Col2 = '""&amp;P"&amp;"ersonagem!$W$4&amp;""' or Col2 = '""&amp;Personagem!$W$5&amp;""'""),
if('Time 1'!C8 = ""Nya"", query(IMPORTRANGE(cd_planilha, ""Armas!B3:G""), ""Select Col1 Where Col2 = '""&amp;Personagem!$X$2&amp;""' or Col2 = '""&amp;Personagem!$X$3&amp;""' or Col2 = '""&amp;Personagem!$X$4&amp;""' or Co"&amp;"l2 = '""&amp;Personagem!$X$5&amp;""'""),
if('Time 1'!C8 = ""Odette"", query(IMPORTRANGE(cd_planilha, ""Armas!B3:G""), ""Select Col1 Where Col2 = '""&amp;Personagem!$Y$2&amp;""' or Col2 = '""&amp;Personagem!$Y$3&amp;""' or Col2 = '""&amp;Personagem!$Y$4&amp;""' or Col2 = '""&amp;Personagem!$"&amp;"Y$5&amp;""'""),
if('Time 1'!C8 = ""Oneira"", query(IMPORTRANGE(cd_planilha, ""Armas!B3:G""), ""Select Col1 Where Col2 = '""&amp;Personagem!$Z$2&amp;""' or Col2 = '""&amp;Personagem!$Z$3&amp;""' or Col2 = '""&amp;Personagem!$Z$4&amp;""' or Col2 = '""&amp;Personagem!$Z$5&amp;""'""),
if('Time "&amp;"1'!C8 = ""Palash"", query(IMPORTRANGE(cd_planilha, ""Armas!B3:G""), ""Select Col1 Where Col2 = '""&amp;Personagem!$AA$2&amp;""' or Col2 = '""&amp;Personagem!$AA$3&amp;""' or Col2 = '""&amp;Personagem!$AA$4&amp;""' or Col2 = '""&amp;Personagem!$AA$5&amp;""'""),
if('Time 1'!C8 = ""Theor"""&amp;", query(IMPORTRANGE(cd_planilha, ""Armas!B3:G""), ""Select Col1 Where Col2 = '""&amp;Personagem!$AB$2&amp;""' or Col2 = '""&amp;Personagem!$AB$3&amp;""' or Col2 = '""&amp;Personagem!$AB$4&amp;""' or Col2 = '""&amp;Personagem!$AB$5&amp;""'""),
if('Time 1'!C8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L1" s="242"/>
      <c r="M1" s="241" t="str">
        <f>IFERROR(__xludf.DUMMYFUNCTION("if('Time 1'!C3 = ""Albert"", query(IMPORTRANGE(cd_planilha, ""Armas!B3:G""), ""Select Col1 Where Col2 = '""&amp;Personagem!$B$6&amp;""' or Col2 = '""&amp;Personagem!$B$7&amp;""'""),     
if('Time 1'!C3 = ""Alicia"", query(IMPORTRANGE(cd_planilha, ""Armas!B3:G""), ""Selec"&amp;"t Col1 Where Col2 = '""&amp;Personagem!$C$6&amp;""' or Col2 = '""&amp;Personagem!$C$7&amp;""'""),
if('Time 1'!C3 = ""Azula"", query(IMPORTRANGE(cd_planilha, ""Armas!B3:G""), ""Select Col1 Where Col2 = '""&amp;Personagem!$D$6&amp;""' or Col2 = '""&amp;Personagem!$D$7&amp;""' ""),
if('Tim"&amp;"e 1'!C3 = ""Charles"", query(IMPORTRANGE(cd_planilha, ""Armas!B3:G""), ""Select Col1 Where Col2 = '""&amp;Personagem!$E$6&amp;""' or Col2 = '""&amp;Personagem!$E$7&amp;""'""),
if('Time 1'!C3 = ""Clovis"", query(IMPORTRANGE(cd_planilha, ""Armas!B3:G""), ""Select Col1 Wher"&amp;"e Col2 = '""&amp;Personagem!$F$6&amp;""' or Col2 = '""&amp;Personagem!$F$7&amp;""' ""),
if('Time 1'!C3 = ""Darthos"", query(IMPORTRANGE(cd_planilha, ""Armas!B3:G""), ""Select Col1 Where Col2 = '""&amp;Personagem!$G$6&amp;""' or Col2 = '""&amp;Personagem!$G$7&amp;""'""),
if('Time 1'!C3 ="&amp;" ""Edward"", query(IMPORTRANGE(cd_planilha, ""Armas!B3:G""), ""Select Col1 Where Col2 = '""&amp;Personagem!$H$6&amp;""' or Col2 = '""&amp;Personagem!$H$7&amp;""' ""),
if('Time 1'!C3 = ""Fiora"", query(IMPORTRANGE(cd_planilha, ""Armas!B3:G""), ""Select Col1 Where Col2 = '"&amp;"""&amp;Personagem!$I$6&amp;""' or Col2 = '""&amp;Personagem!$I$7&amp;""' ""),
if('Time 1'!C3 = ""Francesca"", query(IMPORTRANGE(cd_planilha, ""Armas!B3:G""), ""Select Col1 Where Col2 = '""&amp;Personagem!$J$6&amp;""' or Col2 = '""&amp;Personagem!$J$7&amp;""'""),
if('Time 1'!C3 = ""Garre"&amp;"th"", query(IMPORTRANGE(cd_planilha, ""Armas!B3:G""), ""Select Col1 Where Col2 = '""&amp;Personagem!$K$6&amp;""' or Col2 = '""&amp;Personagem!$K$7&amp;""'""),
if('Time 1'!C3 = ""Gauvin"", query(IMPORTRANGE(cd_planilha, ""Armas!B3:G""), ""Select Col1 Where Col2 = '""&amp;Pers"&amp;"onagem!$L$6&amp;""' or Col2 = '""&amp;Personagem!$L$7&amp;""' ""),
if('Time 1'!C3 = ""Irene"", query(IMPORTRANGE(cd_planilha, ""Armas!B3:G""), ""Select Col1 Where Col2 = '""&amp;Personagem!$M$6&amp;""' or Col2 = '""&amp;Personagem!$M$7&amp;""' ""),
if('Time 1'!C3 = ""Karal"", query("&amp;"IMPORTRANGE(cd_planilha, ""Armas!B3:G""), ""Select Col1 Where Col2 = '""&amp;Personagem!$N$6&amp;""' or Col2 = '""&amp;Personagem!$N$7&amp;""' ""),
if('Time 1'!C3 = ""Kuro Shobi"", query(IMPORTRANGE(cd_planilha, ""Armas!B3:G""), ""Select Col1 Where Col2 = '""&amp;Personagem!"&amp;"$O$6&amp;""' or Col2 = '""&amp;Personagem!$O$7&amp;""'""),
if('Time 1'!C3 = ""Kurul"", query(IMPORTRANGE(cd_planilha, ""Armas!B3:G""), ""Select Col1 Where Col2 = '""&amp;Personagem!$P$6&amp;""' or Col2 = '""&amp;Personagem!$P$7&amp;""' ""),
if('Time 1'!C3 = ""Lancaster"", query(IMPO"&amp;"RTRANGE(cd_planilha, ""Armas!B3:G""), ""Select Col1 Where Col2 = '""&amp;Personagem!$Q$6&amp;""' or Col2 = '""&amp;Personagem!$Q$7&amp;""'""),
if('Time 1'!C3 = ""Lorelei"", query(IMPORTRANGE(cd_planilha, ""Armas!B3:G""), ""Select Col1 Where Col2 = '""&amp;Personagem!$R$6&amp;""'"&amp;" or Col2 = '""&amp;Personagem!$R$7&amp;""' ""),
if('Time 1'!C3 = ""Louca"", query(IMPORTRANGE(cd_planilha, ""Armas!B3:G""), ""Select Col1 Where Col2 = '""&amp;Personagem!$S$6&amp;""' or Col2 = '""&amp;Personagem!$S$7&amp;""' ""),
if('Time 1'!C3 = ""Melina"", query(IMPORTRANGE(cd"&amp;"_planilha, ""Armas!B3:G""), ""Select Col1 Where Col2 = '""&amp;Personagem!$T$6&amp;""' or Col2 = '""&amp;Personagem!$T$7&amp;""'""),
if('Time 1'!C3 = ""Mila"", query(IMPORTRANGE(cd_planilha, ""Armas!B3:G""), ""Select Col1 Where Col2 = '""&amp;Personagem!$U$6&amp;""' or Col2 = '"&amp;"""&amp;Personagem!$U$7&amp;""' ""),
if('Time 1'!C3 = ""Minh"", query(IMPORTRANGE(cd_planilha, ""Armas!B3:G""), ""Select Col1 Where Col2 = '""&amp;Personagem!$V$6&amp;""' or Col2 = '""&amp;Personagem!$V$7&amp;""' ""),
if('Time 1'!C3 = ""Mojian"", query(IMPORTRANGE(cd_planilha, """&amp;"Armas!B3:G""), ""Select Col1 Where Col2 = '""&amp;Personagem!$W$6&amp;""' or Col2 = '""&amp;Personagem!$W$7&amp;""'""),
if('Time 1'!C3 = ""Nya"", query(IMPORTRANGE(cd_planilha, ""Armas!B3:G""), ""Select Col1 Where Col2 = '""&amp;Personagem!$X$6&amp;""' or Col2 = '""&amp;Personagem!$"&amp;"X$7&amp;""' ""),
if('Time 1'!C3 = ""Odette"", query(IMPORTRANGE(cd_planilha, ""Armas!B3:G""), ""Select Col1 Where Col2 = '""&amp;Personagem!$Y$6&amp;""' or Col2 = '""&amp;Personagem!$Y$7&amp;""'""),
if('Time 1'!C3 = ""Oneira"", query(IMPORTRANGE(cd_planilha, ""Armas!B3:G""),"&amp;" ""Select Col1 Where Col2 = '""&amp;Personagem!$Z$6&amp;""' or Col2 = '""&amp;Personagem!$Z$7&amp;""' ""),
if('Time 1'!C3 = ""Palash"", query(IMPORTRANGE(cd_planilha, ""Armas!B3:G""), ""Select Col1 Where Col2 = '""&amp;Personagem!$AA$6&amp;""' or Col2 = '""&amp;Personagem!$AA$7&amp;""'"&amp;"""),
if('Time 1'!C3 = ""Theor"", query(IMPORTRANGE(cd_planilha, ""Armas!B3:G""), ""Select Col1 Where Col2 = '""&amp;Personagem!$AB$6&amp;""' or Col2 = '""&amp;Personagem!$AB$7&amp;""' ""),
if('Time 1'!C3 = ""Yue"", query(IMPORTRANGE(cd_planilha, ""Armas!B3:G""), ""Select"&amp;" Col1 Where Col2 = '""&amp;Personagem!$AC$6&amp;""' or Col2 = '""&amp;Personagem!$AC$7&amp;""'""
)))))))))))))))))))))))))))))"),"Armadura Lunar")</f>
        <v>Armadura Lunar</v>
      </c>
      <c r="N1" s="241"/>
      <c r="O1" s="241" t="str">
        <f>IFERROR(__xludf.DUMMYFUNCTION("if('Time 1'!C4 = ""Albert"", query(IMPORTRANGE(cd_planilha, ""Armas!B3:G""), ""Select Col1 Where Col2 = '""&amp;Personagem!$B$6&amp;""' or Col2 = '""&amp;Personagem!$B$7&amp;""'""),     
if('Time 1'!C4 = ""Alicia"", query(IMPORTRANGE(cd_planilha, ""Armas!B3:G""), ""Selec"&amp;"t Col1 Where Col2 = '""&amp;Personagem!$C$6&amp;""' or Col2 = '""&amp;Personagem!$C$7&amp;""'""),
if('Time 1'!C4 = ""Azula"", query(IMPORTRANGE(cd_planilha, ""Armas!B3:G""), ""Select Col1 Where Col2 = '""&amp;Personagem!$D$6&amp;""' or Col2 = '""&amp;Personagem!$D$7&amp;""' ""),
if('Tim"&amp;"e 1'!C4 = ""Charles"", query(IMPORTRANGE(cd_planilha, ""Armas!B3:G""), ""Select Col1 Where Col2 = '""&amp;Personagem!$E$6&amp;""' or Col2 = '""&amp;Personagem!$E$7&amp;""'""),
if('Time 1'!C4 = ""Clovis"", query(IMPORTRANGE(cd_planilha, ""Armas!B3:G""), ""Select Col1 Wher"&amp;"e Col2 = '""&amp;Personagem!$F$6&amp;""' or Col2 = '""&amp;Personagem!$F$7&amp;""' ""),
if('Time 1'!C4 = ""Darthos"", query(IMPORTRANGE(cd_planilha, ""Armas!B3:G""), ""Select Col1 Where Col2 = '""&amp;Personagem!$G$6&amp;""' or Col2 = '""&amp;Personagem!$G$7&amp;""'""),
if('Time 1'!C4 ="&amp;" ""Edward"", query(IMPORTRANGE(cd_planilha, ""Armas!B3:G""), ""Select Col1 Where Col2 = '""&amp;Personagem!$H$6&amp;""' or Col2 = '""&amp;Personagem!$H$7&amp;""' ""),
if('Time 1'!C4 = ""Fiora"", query(IMPORTRANGE(cd_planilha, ""Armas!B3:G""), ""Select Col1 Where Col2 = '"&amp;"""&amp;Personagem!$I$6&amp;""' or Col2 = '""&amp;Personagem!$I$7&amp;""' ""),
if('Time 1'!C4 = ""Francesca"", query(IMPORTRANGE(cd_planilha, ""Armas!B3:G""), ""Select Col1 Where Col2 = '""&amp;Personagem!$J$6&amp;""' or Col2 = '""&amp;Personagem!$J$7&amp;""'""),
if('Time 1'!C4 = ""Garre"&amp;"th"", query(IMPORTRANGE(cd_planilha, ""Armas!B3:G""), ""Select Col1 Where Col2 = '""&amp;Personagem!$K$6&amp;""' or Col2 = '""&amp;Personagem!$K$7&amp;""'""),
if('Time 1'!C4 = ""Gauvin"", query(IMPORTRANGE(cd_planilha, ""Armas!B3:G""), ""Select Col1 Where Col2 = '""&amp;Pers"&amp;"onagem!$L$6&amp;""' or Col2 = '""&amp;Personagem!$L$7&amp;""' ""),
if('Time 1'!C4 = ""Irene"", query(IMPORTRANGE(cd_planilha, ""Armas!B3:G""), ""Select Col1 Where Col2 = '""&amp;Personagem!$M$6&amp;""' or Col2 = '""&amp;Personagem!$M$7&amp;""' ""),
if('Time 1'!C4 = ""Karal"", query("&amp;"IMPORTRANGE(cd_planilha, ""Armas!B3:G""), ""Select Col1 Where Col2 = '""&amp;Personagem!$N$6&amp;""' or Col2 = '""&amp;Personagem!$N$7&amp;""' ""),
if('Time 1'!C4 = ""Kuro Shobi"", query(IMPORTRANGE(cd_planilha, ""Armas!B3:G""), ""Select Col1 Where Col2 = '""&amp;Personagem!"&amp;"$O$6&amp;""' or Col2 = '""&amp;Personagem!$O$7&amp;""'""),
if('Time 1'!C4 = ""Kurul"", query(IMPORTRANGE(cd_planilha, ""Armas!B3:G""), ""Select Col1 Where Col2 = '""&amp;Personagem!$P$6&amp;""' or Col2 = '""&amp;Personagem!$P$7&amp;""' ""),
if('Time 1'!C4 = ""Lancaster"", query(IMPO"&amp;"RTRANGE(cd_planilha, ""Armas!B3:G""), ""Select Col1 Where Col2 = '""&amp;Personagem!$Q$6&amp;""' or Col2 = '""&amp;Personagem!$Q$7&amp;""'""),
if('Time 1'!C4 = ""Lorelei"", query(IMPORTRANGE(cd_planilha, ""Armas!B3:G""), ""Select Col1 Where Col2 = '""&amp;Personagem!$R$6&amp;""'"&amp;" or Col2 = '""&amp;Personagem!$R$7&amp;""' ""),
if('Time 1'!C4 = ""Louca"", query(IMPORTRANGE(cd_planilha, ""Armas!B3:G""), ""Select Col1 Where Col2 = '""&amp;Personagem!$S$6&amp;""' or Col2 = '""&amp;Personagem!$S$7&amp;""' ""),
if('Time 1'!C4 = ""Melina"", query(IMPORTRANGE(cd"&amp;"_planilha, ""Armas!B3:G""), ""Select Col1 Where Col2 = '""&amp;Personagem!$T$6&amp;""' or Col2 = '""&amp;Personagem!$T$7&amp;""'""),
if('Time 1'!C4 = ""Mila"", query(IMPORTRANGE(cd_planilha, ""Armas!B3:G""), ""Select Col1 Where Col2 = '""&amp;Personagem!$U$6&amp;""' or Col2 = '"&amp;"""&amp;Personagem!$U$7&amp;""' ""),
if('Time 1'!C4 = ""Minh"", query(IMPORTRANGE(cd_planilha, ""Armas!B3:G""), ""Select Col1 Where Col2 = '""&amp;Personagem!$V$6&amp;""' or Col2 = '""&amp;Personagem!$V$7&amp;""' ""),
if('Time 1'!C4 = ""Mojian"", query(IMPORTRANGE(cd_planilha, """&amp;"Armas!B3:G""), ""Select Col1 Where Col2 = '""&amp;Personagem!$W$6&amp;""' or Col2 = '""&amp;Personagem!$W$7&amp;""'""),
if('Time 1'!C4 = ""Nya"", query(IMPORTRANGE(cd_planilha, ""Armas!B3:G""), ""Select Col1 Where Col2 = '""&amp;Personagem!$X$6&amp;""' or Col2 = '""&amp;Personagem!$"&amp;"X$7&amp;""' ""),
if('Time 1'!C4 = ""Odette"", query(IMPORTRANGE(cd_planilha, ""Armas!B3:G""), ""Select Col1 Where Col2 = '""&amp;Personagem!$Y$6&amp;""' or Col2 = '""&amp;Personagem!$Y$7&amp;""'""),
if('Time 1'!C4 = ""Oneira"", query(IMPORTRANGE(cd_planilha, ""Armas!B3:G""),"&amp;" ""Select Col1 Where Col2 = '""&amp;Personagem!$Z$6&amp;""' or Col2 = '""&amp;Personagem!$Z$7&amp;""' ""),
if('Time 1'!C4 = ""Palash"", query(IMPORTRANGE(cd_planilha, ""Armas!B3:G""), ""Select Col1 Where Col2 = '""&amp;Personagem!$AA$6&amp;""' or Col2 = '""&amp;Personagem!$AA$7&amp;""'"&amp;"""),
if('Time 1'!C4 = ""Theor"", query(IMPORTRANGE(cd_planilha, ""Armas!B3:G""), ""Select Col1 Where Col2 = '""&amp;Personagem!$AB$6&amp;""' or Col2 = '""&amp;Personagem!$AB$7&amp;""' ""),
if('Time 1'!C4 = ""Yue"", query(IMPORTRANGE(cd_planilha, ""Armas!B3:G""), ""Select"&amp;" Col1 Where Col2 = '""&amp;Personagem!$AC$6&amp;""' or Col2 = '""&amp;Personagem!$AC$7&amp;""'""
)))))))))))))))))))))))))))))"),"Armadura Lunar")</f>
        <v>Armadura Lunar</v>
      </c>
      <c r="P1" s="241"/>
      <c r="Q1" s="241" t="str">
        <f>IFERROR(__xludf.DUMMYFUNCTION("if('Time 1'!C5 = ""Albert"", query(IMPORTRANGE(cd_planilha, ""Armas!B3:G""), ""Select Col1 Where Col2 = '""&amp;Personagem!$B$6&amp;""' or Col2 = '""&amp;Personagem!$B$7&amp;""'""),     
if('Time 1'!C5 = ""Alicia"", query(IMPORTRANGE(cd_planilha, ""Armas!B3:G""), ""Selec"&amp;"t Col1 Where Col2 = '""&amp;Personagem!$C$6&amp;""' or Col2 = '""&amp;Personagem!$C$7&amp;""'""),
if('Time 1'!C5 = ""Azula"", query(IMPORTRANGE(cd_planilha, ""Armas!B3:G""), ""Select Col1 Where Col2 = '""&amp;Personagem!$D$6&amp;""' or Col2 = '""&amp;Personagem!$D$7&amp;""' ""),
if('Tim"&amp;"e 1'!C5 = ""Charles"", query(IMPORTRANGE(cd_planilha, ""Armas!B3:G""), ""Select Col1 Where Col2 = '""&amp;Personagem!$E$6&amp;""' or Col2 = '""&amp;Personagem!$E$7&amp;""'""),
if('Time 1'!C5 = ""Clovis"", query(IMPORTRANGE(cd_planilha, ""Armas!B3:G""), ""Select Col1 Wher"&amp;"e Col2 = '""&amp;Personagem!$F$6&amp;""' or Col2 = '""&amp;Personagem!$F$7&amp;""' ""),
if('Time 1'!C5 = ""Darthos"", query(IMPORTRANGE(cd_planilha, ""Armas!B3:G""), ""Select Col1 Where Col2 = '""&amp;Personagem!$G$6&amp;""' or Col2 = '""&amp;Personagem!$G$7&amp;""'""),
if('Time 1'!C5 ="&amp;" ""Edward"", query(IMPORTRANGE(cd_planilha, ""Armas!B3:G""), ""Select Col1 Where Col2 = '""&amp;Personagem!$H$6&amp;""' or Col2 = '""&amp;Personagem!$H$7&amp;""' ""),
if('Time 1'!C5 = ""Fiora"", query(IMPORTRANGE(cd_planilha, ""Armas!B3:G""), ""Select Col1 Where Col2 = '"&amp;"""&amp;Personagem!$I$6&amp;""' or Col2 = '""&amp;Personagem!$I$7&amp;""' ""),
if('Time 1'!C5 = ""Francesca"", query(IMPORTRANGE(cd_planilha, ""Armas!B3:G""), ""Select Col1 Where Col2 = '""&amp;Personagem!$J$6&amp;""' or Col2 = '""&amp;Personagem!$J$7&amp;""'""),
if('Time 1'!C5 = ""Garre"&amp;"th"", query(IMPORTRANGE(cd_planilha, ""Armas!B3:G""), ""Select Col1 Where Col2 = '""&amp;Personagem!$K$6&amp;""' or Col2 = '""&amp;Personagem!$K$7&amp;""'""),
if('Time 1'!C5 = ""Gauvin"", query(IMPORTRANGE(cd_planilha, ""Armas!B3:G""), ""Select Col1 Where Col2 = '""&amp;Pers"&amp;"onagem!$L$6&amp;""' or Col2 = '""&amp;Personagem!$L$7&amp;""' ""),
if('Time 1'!C5 = ""Irene"", query(IMPORTRANGE(cd_planilha, ""Armas!B3:G""), ""Select Col1 Where Col2 = '""&amp;Personagem!$M$6&amp;""' or Col2 = '""&amp;Personagem!$M$7&amp;""' ""),
if('Time 1'!C5 = ""Karal"", query("&amp;"IMPORTRANGE(cd_planilha, ""Armas!B3:G""), ""Select Col1 Where Col2 = '""&amp;Personagem!$N$6&amp;""' or Col2 = '""&amp;Personagem!$N$7&amp;""' ""),
if('Time 1'!C5 = ""Kuro Shobi"", query(IMPORTRANGE(cd_planilha, ""Armas!B3:G""), ""Select Col1 Where Col2 = '""&amp;Personagem!"&amp;"$O$6&amp;""' or Col2 = '""&amp;Personagem!$O$7&amp;""'""),
if('Time 1'!C5 = ""Kurul"", query(IMPORTRANGE(cd_planilha, ""Armas!B3:G""), ""Select Col1 Where Col2 = '""&amp;Personagem!$P$6&amp;""' or Col2 = '""&amp;Personagem!$P$7&amp;""' ""),
if('Time 1'!C5 = ""Lancaster"", query(IMPO"&amp;"RTRANGE(cd_planilha, ""Armas!B3:G""), ""Select Col1 Where Col2 = '""&amp;Personagem!$Q$6&amp;""' or Col2 = '""&amp;Personagem!$Q$7&amp;""'""),
if('Time 1'!C5 = ""Lorelei"", query(IMPORTRANGE(cd_planilha, ""Armas!B3:G""), ""Select Col1 Where Col2 = '""&amp;Personagem!$R$6&amp;""'"&amp;" or Col2 = '""&amp;Personagem!$R$7&amp;""' ""),
if('Time 1'!C5 = ""Louca"", query(IMPORTRANGE(cd_planilha, ""Armas!B3:G""), ""Select Col1 Where Col2 = '""&amp;Personagem!$S$6&amp;""' or Col2 = '""&amp;Personagem!$S$7&amp;""' ""),
if('Time 1'!C5 = ""Melina"", query(IMPORTRANGE(cd"&amp;"_planilha, ""Armas!B3:G""), ""Select Col1 Where Col2 = '""&amp;Personagem!$T$6&amp;""' or Col2 = '""&amp;Personagem!$T$7&amp;""'""),
if('Time 1'!C5 = ""Mila"", query(IMPORTRANGE(cd_planilha, ""Armas!B3:G""), ""Select Col1 Where Col2 = '""&amp;Personagem!$U$6&amp;""' or Col2 = '"&amp;"""&amp;Personagem!$U$7&amp;""' ""),
if('Time 1'!C5 = ""Minh"", query(IMPORTRANGE(cd_planilha, ""Armas!B3:G""), ""Select Col1 Where Col2 = '""&amp;Personagem!$V$6&amp;""' or Col2 = '""&amp;Personagem!$V$7&amp;""' ""),
if('Time 1'!C5 = ""Mojian"", query(IMPORTRANGE(cd_planilha, """&amp;"Armas!B3:G""), ""Select Col1 Where Col2 = '""&amp;Personagem!$W$6&amp;""' or Col2 = '""&amp;Personagem!$W$7&amp;""'""),
if('Time 1'!C5 = ""Nya"", query(IMPORTRANGE(cd_planilha, ""Armas!B3:G""), ""Select Col1 Where Col2 = '""&amp;Personagem!$X$6&amp;""' or Col2 = '""&amp;Personagem!$"&amp;"X$7&amp;""' ""),
if('Time 1'!C5 = ""Odette"", query(IMPORTRANGE(cd_planilha, ""Armas!B3:G""), ""Select Col1 Where Col2 = '""&amp;Personagem!$Y$6&amp;""' or Col2 = '""&amp;Personagem!$Y$7&amp;""'""),
if('Time 1'!C5 = ""Oneira"", query(IMPORTRANGE(cd_planilha, ""Armas!B3:G""),"&amp;" ""Select Col1 Where Col2 = '""&amp;Personagem!$Z$6&amp;""' or Col2 = '""&amp;Personagem!$Z$7&amp;""' ""),
if('Time 1'!C5 = ""Palash"", query(IMPORTRANGE(cd_planilha, ""Armas!B3:G""), ""Select Col1 Where Col2 = '""&amp;Personagem!$AA$6&amp;""' or Col2 = '""&amp;Personagem!$AA$7&amp;""'"&amp;"""),
if('Time 1'!C5 = ""Theor"", query(IMPORTRANGE(cd_planilha, ""Armas!B3:G""), ""Select Col1 Where Col2 = '""&amp;Personagem!$AB$6&amp;""' or Col2 = '""&amp;Personagem!$AB$7&amp;""' ""),
if('Time 1'!C5 = ""Yue"", query(IMPORTRANGE(cd_planilha, ""Armas!B3:G""), ""Select"&amp;" Col1 Where Col2 = '""&amp;Personagem!$AC$6&amp;""' or Col2 = '""&amp;Personagem!$AC$7&amp;""'""
)))))))))))))))))))))))))))))"),"Armadura Lunar")</f>
        <v>Armadura Lunar</v>
      </c>
      <c r="R1" s="241"/>
      <c r="S1" s="241" t="str">
        <f>IFERROR(__xludf.DUMMYFUNCTION("if('Time 1'!C6 = ""Albert"", query(IMPORTRANGE(cd_planilha, ""Armas!B3:G""), ""Select Col1 Where Col2 = '""&amp;Personagem!$B$6&amp;""' or Col2 = '""&amp;Personagem!$B$7&amp;""'""),     
if('Time 1'!C6 = ""Alicia"", query(IMPORTRANGE(cd_planilha, ""Armas!B3:G""), ""Selec"&amp;"t Col1 Where Col2 = '""&amp;Personagem!$C$6&amp;""' or Col2 = '""&amp;Personagem!$C$7&amp;""'""),
if('Time 1'!C6 = ""Azula"", query(IMPORTRANGE(cd_planilha, ""Armas!B3:G""), ""Select Col1 Where Col2 = '""&amp;Personagem!$D$6&amp;""' or Col2 = '""&amp;Personagem!$D$7&amp;""' ""),
if('Tim"&amp;"e 1'!C6 = ""Charles"", query(IMPORTRANGE(cd_planilha, ""Armas!B3:G""), ""Select Col1 Where Col2 = '""&amp;Personagem!$E$6&amp;""' or Col2 = '""&amp;Personagem!$E$7&amp;""'""),
if('Time 1'!C6 = ""Clovis"", query(IMPORTRANGE(cd_planilha, ""Armas!B3:G""), ""Select Col1 Wher"&amp;"e Col2 = '""&amp;Personagem!$F$6&amp;""' or Col2 = '""&amp;Personagem!$F$7&amp;""' ""),
if('Time 1'!C6 = ""Darthos"", query(IMPORTRANGE(cd_planilha, ""Armas!B3:G""), ""Select Col1 Where Col2 = '""&amp;Personagem!$G$6&amp;""' or Col2 = '""&amp;Personagem!$G$7&amp;""'""),
if('Time 1'!C6 ="&amp;" ""Edward"", query(IMPORTRANGE(cd_planilha, ""Armas!B3:G""), ""Select Col1 Where Col2 = '""&amp;Personagem!$H$6&amp;""' or Col2 = '""&amp;Personagem!$H$7&amp;""' ""),
if('Time 1'!C6 = ""Fiora"", query(IMPORTRANGE(cd_planilha, ""Armas!B3:G""), ""Select Col1 Where Col2 = '"&amp;"""&amp;Personagem!$I$6&amp;""' or Col2 = '""&amp;Personagem!$I$7&amp;""' ""),
if('Time 1'!C6 = ""Francesca"", query(IMPORTRANGE(cd_planilha, ""Armas!B3:G""), ""Select Col1 Where Col2 = '""&amp;Personagem!$J$6&amp;""' or Col2 = '""&amp;Personagem!$J$7&amp;""'""),
if('Time 1'!C6 = ""Garre"&amp;"th"", query(IMPORTRANGE(cd_planilha, ""Armas!B3:G""), ""Select Col1 Where Col2 = '""&amp;Personagem!$K$6&amp;""' or Col2 = '""&amp;Personagem!$K$7&amp;""'""),
if('Time 1'!C6 = ""Gauvin"", query(IMPORTRANGE(cd_planilha, ""Armas!B3:G""), ""Select Col1 Where Col2 = '""&amp;Pers"&amp;"onagem!$L$6&amp;""' or Col2 = '""&amp;Personagem!$L$7&amp;""' ""),
if('Time 1'!C6 = ""Irene"", query(IMPORTRANGE(cd_planilha, ""Armas!B3:G""), ""Select Col1 Where Col2 = '""&amp;Personagem!$M$6&amp;""' or Col2 = '""&amp;Personagem!$M$7&amp;""' ""),
if('Time 1'!C6 = ""Karal"", query("&amp;"IMPORTRANGE(cd_planilha, ""Armas!B3:G""), ""Select Col1 Where Col2 = '""&amp;Personagem!$N$6&amp;""' or Col2 = '""&amp;Personagem!$N$7&amp;""' ""),
if('Time 1'!C6 = ""Kuro Shobi"", query(IMPORTRANGE(cd_planilha, ""Armas!B3:G""), ""Select Col1 Where Col2 = '""&amp;Personagem!"&amp;"$O$6&amp;""' or Col2 = '""&amp;Personagem!$O$7&amp;""'""),
if('Time 1'!C6 = ""Kurul"", query(IMPORTRANGE(cd_planilha, ""Armas!B3:G""), ""Select Col1 Where Col2 = '""&amp;Personagem!$P$6&amp;""' or Col2 = '""&amp;Personagem!$P$7&amp;""' ""),
if('Time 1'!C6 = ""Lancaster"", query(IMPO"&amp;"RTRANGE(cd_planilha, ""Armas!B3:G""), ""Select Col1 Where Col2 = '""&amp;Personagem!$Q$6&amp;""' or Col2 = '""&amp;Personagem!$Q$7&amp;""'""),
if('Time 1'!C6 = ""Lorelei"", query(IMPORTRANGE(cd_planilha, ""Armas!B3:G""), ""Select Col1 Where Col2 = '""&amp;Personagem!$R$6&amp;""'"&amp;" or Col2 = '""&amp;Personagem!$R$7&amp;""' ""),
if('Time 1'!C6 = ""Louca"", query(IMPORTRANGE(cd_planilha, ""Armas!B3:G""), ""Select Col1 Where Col2 = '""&amp;Personagem!$S$6&amp;""' or Col2 = '""&amp;Personagem!$S$7&amp;""' ""),
if('Time 1'!C6 = ""Melina"", query(IMPORTRANGE(cd"&amp;"_planilha, ""Armas!B3:G""), ""Select Col1 Where Col2 = '""&amp;Personagem!$T$6&amp;""' or Col2 = '""&amp;Personagem!$T$7&amp;""'""),
if('Time 1'!C6 = ""Mila"", query(IMPORTRANGE(cd_planilha, ""Armas!B3:G""), ""Select Col1 Where Col2 = '""&amp;Personagem!$U$6&amp;""' or Col2 = '"&amp;"""&amp;Personagem!$U$7&amp;""' ""),
if('Time 1'!C6 = ""Minh"", query(IMPORTRANGE(cd_planilha, ""Armas!B3:G""), ""Select Col1 Where Col2 = '""&amp;Personagem!$V$6&amp;""' or Col2 = '""&amp;Personagem!$V$7&amp;""' ""),
if('Time 1'!C6 = ""Mojian"", query(IMPORTRANGE(cd_planilha, """&amp;"Armas!B3:G""), ""Select Col1 Where Col2 = '""&amp;Personagem!$W$6&amp;""' or Col2 = '""&amp;Personagem!$W$7&amp;""'""),
if('Time 1'!C6 = ""Nya"", query(IMPORTRANGE(cd_planilha, ""Armas!B3:G""), ""Select Col1 Where Col2 = '""&amp;Personagem!$X$6&amp;""' or Col2 = '""&amp;Personagem!$"&amp;"X$7&amp;""' ""),
if('Time 1'!C6 = ""Odette"", query(IMPORTRANGE(cd_planilha, ""Armas!B3:G""), ""Select Col1 Where Col2 = '""&amp;Personagem!$Y$6&amp;""' or Col2 = '""&amp;Personagem!$Y$7&amp;""'""),
if('Time 1'!C6 = ""Oneira"", query(IMPORTRANGE(cd_planilha, ""Armas!B3:G""),"&amp;" ""Select Col1 Where Col2 = '""&amp;Personagem!$Z$6&amp;""' or Col2 = '""&amp;Personagem!$Z$7&amp;""' ""),
if('Time 1'!C6 = ""Palash"", query(IMPORTRANGE(cd_planilha, ""Armas!B3:G""), ""Select Col1 Where Col2 = '""&amp;Personagem!$AA$6&amp;""' or Col2 = '""&amp;Personagem!$AA$7&amp;""'"&amp;"""),
if('Time 1'!C6 = ""Theor"", query(IMPORTRANGE(cd_planilha, ""Armas!B3:G""), ""Select Col1 Where Col2 = '""&amp;Personagem!$AB$6&amp;""' or Col2 = '""&amp;Personagem!$AB$7&amp;""' ""),
if('Time 1'!C6 = ""Yue"", query(IMPORTRANGE(cd_planilha, ""Armas!B3:G""), ""Select"&amp;" Col1 Where Col2 = '""&amp;Personagem!$AC$6&amp;""' or Col2 = '""&amp;Personagem!$AC$7&amp;""'""
)))))))))))))))))))))))))))))"),"Capa do Gelo")</f>
        <v>Capa do Gelo</v>
      </c>
      <c r="T1" s="241"/>
      <c r="U1" s="241" t="str">
        <f>IFERROR(__xludf.DUMMYFUNCTION("if('Time 1'!C7 = ""Albert"", query(IMPORTRANGE(cd_planilha, ""Armas!B3:G""), ""Select Col1 Where Col2 = '""&amp;Personagem!$B$6&amp;""' or Col2 = '""&amp;Personagem!$B$7&amp;""'""),     
if('Time 1'!C7 = ""Alicia"", query(IMPORTRANGE(cd_planilha, ""Armas!B3:G""), ""Selec"&amp;"t Col1 Where Col2 = '""&amp;Personagem!$C$6&amp;""' or Col2 = '""&amp;Personagem!$C$7&amp;""'""),
if('Time 1'!C7 = ""Azula"", query(IMPORTRANGE(cd_planilha, ""Armas!B3:G""), ""Select Col1 Where Col2 = '""&amp;Personagem!$D$6&amp;""' or Col2 = '""&amp;Personagem!$D$7&amp;""' ""),
if('Tim"&amp;"e 1'!C7 = ""Charles"", query(IMPORTRANGE(cd_planilha, ""Armas!B3:G""), ""Select Col1 Where Col2 = '""&amp;Personagem!$E$6&amp;""' or Col2 = '""&amp;Personagem!$E$7&amp;""'""),
if('Time 1'!C7 = ""Clovis"", query(IMPORTRANGE(cd_planilha, ""Armas!B3:G""), ""Select Col1 Wher"&amp;"e Col2 = '""&amp;Personagem!$F$6&amp;""' or Col2 = '""&amp;Personagem!$F$7&amp;""' ""),
if('Time 1'!C7 = ""Darthos"", query(IMPORTRANGE(cd_planilha, ""Armas!B3:G""), ""Select Col1 Where Col2 = '""&amp;Personagem!$G$6&amp;""' or Col2 = '""&amp;Personagem!$G$7&amp;""'""),
if('Time 1'!C7 ="&amp;" ""Edward"", query(IMPORTRANGE(cd_planilha, ""Armas!B3:G""), ""Select Col1 Where Col2 = '""&amp;Personagem!$H$6&amp;""' or Col2 = '""&amp;Personagem!$H$7&amp;""' ""),
if('Time 1'!C7 = ""Fiora"", query(IMPORTRANGE(cd_planilha, ""Armas!B3:G""), ""Select Col1 Where Col2 = '"&amp;"""&amp;Personagem!$I$6&amp;""' or Col2 = '""&amp;Personagem!$I$7&amp;""' ""),
if('Time 1'!C7 = ""Francesca"", query(IMPORTRANGE(cd_planilha, ""Armas!B3:G""), ""Select Col1 Where Col2 = '""&amp;Personagem!$J$6&amp;""' or Col2 = '""&amp;Personagem!$J$7&amp;""'""),
if('Time 1'!C7 = ""Garre"&amp;"th"", query(IMPORTRANGE(cd_planilha, ""Armas!B3:G""), ""Select Col1 Where Col2 = '""&amp;Personagem!$K$6&amp;""' or Col2 = '""&amp;Personagem!$K$7&amp;""'""),
if('Time 1'!C7 = ""Gauvin"", query(IMPORTRANGE(cd_planilha, ""Armas!B3:G""), ""Select Col1 Where Col2 = '""&amp;Pers"&amp;"onagem!$L$6&amp;""' or Col2 = '""&amp;Personagem!$L$7&amp;""' ""),
if('Time 1'!C7 = ""Irene"", query(IMPORTRANGE(cd_planilha, ""Armas!B3:G""), ""Select Col1 Where Col2 = '""&amp;Personagem!$M$6&amp;""' or Col2 = '""&amp;Personagem!$M$7&amp;""' ""),
if('Time 1'!C7 = ""Karal"", query("&amp;"IMPORTRANGE(cd_planilha, ""Armas!B3:G""), ""Select Col1 Where Col2 = '""&amp;Personagem!$N$6&amp;""' or Col2 = '""&amp;Personagem!$N$7&amp;""' ""),
if('Time 1'!C7 = ""Kuro Shobi"", query(IMPORTRANGE(cd_planilha, ""Armas!B3:G""), ""Select Col1 Where Col2 = '""&amp;Personagem!"&amp;"$O$6&amp;""' or Col2 = '""&amp;Personagem!$O$7&amp;""'""),
if('Time 1'!C7 = ""Kurul"", query(IMPORTRANGE(cd_planilha, ""Armas!B3:G""), ""Select Col1 Where Col2 = '""&amp;Personagem!$P$6&amp;""' or Col2 = '""&amp;Personagem!$P$7&amp;""' ""),
if('Time 1'!C7 = ""Lancaster"", query(IMPO"&amp;"RTRANGE(cd_planilha, ""Armas!B3:G""), ""Select Col1 Where Col2 = '""&amp;Personagem!$Q$6&amp;""' or Col2 = '""&amp;Personagem!$Q$7&amp;""'""),
if('Time 1'!C7 = ""Lorelei"", query(IMPORTRANGE(cd_planilha, ""Armas!B3:G""), ""Select Col1 Where Col2 = '""&amp;Personagem!$R$6&amp;""'"&amp;" or Col2 = '""&amp;Personagem!$R$7&amp;""' ""),
if('Time 1'!C7 = ""Louca"", query(IMPORTRANGE(cd_planilha, ""Armas!B3:G""), ""Select Col1 Where Col2 = '""&amp;Personagem!$S$6&amp;""' or Col2 = '""&amp;Personagem!$S$7&amp;""' ""),
if('Time 1'!C7 = ""Melina"", query(IMPORTRANGE(cd"&amp;"_planilha, ""Armas!B3:G""), ""Select Col1 Where Col2 = '""&amp;Personagem!$T$6&amp;""' or Col2 = '""&amp;Personagem!$T$7&amp;""'""),
if('Time 1'!C7 = ""Mila"", query(IMPORTRANGE(cd_planilha, ""Armas!B3:G""), ""Select Col1 Where Col2 = '""&amp;Personagem!$U$6&amp;""' or Col2 = '"&amp;"""&amp;Personagem!$U$7&amp;""' ""),
if('Time 1'!C7 = ""Minh"", query(IMPORTRANGE(cd_planilha, ""Armas!B3:G""), ""Select Col1 Where Col2 = '""&amp;Personagem!$V$6&amp;""' or Col2 = '""&amp;Personagem!$V$7&amp;""' ""),
if('Time 1'!C7 = ""Mojian"", query(IMPORTRANGE(cd_planilha, """&amp;"Armas!B3:G""), ""Select Col1 Where Col2 = '""&amp;Personagem!$W$6&amp;""' or Col2 = '""&amp;Personagem!$W$7&amp;""'""),
if('Time 1'!C7 = ""Nya"", query(IMPORTRANGE(cd_planilha, ""Armas!B3:G""), ""Select Col1 Where Col2 = '""&amp;Personagem!$X$6&amp;""' or Col2 = '""&amp;Personagem!$"&amp;"X$7&amp;""' ""),
if('Time 1'!C7 = ""Odette"", query(IMPORTRANGE(cd_planilha, ""Armas!B3:G""), ""Select Col1 Where Col2 = '""&amp;Personagem!$Y$6&amp;""' or Col2 = '""&amp;Personagem!$Y$7&amp;""'""),
if('Time 1'!C7 = ""Oneira"", query(IMPORTRANGE(cd_planilha, ""Armas!B3:G""),"&amp;" ""Select Col1 Where Col2 = '""&amp;Personagem!$Z$6&amp;""' or Col2 = '""&amp;Personagem!$Z$7&amp;""' ""),
if('Time 1'!C7 = ""Palash"", query(IMPORTRANGE(cd_planilha, ""Armas!B3:G""), ""Select Col1 Where Col2 = '""&amp;Personagem!$AA$6&amp;""' or Col2 = '""&amp;Personagem!$AA$7&amp;""'"&amp;"""),
if('Time 1'!C7 = ""Theor"", query(IMPORTRANGE(cd_planilha, ""Armas!B3:G""), ""Select Col1 Where Col2 = '""&amp;Personagem!$AB$6&amp;""' or Col2 = '""&amp;Personagem!$AB$7&amp;""' ""),
if('Time 1'!C7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V1" s="241"/>
      <c r="W1" s="241" t="str">
        <f>IFERROR(__xludf.DUMMYFUNCTION("if('Time 1'!C8 = ""Albert"", query(IMPORTRANGE(cd_planilha, ""Armas!B3:G""), ""Select Col1 Where Col2 = '""&amp;Personagem!$B$6&amp;""' or Col2 = '""&amp;Personagem!$B$7&amp;""'""),     
if('Time 1'!C8 = ""Alicia"", query(IMPORTRANGE(cd_planilha, ""Armas!B3:G""), ""Selec"&amp;"t Col1 Where Col2 = '""&amp;Personagem!$C$6&amp;""' or Col2 = '""&amp;Personagem!$C$7&amp;""'""),
if('Time 1'!C8 = ""Azula"", query(IMPORTRANGE(cd_planilha, ""Armas!B3:G""), ""Select Col1 Where Col2 = '""&amp;Personagem!$D$6&amp;""' or Col2 = '""&amp;Personagem!$D$7&amp;""' ""),
if('Tim"&amp;"e 1'!C8 = ""Charles"", query(IMPORTRANGE(cd_planilha, ""Armas!B3:G""), ""Select Col1 Where Col2 = '""&amp;Personagem!$E$6&amp;""' or Col2 = '""&amp;Personagem!$E$7&amp;""'""),
if('Time 1'!C8 = ""Clovis"", query(IMPORTRANGE(cd_planilha, ""Armas!B3:G""), ""Select Col1 Wher"&amp;"e Col2 = '""&amp;Personagem!$F$6&amp;""' or Col2 = '""&amp;Personagem!$F$7&amp;""' ""),
if('Time 1'!C8 = ""Darthos"", query(IMPORTRANGE(cd_planilha, ""Armas!B3:G""), ""Select Col1 Where Col2 = '""&amp;Personagem!$G$6&amp;""' or Col2 = '""&amp;Personagem!$G$7&amp;""'""),
if('Time 1'!C8 ="&amp;" ""Edward"", query(IMPORTRANGE(cd_planilha, ""Armas!B3:G""), ""Select Col1 Where Col2 = '""&amp;Personagem!$H$6&amp;""' or Col2 = '""&amp;Personagem!$H$7&amp;""' ""),
if('Time 1'!C8 = ""Fiora"", query(IMPORTRANGE(cd_planilha, ""Armas!B3:G""), ""Select Col1 Where Col2 = '"&amp;"""&amp;Personagem!$I$6&amp;""' or Col2 = '""&amp;Personagem!$I$7&amp;""' ""),
if('Time 1'!C8 = ""Francesca"", query(IMPORTRANGE(cd_planilha, ""Armas!B3:G""), ""Select Col1 Where Col2 = '""&amp;Personagem!$J$6&amp;""' or Col2 = '""&amp;Personagem!$J$7&amp;""'""),
if('Time 1'!C8 = ""Garre"&amp;"th"", query(IMPORTRANGE(cd_planilha, ""Armas!B3:G""), ""Select Col1 Where Col2 = '""&amp;Personagem!$K$6&amp;""' or Col2 = '""&amp;Personagem!$K$7&amp;""'""),
if('Time 1'!C8 = ""Gauvin"", query(IMPORTRANGE(cd_planilha, ""Armas!B3:G""), ""Select Col1 Where Col2 = '""&amp;Pers"&amp;"onagem!$L$6&amp;""' or Col2 = '""&amp;Personagem!$L$7&amp;""' ""),
if('Time 1'!C8 = ""Irene"", query(IMPORTRANGE(cd_planilha, ""Armas!B3:G""), ""Select Col1 Where Col2 = '""&amp;Personagem!$M$6&amp;""' or Col2 = '""&amp;Personagem!$M$7&amp;""' ""),
if('Time 1'!C8 = ""Karal"", query("&amp;"IMPORTRANGE(cd_planilha, ""Armas!B3:G""), ""Select Col1 Where Col2 = '""&amp;Personagem!$N$6&amp;""' or Col2 = '""&amp;Personagem!$N$7&amp;""' ""),
if('Time 1'!C8 = ""Kuro Shobi"", query(IMPORTRANGE(cd_planilha, ""Armas!B3:G""), ""Select Col1 Where Col2 = '""&amp;Personagem!"&amp;"$O$6&amp;""' or Col2 = '""&amp;Personagem!$O$7&amp;""'""),
if('Time 1'!C8 = ""Kurul"", query(IMPORTRANGE(cd_planilha, ""Armas!B3:G""), ""Select Col1 Where Col2 = '""&amp;Personagem!$P$6&amp;""' or Col2 = '""&amp;Personagem!$P$7&amp;""' ""),
if('Time 1'!C8 = ""Lancaster"", query(IMPO"&amp;"RTRANGE(cd_planilha, ""Armas!B3:G""), ""Select Col1 Where Col2 = '""&amp;Personagem!$Q$6&amp;""' or Col2 = '""&amp;Personagem!$Q$7&amp;""'""),
if('Time 1'!C8 = ""Lorelei"", query(IMPORTRANGE(cd_planilha, ""Armas!B3:G""), ""Select Col1 Where Col2 = '""&amp;Personagem!$R$6&amp;""'"&amp;" or Col2 = '""&amp;Personagem!$R$7&amp;""' ""),
if('Time 1'!C8 = ""Louca"", query(IMPORTRANGE(cd_planilha, ""Armas!B3:G""), ""Select Col1 Where Col2 = '""&amp;Personagem!$S$6&amp;""' or Col2 = '""&amp;Personagem!$S$7&amp;""' ""),
if('Time 1'!C8 = ""Melina"", query(IMPORTRANGE(cd"&amp;"_planilha, ""Armas!B3:G""), ""Select Col1 Where Col2 = '""&amp;Personagem!$T$6&amp;""' or Col2 = '""&amp;Personagem!$T$7&amp;""'""),
if('Time 1'!C8 = ""Mila"", query(IMPORTRANGE(cd_planilha, ""Armas!B3:G""), ""Select Col1 Where Col2 = '""&amp;Personagem!$U$6&amp;""' or Col2 = '"&amp;"""&amp;Personagem!$U$7&amp;""' ""),
if('Time 1'!C8 = ""Minh"", query(IMPORTRANGE(cd_planilha, ""Armas!B3:G""), ""Select Col1 Where Col2 = '""&amp;Personagem!$V$6&amp;""' or Col2 = '""&amp;Personagem!$V$7&amp;""' ""),
if('Time 1'!C8 = ""Mojian"", query(IMPORTRANGE(cd_planilha, """&amp;"Armas!B3:G""), ""Select Col1 Where Col2 = '""&amp;Personagem!$W$6&amp;""' or Col2 = '""&amp;Personagem!$W$7&amp;""'""),
if('Time 1'!C8 = ""Nya"", query(IMPORTRANGE(cd_planilha, ""Armas!B3:G""), ""Select Col1 Where Col2 = '""&amp;Personagem!$X$6&amp;""' or Col2 = '""&amp;Personagem!$"&amp;"X$7&amp;""' ""),
if('Time 1'!C8 = ""Odette"", query(IMPORTRANGE(cd_planilha, ""Armas!B3:G""), ""Select Col1 Where Col2 = '""&amp;Personagem!$Y$6&amp;""' or Col2 = '""&amp;Personagem!$Y$7&amp;""'""),
if('Time 1'!C8 = ""Oneira"", query(IMPORTRANGE(cd_planilha, ""Armas!B3:G""),"&amp;" ""Select Col1 Where Col2 = '""&amp;Personagem!$Z$6&amp;""' or Col2 = '""&amp;Personagem!$Z$7&amp;""' ""),
if('Time 1'!C8 = ""Palash"", query(IMPORTRANGE(cd_planilha, ""Armas!B3:G""), ""Select Col1 Where Col2 = '""&amp;Personagem!$AA$6&amp;""' or Col2 = '""&amp;Personagem!$AA$7&amp;""'"&amp;"""),
if('Time 1'!C8 = ""Theor"", query(IMPORTRANGE(cd_planilha, ""Armas!B3:G""), ""Select Col1 Where Col2 = '""&amp;Personagem!$AB$6&amp;""' or Col2 = '""&amp;Personagem!$AB$7&amp;""' ""),
if('Time 1'!C8 = ""Yue"", query(IMPORTRANGE(cd_planilha, ""Armas!B3:G""), ""Select"&amp;" Col1 Where Col2 = '""&amp;Personagem!$AC$6&amp;""' or Col2 = '""&amp;Personagem!$AC$7&amp;""'""
)))))))))))))))))))))))))))))"),"Capa do Gelo")</f>
        <v>Capa do Gelo</v>
      </c>
      <c r="X1" s="242"/>
      <c r="Y1" s="241" t="str">
        <f>IFERROR(__xludf.DUMMYFUNCTION("if('Time 1'!C3 = ""Albert"", query(IMPORTRANGE(cd_planilha, ""Armas!B3:G""), ""Select Col1 Where Col2 = '""&amp;Personagem!$B$8&amp;""' or Col2 = '""&amp;Personagem!$B$9&amp;""'""),     
if('Time 1'!C3 = ""Alicia"", query(IMPORTRANGE(cd_planilha, ""Armas!B3:G""), ""Selec"&amp;"t Col1 Where Col2 = '""&amp;Personagem!$C$8&amp;""' or Col2 = '""&amp;Personagem!$C$9&amp;""'""),
if('Time 1'!C3 = ""Azula"", query(IMPORTRANGE(cd_planilha, ""Armas!B3:G""), ""Select Col1 Where Col2 = '""&amp;Personagem!$D$8&amp;""' or Col2 = '""&amp;Personagem!$D$9&amp;""' ""),
if('Tim"&amp;"e 1'!C3 = ""Charles"", query(IMPORTRANGE(cd_planilha, ""Armas!B3:G""), ""Select Col1 Where Col2 = '""&amp;Personagem!$E$8&amp;""' or Col2 = '""&amp;Personagem!$E$9&amp;""'""),
if('Time 1'!C3 = ""Clovis"", query(IMPORTRANGE(cd_planilha, ""Armas!B3:G""), ""Select Col1 Wher"&amp;"e Col2 = '""&amp;Personagem!$F$8&amp;""' or Col2 = '""&amp;Personagem!$F$9&amp;""' ""),
if('Time 1'!C3 = ""Darthos"", query(IMPORTRANGE(cd_planilha, ""Armas!B3:G""), ""Select Col1 Where Col2 = '""&amp;Personagem!$G$8&amp;""' or Col2 = '""&amp;Personagem!$G$9&amp;""'""),
if('Time 1'!C3 ="&amp;" ""Edward"", query(IMPORTRANGE(cd_planilha, ""Armas!B3:G""), ""Select Col1 Where Col2 = '""&amp;Personagem!$H$8&amp;""' or Col2 = '""&amp;Personagem!$H$9&amp;""' ""),
if('Time 1'!C3 = ""Fiora"", query(IMPORTRANGE(cd_planilha, ""Armas!B3:G""), ""Select Col1 Where Col2 = '"&amp;"""&amp;Personagem!$I$8&amp;""' or Col2 = '""&amp;Personagem!$I$9&amp;""' ""),
if('Time 1'!C3 = ""Francesca"", query(IMPORTRANGE(cd_planilha, ""Armas!B3:G""), ""Select Col1 Where Col2 = '""&amp;Personagem!$J$8&amp;""' or Col2 = '""&amp;Personagem!$J$9&amp;""'""),
if('Time 1'!C3 = ""Garre"&amp;"th"", query(IMPORTRANGE(cd_planilha, ""Armas!B3:G""), ""Select Col1 Where Col2 = '""&amp;Personagem!$K$8&amp;""' or Col2 = '""&amp;Personagem!$K$9&amp;""'""),
if('Time 1'!C3 = ""Gauvin"", query(IMPORTRANGE(cd_planilha, ""Armas!B3:G""), ""Select Col1 Where Col2 = '""&amp;Pers"&amp;"onagem!$L$8&amp;""' or Col2 = '""&amp;Personagem!$L$9&amp;""' ""),
if('Time 1'!C3 = ""Irene"", query(IMPORTRANGE(cd_planilha, ""Armas!B3:G""), ""Select Col1 Where Col2 = '""&amp;Personagem!$M$8&amp;""' or Col2 = '""&amp;Personagem!$M$9&amp;""' ""),
if('Time 1'!C3 = ""Karal"", query("&amp;"IMPORTRANGE(cd_planilha, ""Armas!B3:G""), ""Select Col1 Where Col2 = '""&amp;Personagem!$N$8&amp;""' or Col2 = '""&amp;Personagem!$N$9&amp;""' ""),
if('Time 1'!C3 = ""Kuro Shobi"", query(IMPORTRANGE(cd_planilha, ""Armas!B3:G""), ""Select Col1 Where Col2 = '""&amp;Personagem!"&amp;"$O$8&amp;""' or Col2 = '""&amp;Personagem!$O$9&amp;""'""),
if('Time 1'!C3 = ""Kurul"", query(IMPORTRANGE(cd_planilha, ""Armas!B3:G""), ""Select Col1 Where Col2 = '""&amp;Personagem!$P$8&amp;""' or Col2 = '""&amp;Personagem!$P$9&amp;""' ""),
if('Time 1'!C3 = ""Lancaster"", query(IMPO"&amp;"RTRANGE(cd_planilha, ""Armas!B3:G""), ""Select Col1 Where Col2 = '""&amp;Personagem!$Q$8&amp;""' or Col2 = '""&amp;Personagem!$Q$9&amp;""'""),
if('Time 1'!C3 = ""Lorelei"", query(IMPORTRANGE(cd_planilha, ""Armas!B3:G""), ""Select Col1 Where Col2 = '""&amp;Personagem!$R$8&amp;""'"&amp;" or Col2 = '""&amp;Personagem!$R$9&amp;""' ""),
if('Time 1'!C3 = ""Louca"", query(IMPORTRANGE(cd_planilha, ""Armas!B3:G""), ""Select Col1 Where Col2 = '""&amp;Personagem!$S$8&amp;""' or Col2 = '""&amp;Personagem!$S$9&amp;""' ""),
if('Time 1'!C3 = ""Melina"", query(IMPORTRANGE(cd"&amp;"_planilha, ""Armas!B3:G""), ""Select Col1 Where Col2 = '""&amp;Personagem!$T$8&amp;""' or Col2 = '""&amp;Personagem!$T$9&amp;""'""),
if('Time 1'!C3 = ""Mila"", query(IMPORTRANGE(cd_planilha, ""Armas!B3:G""), ""Select Col1 Where Col2 = '""&amp;Personagem!$U$8&amp;""' or Col2 = '"&amp;"""&amp;Personagem!$U$9&amp;""' ""),
if('Time 1'!C3 = ""Minh"", query(IMPORTRANGE(cd_planilha, ""Armas!B3:G""), ""Select Col1 Where Col2 = '""&amp;Personagem!$V$8&amp;""' or Col2 = '""&amp;Personagem!$V$9&amp;""' ""),
if('Time 1'!C3 = ""Mojian"", query(IMPORTRANGE(cd_planilha, """&amp;"Armas!B3:G""), ""Select Col1 Where Col2 = '""&amp;Personagem!$W$8&amp;""' or Col2 = '""&amp;Personagem!$W$9&amp;""'""),
if('Time 1'!C3 = ""Nya"", query(IMPORTRANGE(cd_planilha, ""Armas!B3:G""), ""Select Col1 Where Col2 = '""&amp;Personagem!$X$8&amp;""' or Col2 = '""&amp;Personagem!$"&amp;"X$9&amp;""' ""),
if('Time 1'!C3 = ""Odette"", query(IMPORTRANGE(cd_planilha, ""Armas!B3:G""), ""Select Col1 Where Col2 = '""&amp;Personagem!$Y$8&amp;""' or Col2 = '""&amp;Personagem!$Y$9&amp;""'""),
if('Time 1'!C3 = ""Oneira"", query(IMPORTRANGE(cd_planilha, ""Armas!B3:G""),"&amp;" ""Select Col1 Where Col2 = '""&amp;Personagem!$Z$8&amp;""' or Col2 = '""&amp;Personagem!$Z$9&amp;""' ""),
if('Time 1'!C3 = ""Palash"", query(IMPORTRANGE(cd_planilha, ""Armas!B3:G""), ""Select Col1 Where Col2 = '""&amp;Personagem!$AA$8&amp;""' or Col2 = '""&amp;Personagem!$AA$9&amp;""'"&amp;"""),
if('Time 1'!C3 = ""Theor"", query(IMPORTRANGE(cd_planilha, ""Armas!B3:G""), ""Select Col1 Where Col2 = '""&amp;Personagem!$AB$8&amp;""' or Col2 = '""&amp;Personagem!$AB$9&amp;""' ""),
if('Time 1'!C3 = ""Yue"", query(IMPORTRANGE(cd_planilha, ""Armas!B3:G""), ""Select"&amp;" Col1 Where Col2 = '""&amp;Personagem!$AC$8&amp;""' or Col2 = '""&amp;Personagem!$AC$9&amp;""'""
)))))))))))))))))))))))))))))"),"Coifa da Lua")</f>
        <v>Coifa da Lua</v>
      </c>
      <c r="Z1" s="241"/>
      <c r="AA1" s="241" t="str">
        <f>IFERROR(__xludf.DUMMYFUNCTION("if('Time 1'!C4 = ""Albert"", query(IMPORTRANGE(cd_planilha, ""Armas!B3:G""), ""Select Col1 Where Col2 = '""&amp;Personagem!$B$8&amp;""' or Col2 = '""&amp;Personagem!$B$9&amp;""'""),     
if('Time 1'!C4 = ""Alicia"", query(IMPORTRANGE(cd_planilha, ""Armas!B3:G""), ""Selec"&amp;"t Col1 Where Col2 = '""&amp;Personagem!$C$8&amp;""' or Col2 = '""&amp;Personagem!$C$9&amp;""'""),
if('Time 1'!C4 = ""Azula"", query(IMPORTRANGE(cd_planilha, ""Armas!B3:G""), ""Select Col1 Where Col2 = '""&amp;Personagem!$D$8&amp;""' or Col2 = '""&amp;Personagem!$D$9&amp;""' ""),
if('Tim"&amp;"e 1'!C4 = ""Charles"", query(IMPORTRANGE(cd_planilha, ""Armas!B3:G""), ""Select Col1 Where Col2 = '""&amp;Personagem!$E$8&amp;""' or Col2 = '""&amp;Personagem!$E$9&amp;""'""),
if('Time 1'!C4 = ""Clovis"", query(IMPORTRANGE(cd_planilha, ""Armas!B3:G""), ""Select Col1 Wher"&amp;"e Col2 = '""&amp;Personagem!$F$8&amp;""' or Col2 = '""&amp;Personagem!$F$9&amp;""' ""),
if('Time 1'!C4 = ""Darthos"", query(IMPORTRANGE(cd_planilha, ""Armas!B3:G""), ""Select Col1 Where Col2 = '""&amp;Personagem!$G$8&amp;""' or Col2 = '""&amp;Personagem!$G$9&amp;""'""),
if('Time 1'!C4 ="&amp;" ""Edward"", query(IMPORTRANGE(cd_planilha, ""Armas!B3:G""), ""Select Col1 Where Col2 = '""&amp;Personagem!$H$8&amp;""' or Col2 = '""&amp;Personagem!$H$9&amp;""' ""),
if('Time 1'!C4 = ""Fiora"", query(IMPORTRANGE(cd_planilha, ""Armas!B3:G""), ""Select Col1 Where Col2 = '"&amp;"""&amp;Personagem!$I$8&amp;""' or Col2 = '""&amp;Personagem!$I$9&amp;""' ""),
if('Time 1'!C4 = ""Francesca"", query(IMPORTRANGE(cd_planilha, ""Armas!B3:G""), ""Select Col1 Where Col2 = '""&amp;Personagem!$J$8&amp;""' or Col2 = '""&amp;Personagem!$J$9&amp;""'""),
if('Time 1'!C4 = ""Garre"&amp;"th"", query(IMPORTRANGE(cd_planilha, ""Armas!B3:G""), ""Select Col1 Where Col2 = '""&amp;Personagem!$K$8&amp;""' or Col2 = '""&amp;Personagem!$K$9&amp;""'""),
if('Time 1'!C4 = ""Gauvin"", query(IMPORTRANGE(cd_planilha, ""Armas!B3:G""), ""Select Col1 Where Col2 = '""&amp;Pers"&amp;"onagem!$L$8&amp;""' or Col2 = '""&amp;Personagem!$L$9&amp;""' ""),
if('Time 1'!C4 = ""Irene"", query(IMPORTRANGE(cd_planilha, ""Armas!B3:G""), ""Select Col1 Where Col2 = '""&amp;Personagem!$M$8&amp;""' or Col2 = '""&amp;Personagem!$M$9&amp;""' ""),
if('Time 1'!C4 = ""Karal"", query("&amp;"IMPORTRANGE(cd_planilha, ""Armas!B3:G""), ""Select Col1 Where Col2 = '""&amp;Personagem!$N$8&amp;""' or Col2 = '""&amp;Personagem!$N$9&amp;""' ""),
if('Time 1'!C4 = ""Kuro Shobi"", query(IMPORTRANGE(cd_planilha, ""Armas!B3:G""), ""Select Col1 Where Col2 = '""&amp;Personagem!"&amp;"$O$8&amp;""' or Col2 = '""&amp;Personagem!$O$9&amp;""'""),
if('Time 1'!C4 = ""Kurul"", query(IMPORTRANGE(cd_planilha, ""Armas!B3:G""), ""Select Col1 Where Col2 = '""&amp;Personagem!$P$8&amp;""' or Col2 = '""&amp;Personagem!$P$9&amp;""' ""),
if('Time 1'!C4 = ""Lancaster"", query(IMPO"&amp;"RTRANGE(cd_planilha, ""Armas!B3:G""), ""Select Col1 Where Col2 = '""&amp;Personagem!$Q$8&amp;""' or Col2 = '""&amp;Personagem!$Q$9&amp;""'""),
if('Time 1'!C4 = ""Lorelei"", query(IMPORTRANGE(cd_planilha, ""Armas!B3:G""), ""Select Col1 Where Col2 = '""&amp;Personagem!$R$8&amp;""'"&amp;" or Col2 = '""&amp;Personagem!$R$9&amp;""' ""),
if('Time 1'!C4 = ""Louca"", query(IMPORTRANGE(cd_planilha, ""Armas!B3:G""), ""Select Col1 Where Col2 = '""&amp;Personagem!$S$8&amp;""' or Col2 = '""&amp;Personagem!$S$9&amp;""' ""),
if('Time 1'!C4 = ""Melina"", query(IMPORTRANGE(cd"&amp;"_planilha, ""Armas!B3:G""), ""Select Col1 Where Col2 = '""&amp;Personagem!$T$8&amp;""' or Col2 = '""&amp;Personagem!$T$9&amp;""'""),
if('Time 1'!C4 = ""Mila"", query(IMPORTRANGE(cd_planilha, ""Armas!B3:G""), ""Select Col1 Where Col2 = '""&amp;Personagem!$U$8&amp;""' or Col2 = '"&amp;"""&amp;Personagem!$U$9&amp;""' ""),
if('Time 1'!C4 = ""Minh"", query(IMPORTRANGE(cd_planilha, ""Armas!B3:G""), ""Select Col1 Where Col2 = '""&amp;Personagem!$V$8&amp;""' or Col2 = '""&amp;Personagem!$V$9&amp;""' ""),
if('Time 1'!C4 = ""Mojian"", query(IMPORTRANGE(cd_planilha, """&amp;"Armas!B3:G""), ""Select Col1 Where Col2 = '""&amp;Personagem!$W$8&amp;""' or Col2 = '""&amp;Personagem!$W$9&amp;""'""),
if('Time 1'!C4 = ""Nya"", query(IMPORTRANGE(cd_planilha, ""Armas!B3:G""), ""Select Col1 Where Col2 = '""&amp;Personagem!$X$8&amp;""' or Col2 = '""&amp;Personagem!$"&amp;"X$9&amp;""' ""),
if('Time 1'!C4 = ""Odette"", query(IMPORTRANGE(cd_planilha, ""Armas!B3:G""), ""Select Col1 Where Col2 = '""&amp;Personagem!$Y$8&amp;""' or Col2 = '""&amp;Personagem!$Y$9&amp;""'""),
if('Time 1'!C4 = ""Oneira"", query(IMPORTRANGE(cd_planilha, ""Armas!B3:G""),"&amp;" ""Select Col1 Where Col2 = '""&amp;Personagem!$Z$8&amp;""' or Col2 = '""&amp;Personagem!$Z$9&amp;""' ""),
if('Time 1'!C4 = ""Palash"", query(IMPORTRANGE(cd_planilha, ""Armas!B3:G""), ""Select Col1 Where Col2 = '""&amp;Personagem!$AA$8&amp;""' or Col2 = '""&amp;Personagem!$AA$9&amp;""'"&amp;"""),
if('Time 1'!C4 = ""Theor"", query(IMPORTRANGE(cd_planilha, ""Armas!B3:G""), ""Select Col1 Where Col2 = '""&amp;Personagem!$AB$8&amp;""' or Col2 = '""&amp;Personagem!$AB$9&amp;""' ""),
if('Time 1'!C4 = ""Yue"", query(IMPORTRANGE(cd_planilha, ""Armas!B3:G""), ""Select"&amp;" Col1 Where Col2 = '""&amp;Personagem!$AC$8&amp;""' or Col2 = '""&amp;Personagem!$AC$9&amp;""'""
)))))))))))))))))))))))))))))"),"Coifa da Lua")</f>
        <v>Coifa da Lua</v>
      </c>
      <c r="AB1" s="241"/>
      <c r="AC1" s="241" t="str">
        <f>IFERROR(__xludf.DUMMYFUNCTION("if('Time 1'!C5 = ""Albert"", query(IMPORTRANGE(cd_planilha, ""Armas!B3:G""), ""Select Col1 Where Col2 = '""&amp;Personagem!$B$8&amp;""' or Col2 = '""&amp;Personagem!$B$9&amp;""'""),     
if('Time 1'!C5 = ""Alicia"", query(IMPORTRANGE(cd_planilha, ""Armas!B3:G""), ""Selec"&amp;"t Col1 Where Col2 = '""&amp;Personagem!$C$8&amp;""' or Col2 = '""&amp;Personagem!$C$9&amp;""'""),
if('Time 1'!C5 = ""Azula"", query(IMPORTRANGE(cd_planilha, ""Armas!B3:G""), ""Select Col1 Where Col2 = '""&amp;Personagem!$D$8&amp;""' or Col2 = '""&amp;Personagem!$D$9&amp;""' ""),
if('Tim"&amp;"e 1'!C5 = ""Charles"", query(IMPORTRANGE(cd_planilha, ""Armas!B3:G""), ""Select Col1 Where Col2 = '""&amp;Personagem!$E$8&amp;""' or Col2 = '""&amp;Personagem!$E$9&amp;""'""),
if('Time 1'!C5 = ""Clovis"", query(IMPORTRANGE(cd_planilha, ""Armas!B3:G""), ""Select Col1 Wher"&amp;"e Col2 = '""&amp;Personagem!$F$8&amp;""' or Col2 = '""&amp;Personagem!$F$9&amp;""' ""),
if('Time 1'!C5 = ""Darthos"", query(IMPORTRANGE(cd_planilha, ""Armas!B3:G""), ""Select Col1 Where Col2 = '""&amp;Personagem!$G$8&amp;""' or Col2 = '""&amp;Personagem!$G$9&amp;""'""),
if('Time 1'!C5 ="&amp;" ""Edward"", query(IMPORTRANGE(cd_planilha, ""Armas!B3:G""), ""Select Col1 Where Col2 = '""&amp;Personagem!$H$8&amp;""' or Col2 = '""&amp;Personagem!$H$9&amp;""' ""),
if('Time 1'!C5 = ""Fiora"", query(IMPORTRANGE(cd_planilha, ""Armas!B3:G""), ""Select Col1 Where Col2 = '"&amp;"""&amp;Personagem!$I$8&amp;""' or Col2 = '""&amp;Personagem!$I$9&amp;""' ""),
if('Time 1'!C5 = ""Francesca"", query(IMPORTRANGE(cd_planilha, ""Armas!B3:G""), ""Select Col1 Where Col2 = '""&amp;Personagem!$J$8&amp;""' or Col2 = '""&amp;Personagem!$J$9&amp;""'""),
if('Time 1'!C5 = ""Garre"&amp;"th"", query(IMPORTRANGE(cd_planilha, ""Armas!B3:G""), ""Select Col1 Where Col2 = '""&amp;Personagem!$K$8&amp;""' or Col2 = '""&amp;Personagem!$K$9&amp;""'""),
if('Time 1'!C5 = ""Gauvin"", query(IMPORTRANGE(cd_planilha, ""Armas!B3:G""), ""Select Col1 Where Col2 = '""&amp;Pers"&amp;"onagem!$L$8&amp;""' or Col2 = '""&amp;Personagem!$L$9&amp;""' ""),
if('Time 1'!C5 = ""Irene"", query(IMPORTRANGE(cd_planilha, ""Armas!B3:G""), ""Select Col1 Where Col2 = '""&amp;Personagem!$M$8&amp;""' or Col2 = '""&amp;Personagem!$M$9&amp;""' ""),
if('Time 1'!C5 = ""Karal"", query("&amp;"IMPORTRANGE(cd_planilha, ""Armas!B3:G""), ""Select Col1 Where Col2 = '""&amp;Personagem!$N$8&amp;""' or Col2 = '""&amp;Personagem!$N$9&amp;""' ""),
if('Time 1'!C5 = ""Kuro Shobi"", query(IMPORTRANGE(cd_planilha, ""Armas!B3:G""), ""Select Col1 Where Col2 = '""&amp;Personagem!"&amp;"$O$8&amp;""' or Col2 = '""&amp;Personagem!$O$9&amp;""'""),
if('Time 1'!C5 = ""Kurul"", query(IMPORTRANGE(cd_planilha, ""Armas!B3:G""), ""Select Col1 Where Col2 = '""&amp;Personagem!$P$8&amp;""' or Col2 = '""&amp;Personagem!$P$9&amp;""' ""),
if('Time 1'!C5 = ""Lancaster"", query(IMPO"&amp;"RTRANGE(cd_planilha, ""Armas!B3:G""), ""Select Col1 Where Col2 = '""&amp;Personagem!$Q$8&amp;""' or Col2 = '""&amp;Personagem!$Q$9&amp;""'""),
if('Time 1'!C5 = ""Lorelei"", query(IMPORTRANGE(cd_planilha, ""Armas!B3:G""), ""Select Col1 Where Col2 = '""&amp;Personagem!$R$8&amp;""'"&amp;" or Col2 = '""&amp;Personagem!$R$9&amp;""' ""),
if('Time 1'!C5 = ""Louca"", query(IMPORTRANGE(cd_planilha, ""Armas!B3:G""), ""Select Col1 Where Col2 = '""&amp;Personagem!$S$8&amp;""' or Col2 = '""&amp;Personagem!$S$9&amp;""' ""),
if('Time 1'!C5 = ""Melina"", query(IMPORTRANGE(cd"&amp;"_planilha, ""Armas!B3:G""), ""Select Col1 Where Col2 = '""&amp;Personagem!$T$8&amp;""' or Col2 = '""&amp;Personagem!$T$9&amp;""'""),
if('Time 1'!C5 = ""Mila"", query(IMPORTRANGE(cd_planilha, ""Armas!B3:G""), ""Select Col1 Where Col2 = '""&amp;Personagem!$U$8&amp;""' or Col2 = '"&amp;"""&amp;Personagem!$U$9&amp;""' ""),
if('Time 1'!C5 = ""Minh"", query(IMPORTRANGE(cd_planilha, ""Armas!B3:G""), ""Select Col1 Where Col2 = '""&amp;Personagem!$V$8&amp;""' or Col2 = '""&amp;Personagem!$V$9&amp;""' ""),
if('Time 1'!C5 = ""Mojian"", query(IMPORTRANGE(cd_planilha, """&amp;"Armas!B3:G""), ""Select Col1 Where Col2 = '""&amp;Personagem!$W$8&amp;""' or Col2 = '""&amp;Personagem!$W$9&amp;""'""),
if('Time 1'!C5 = ""Nya"", query(IMPORTRANGE(cd_planilha, ""Armas!B3:G""), ""Select Col1 Where Col2 = '""&amp;Personagem!$X$8&amp;""' or Col2 = '""&amp;Personagem!$"&amp;"X$9&amp;""' ""),
if('Time 1'!C5 = ""Odette"", query(IMPORTRANGE(cd_planilha, ""Armas!B3:G""), ""Select Col1 Where Col2 = '""&amp;Personagem!$Y$8&amp;""' or Col2 = '""&amp;Personagem!$Y$9&amp;""'""),
if('Time 1'!C5 = ""Oneira"", query(IMPORTRANGE(cd_planilha, ""Armas!B3:G""),"&amp;" ""Select Col1 Where Col2 = '""&amp;Personagem!$Z$8&amp;""' or Col2 = '""&amp;Personagem!$Z$9&amp;""' ""),
if('Time 1'!C5 = ""Palash"", query(IMPORTRANGE(cd_planilha, ""Armas!B3:G""), ""Select Col1 Where Col2 = '""&amp;Personagem!$AA$8&amp;""' or Col2 = '""&amp;Personagem!$AA$9&amp;""'"&amp;"""),
if('Time 1'!C5 = ""Theor"", query(IMPORTRANGE(cd_planilha, ""Armas!B3:G""), ""Select Col1 Where Col2 = '""&amp;Personagem!$AB$8&amp;""' or Col2 = '""&amp;Personagem!$AB$9&amp;""' ""),
if('Time 1'!C5 = ""Yue"", query(IMPORTRANGE(cd_planilha, ""Armas!B3:G""), ""Select"&amp;" Col1 Where Col2 = '""&amp;Personagem!$AC$8&amp;""' or Col2 = '""&amp;Personagem!$AC$9&amp;""'""
)))))))))))))))))))))))))))))"),"Coifa da Lua")</f>
        <v>Coifa da Lua</v>
      </c>
      <c r="AD1" s="241"/>
      <c r="AE1" s="241" t="str">
        <f>IFERROR(__xludf.DUMMYFUNCTION("if('Time 1'!C6 = ""Albert"", query(IMPORTRANGE(cd_planilha, ""Armas!B3:G""), ""Select Col1 Where Col2 = '""&amp;Personagem!$B$8&amp;""' or Col2 = '""&amp;Personagem!$B$9&amp;""'""),     
if('Time 1'!C6 = ""Alicia"", query(IMPORTRANGE(cd_planilha, ""Armas!B3:G""), ""Selec"&amp;"t Col1 Where Col2 = '""&amp;Personagem!$C$8&amp;""' or Col2 = '""&amp;Personagem!$C$9&amp;""'""),
if('Time 1'!C6 = ""Azula"", query(IMPORTRANGE(cd_planilha, ""Armas!B3:G""), ""Select Col1 Where Col2 = '""&amp;Personagem!$D$8&amp;""' or Col2 = '""&amp;Personagem!$D$9&amp;""' ""),
if('Tim"&amp;"e 1'!C6 = ""Charles"", query(IMPORTRANGE(cd_planilha, ""Armas!B3:G""), ""Select Col1 Where Col2 = '""&amp;Personagem!$E$8&amp;""' or Col2 = '""&amp;Personagem!$E$9&amp;""'""),
if('Time 1'!C6 = ""Clovis"", query(IMPORTRANGE(cd_planilha, ""Armas!B3:G""), ""Select Col1 Wher"&amp;"e Col2 = '""&amp;Personagem!$F$8&amp;""' or Col2 = '""&amp;Personagem!$F$9&amp;""' ""),
if('Time 1'!C6 = ""Darthos"", query(IMPORTRANGE(cd_planilha, ""Armas!B3:G""), ""Select Col1 Where Col2 = '""&amp;Personagem!$G$8&amp;""' or Col2 = '""&amp;Personagem!$G$9&amp;""'""),
if('Time 1'!C6 ="&amp;" ""Edward"", query(IMPORTRANGE(cd_planilha, ""Armas!B3:G""), ""Select Col1 Where Col2 = '""&amp;Personagem!$H$8&amp;""' or Col2 = '""&amp;Personagem!$H$9&amp;""' ""),
if('Time 1'!C6 = ""Fiora"", query(IMPORTRANGE(cd_planilha, ""Armas!B3:G""), ""Select Col1 Where Col2 = '"&amp;"""&amp;Personagem!$I$8&amp;""' or Col2 = '""&amp;Personagem!$I$9&amp;""' ""),
if('Time 1'!C6 = ""Francesca"", query(IMPORTRANGE(cd_planilha, ""Armas!B3:G""), ""Select Col1 Where Col2 = '""&amp;Personagem!$J$8&amp;""' or Col2 = '""&amp;Personagem!$J$9&amp;""'""),
if('Time 1'!C6 = ""Garre"&amp;"th"", query(IMPORTRANGE(cd_planilha, ""Armas!B3:G""), ""Select Col1 Where Col2 = '""&amp;Personagem!$K$8&amp;""' or Col2 = '""&amp;Personagem!$K$9&amp;""'""),
if('Time 1'!C6 = ""Gauvin"", query(IMPORTRANGE(cd_planilha, ""Armas!B3:G""), ""Select Col1 Where Col2 = '""&amp;Pers"&amp;"onagem!$L$8&amp;""' or Col2 = '""&amp;Personagem!$L$9&amp;""' ""),
if('Time 1'!C6 = ""Irene"", query(IMPORTRANGE(cd_planilha, ""Armas!B3:G""), ""Select Col1 Where Col2 = '""&amp;Personagem!$M$8&amp;""' or Col2 = '""&amp;Personagem!$M$9&amp;""' ""),
if('Time 1'!C6 = ""Karal"", query("&amp;"IMPORTRANGE(cd_planilha, ""Armas!B3:G""), ""Select Col1 Where Col2 = '""&amp;Personagem!$N$8&amp;""' or Col2 = '""&amp;Personagem!$N$9&amp;""' ""),
if('Time 1'!C6 = ""Kuro Shobi"", query(IMPORTRANGE(cd_planilha, ""Armas!B3:G""), ""Select Col1 Where Col2 = '""&amp;Personagem!"&amp;"$O$8&amp;""' or Col2 = '""&amp;Personagem!$O$9&amp;""'""),
if('Time 1'!C6 = ""Kurul"", query(IMPORTRANGE(cd_planilha, ""Armas!B3:G""), ""Select Col1 Where Col2 = '""&amp;Personagem!$P$8&amp;""' or Col2 = '""&amp;Personagem!$P$9&amp;""' ""),
if('Time 1'!C6 = ""Lancaster"", query(IMPO"&amp;"RTRANGE(cd_planilha, ""Armas!B3:G""), ""Select Col1 Where Col2 = '""&amp;Personagem!$Q$8&amp;""' or Col2 = '""&amp;Personagem!$Q$9&amp;""'""),
if('Time 1'!C6 = ""Lorelei"", query(IMPORTRANGE(cd_planilha, ""Armas!B3:G""), ""Select Col1 Where Col2 = '""&amp;Personagem!$R$8&amp;""'"&amp;" or Col2 = '""&amp;Personagem!$R$9&amp;""' ""),
if('Time 1'!C6 = ""Louca"", query(IMPORTRANGE(cd_planilha, ""Armas!B3:G""), ""Select Col1 Where Col2 = '""&amp;Personagem!$S$8&amp;""' or Col2 = '""&amp;Personagem!$S$9&amp;""' ""),
if('Time 1'!C6 = ""Melina"", query(IMPORTRANGE(cd"&amp;"_planilha, ""Armas!B3:G""), ""Select Col1 Where Col2 = '""&amp;Personagem!$T$8&amp;""' or Col2 = '""&amp;Personagem!$T$9&amp;""'""),
if('Time 1'!C6 = ""Mila"", query(IMPORTRANGE(cd_planilha, ""Armas!B3:G""), ""Select Col1 Where Col2 = '""&amp;Personagem!$U$8&amp;""' or Col2 = '"&amp;"""&amp;Personagem!$U$9&amp;""' ""),
if('Time 1'!C6 = ""Minh"", query(IMPORTRANGE(cd_planilha, ""Armas!B3:G""), ""Select Col1 Where Col2 = '""&amp;Personagem!$V$8&amp;""' or Col2 = '""&amp;Personagem!$V$9&amp;""' ""),
if('Time 1'!C6 = ""Mojian"", query(IMPORTRANGE(cd_planilha, """&amp;"Armas!B3:G""), ""Select Col1 Where Col2 = '""&amp;Personagem!$W$8&amp;""' or Col2 = '""&amp;Personagem!$W$9&amp;""'""),
if('Time 1'!C6 = ""Nya"", query(IMPORTRANGE(cd_planilha, ""Armas!B3:G""), ""Select Col1 Where Col2 = '""&amp;Personagem!$X$8&amp;""' or Col2 = '""&amp;Personagem!$"&amp;"X$9&amp;""' ""),
if('Time 1'!C6 = ""Odette"", query(IMPORTRANGE(cd_planilha, ""Armas!B3:G""), ""Select Col1 Where Col2 = '""&amp;Personagem!$Y$8&amp;""' or Col2 = '""&amp;Personagem!$Y$9&amp;""'""),
if('Time 1'!C6 = ""Oneira"", query(IMPORTRANGE(cd_planilha, ""Armas!B3:G""),"&amp;" ""Select Col1 Where Col2 = '""&amp;Personagem!$Z$8&amp;""' or Col2 = '""&amp;Personagem!$Z$9&amp;""' ""),
if('Time 1'!C6 = ""Palash"", query(IMPORTRANGE(cd_planilha, ""Armas!B3:G""), ""Select Col1 Where Col2 = '""&amp;Personagem!$AA$8&amp;""' or Col2 = '""&amp;Personagem!$AA$9&amp;""'"&amp;"""),
if('Time 1'!C6 = ""Theor"", query(IMPORTRANGE(cd_planilha, ""Armas!B3:G""), ""Select Col1 Where Col2 = '""&amp;Personagem!$AB$8&amp;""' or Col2 = '""&amp;Personagem!$AB$9&amp;""' ""),
if('Time 1'!C6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F1" s="241"/>
      <c r="AG1" s="241" t="str">
        <f>IFERROR(__xludf.DUMMYFUNCTION("if('Time 1'!C7 = ""Albert"", query(IMPORTRANGE(cd_planilha, ""Armas!B3:G""), ""Select Col1 Where Col2 = '""&amp;Personagem!$B$8&amp;""' or Col2 = '""&amp;Personagem!$B$9&amp;""'""),     
if('Time 1'!C7 = ""Alicia"", query(IMPORTRANGE(cd_planilha, ""Armas!B3:G""), ""Selec"&amp;"t Col1 Where Col2 = '""&amp;Personagem!$C$8&amp;""' or Col2 = '""&amp;Personagem!$C$9&amp;""'""),
if('Time 1'!C7 = ""Azula"", query(IMPORTRANGE(cd_planilha, ""Armas!B3:G""), ""Select Col1 Where Col2 = '""&amp;Personagem!$D$8&amp;""' or Col2 = '""&amp;Personagem!$D$9&amp;""' ""),
if('Tim"&amp;"e 1'!C7 = ""Charles"", query(IMPORTRANGE(cd_planilha, ""Armas!B3:G""), ""Select Col1 Where Col2 = '""&amp;Personagem!$E$8&amp;""' or Col2 = '""&amp;Personagem!$E$9&amp;""'""),
if('Time 1'!C7 = ""Clovis"", query(IMPORTRANGE(cd_planilha, ""Armas!B3:G""), ""Select Col1 Wher"&amp;"e Col2 = '""&amp;Personagem!$F$8&amp;""' or Col2 = '""&amp;Personagem!$F$9&amp;""' ""),
if('Time 1'!C7 = ""Darthos"", query(IMPORTRANGE(cd_planilha, ""Armas!B3:G""), ""Select Col1 Where Col2 = '""&amp;Personagem!$G$8&amp;""' or Col2 = '""&amp;Personagem!$G$9&amp;""'""),
if('Time 1'!C7 ="&amp;" ""Edward"", query(IMPORTRANGE(cd_planilha, ""Armas!B3:G""), ""Select Col1 Where Col2 = '""&amp;Personagem!$H$8&amp;""' or Col2 = '""&amp;Personagem!$H$9&amp;""' ""),
if('Time 1'!C7 = ""Fiora"", query(IMPORTRANGE(cd_planilha, ""Armas!B3:G""), ""Select Col1 Where Col2 = '"&amp;"""&amp;Personagem!$I$8&amp;""' or Col2 = '""&amp;Personagem!$I$9&amp;""' ""),
if('Time 1'!C7 = ""Francesca"", query(IMPORTRANGE(cd_planilha, ""Armas!B3:G""), ""Select Col1 Where Col2 = '""&amp;Personagem!$J$8&amp;""' or Col2 = '""&amp;Personagem!$J$9&amp;""'""),
if('Time 1'!C7 = ""Garre"&amp;"th"", query(IMPORTRANGE(cd_planilha, ""Armas!B3:G""), ""Select Col1 Where Col2 = '""&amp;Personagem!$K$8&amp;""' or Col2 = '""&amp;Personagem!$K$9&amp;""'""),
if('Time 1'!C7 = ""Gauvin"", query(IMPORTRANGE(cd_planilha, ""Armas!B3:G""), ""Select Col1 Where Col2 = '""&amp;Pers"&amp;"onagem!$L$8&amp;""' or Col2 = '""&amp;Personagem!$L$9&amp;""' ""),
if('Time 1'!C7 = ""Irene"", query(IMPORTRANGE(cd_planilha, ""Armas!B3:G""), ""Select Col1 Where Col2 = '""&amp;Personagem!$M$8&amp;""' or Col2 = '""&amp;Personagem!$M$9&amp;""' ""),
if('Time 1'!C7 = ""Karal"", query("&amp;"IMPORTRANGE(cd_planilha, ""Armas!B3:G""), ""Select Col1 Where Col2 = '""&amp;Personagem!$N$8&amp;""' or Col2 = '""&amp;Personagem!$N$9&amp;""' ""),
if('Time 1'!C7 = ""Kuro Shobi"", query(IMPORTRANGE(cd_planilha, ""Armas!B3:G""), ""Select Col1 Where Col2 = '""&amp;Personagem!"&amp;"$O$8&amp;""' or Col2 = '""&amp;Personagem!$O$9&amp;""'""),
if('Time 1'!C7 = ""Kurul"", query(IMPORTRANGE(cd_planilha, ""Armas!B3:G""), ""Select Col1 Where Col2 = '""&amp;Personagem!$P$8&amp;""' or Col2 = '""&amp;Personagem!$P$9&amp;""' ""),
if('Time 1'!C7 = ""Lancaster"", query(IMPO"&amp;"RTRANGE(cd_planilha, ""Armas!B3:G""), ""Select Col1 Where Col2 = '""&amp;Personagem!$Q$8&amp;""' or Col2 = '""&amp;Personagem!$Q$9&amp;""'""),
if('Time 1'!C7 = ""Lorelei"", query(IMPORTRANGE(cd_planilha, ""Armas!B3:G""), ""Select Col1 Where Col2 = '""&amp;Personagem!$R$8&amp;""'"&amp;" or Col2 = '""&amp;Personagem!$R$9&amp;""' ""),
if('Time 1'!C7 = ""Louca"", query(IMPORTRANGE(cd_planilha, ""Armas!B3:G""), ""Select Col1 Where Col2 = '""&amp;Personagem!$S$8&amp;""' or Col2 = '""&amp;Personagem!$S$9&amp;""' ""),
if('Time 1'!C7 = ""Melina"", query(IMPORTRANGE(cd"&amp;"_planilha, ""Armas!B3:G""), ""Select Col1 Where Col2 = '""&amp;Personagem!$T$8&amp;""' or Col2 = '""&amp;Personagem!$T$9&amp;""'""),
if('Time 1'!C7 = ""Mila"", query(IMPORTRANGE(cd_planilha, ""Armas!B3:G""), ""Select Col1 Where Col2 = '""&amp;Personagem!$U$8&amp;""' or Col2 = '"&amp;"""&amp;Personagem!$U$9&amp;""' ""),
if('Time 1'!C7 = ""Minh"", query(IMPORTRANGE(cd_planilha, ""Armas!B3:G""), ""Select Col1 Where Col2 = '""&amp;Personagem!$V$8&amp;""' or Col2 = '""&amp;Personagem!$V$9&amp;""' ""),
if('Time 1'!C7 = ""Mojian"", query(IMPORTRANGE(cd_planilha, """&amp;"Armas!B3:G""), ""Select Col1 Where Col2 = '""&amp;Personagem!$W$8&amp;""' or Col2 = '""&amp;Personagem!$W$9&amp;""'""),
if('Time 1'!C7 = ""Nya"", query(IMPORTRANGE(cd_planilha, ""Armas!B3:G""), ""Select Col1 Where Col2 = '""&amp;Personagem!$X$8&amp;""' or Col2 = '""&amp;Personagem!$"&amp;"X$9&amp;""' ""),
if('Time 1'!C7 = ""Odette"", query(IMPORTRANGE(cd_planilha, ""Armas!B3:G""), ""Select Col1 Where Col2 = '""&amp;Personagem!$Y$8&amp;""' or Col2 = '""&amp;Personagem!$Y$9&amp;""'""),
if('Time 1'!C7 = ""Oneira"", query(IMPORTRANGE(cd_planilha, ""Armas!B3:G""),"&amp;" ""Select Col1 Where Col2 = '""&amp;Personagem!$Z$8&amp;""' or Col2 = '""&amp;Personagem!$Z$9&amp;""' ""),
if('Time 1'!C7 = ""Palash"", query(IMPORTRANGE(cd_planilha, ""Armas!B3:G""), ""Select Col1 Where Col2 = '""&amp;Personagem!$AA$8&amp;""' or Col2 = '""&amp;Personagem!$AA$9&amp;""'"&amp;"""),
if('Time 1'!C7 = ""Theor"", query(IMPORTRANGE(cd_planilha, ""Armas!B3:G""), ""Select Col1 Where Col2 = '""&amp;Personagem!$AB$8&amp;""' or Col2 = '""&amp;Personagem!$AB$9&amp;""' ""),
if('Time 1'!C7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H1" s="241"/>
      <c r="AI1" s="241" t="str">
        <f>IFERROR(__xludf.DUMMYFUNCTION("if('Time 1'!C8 = ""Albert"", query(IMPORTRANGE(cd_planilha, ""Armas!B3:G""), ""Select Col1 Where Col2 = '""&amp;Personagem!$B$8&amp;""' or Col2 = '""&amp;Personagem!$B$9&amp;""'""),     
if('Time 1'!C8 = ""Alicia"", query(IMPORTRANGE(cd_planilha, ""Armas!B3:G""), ""Selec"&amp;"t Col1 Where Col2 = '""&amp;Personagem!$C$8&amp;""' or Col2 = '""&amp;Personagem!$C$9&amp;""'""),
if('Time 1'!C8 = ""Azula"", query(IMPORTRANGE(cd_planilha, ""Armas!B3:G""), ""Select Col1 Where Col2 = '""&amp;Personagem!$D$8&amp;""' or Col2 = '""&amp;Personagem!$D$9&amp;""' ""),
if('Tim"&amp;"e 1'!C8 = ""Charles"", query(IMPORTRANGE(cd_planilha, ""Armas!B3:G""), ""Select Col1 Where Col2 = '""&amp;Personagem!$E$8&amp;""' or Col2 = '""&amp;Personagem!$E$9&amp;""'""),
if('Time 1'!C8 = ""Clovis"", query(IMPORTRANGE(cd_planilha, ""Armas!B3:G""), ""Select Col1 Wher"&amp;"e Col2 = '""&amp;Personagem!$F$8&amp;""' or Col2 = '""&amp;Personagem!$F$9&amp;""' ""),
if('Time 1'!C8 = ""Darthos"", query(IMPORTRANGE(cd_planilha, ""Armas!B3:G""), ""Select Col1 Where Col2 = '""&amp;Personagem!$G$8&amp;""' or Col2 = '""&amp;Personagem!$G$9&amp;""'""),
if('Time 1'!C8 ="&amp;" ""Edward"", query(IMPORTRANGE(cd_planilha, ""Armas!B3:G""), ""Select Col1 Where Col2 = '""&amp;Personagem!$H$8&amp;""' or Col2 = '""&amp;Personagem!$H$9&amp;""' ""),
if('Time 1'!C8 = ""Fiora"", query(IMPORTRANGE(cd_planilha, ""Armas!B3:G""), ""Select Col1 Where Col2 = '"&amp;"""&amp;Personagem!$I$8&amp;""' or Col2 = '""&amp;Personagem!$I$9&amp;""' ""),
if('Time 1'!C8 = ""Francesca"", query(IMPORTRANGE(cd_planilha, ""Armas!B3:G""), ""Select Col1 Where Col2 = '""&amp;Personagem!$J$8&amp;""' or Col2 = '""&amp;Personagem!$J$9&amp;""'""),
if('Time 1'!C8 = ""Garre"&amp;"th"", query(IMPORTRANGE(cd_planilha, ""Armas!B3:G""), ""Select Col1 Where Col2 = '""&amp;Personagem!$K$8&amp;""' or Col2 = '""&amp;Personagem!$K$9&amp;""'""),
if('Time 1'!C8 = ""Gauvin"", query(IMPORTRANGE(cd_planilha, ""Armas!B3:G""), ""Select Col1 Where Col2 = '""&amp;Pers"&amp;"onagem!$L$8&amp;""' or Col2 = '""&amp;Personagem!$L$9&amp;""' ""),
if('Time 1'!C8 = ""Irene"", query(IMPORTRANGE(cd_planilha, ""Armas!B3:G""), ""Select Col1 Where Col2 = '""&amp;Personagem!$M$8&amp;""' or Col2 = '""&amp;Personagem!$M$9&amp;""' ""),
if('Time 1'!C8 = ""Karal"", query("&amp;"IMPORTRANGE(cd_planilha, ""Armas!B3:G""), ""Select Col1 Where Col2 = '""&amp;Personagem!$N$8&amp;""' or Col2 = '""&amp;Personagem!$N$9&amp;""' ""),
if('Time 1'!C8 = ""Kuro Shobi"", query(IMPORTRANGE(cd_planilha, ""Armas!B3:G""), ""Select Col1 Where Col2 = '""&amp;Personagem!"&amp;"$O$8&amp;""' or Col2 = '""&amp;Personagem!$O$9&amp;""'""),
if('Time 1'!C8 = ""Kurul"", query(IMPORTRANGE(cd_planilha, ""Armas!B3:G""), ""Select Col1 Where Col2 = '""&amp;Personagem!$P$8&amp;""' or Col2 = '""&amp;Personagem!$P$9&amp;""' ""),
if('Time 1'!C8 = ""Lancaster"", query(IMPO"&amp;"RTRANGE(cd_planilha, ""Armas!B3:G""), ""Select Col1 Where Col2 = '""&amp;Personagem!$Q$8&amp;""' or Col2 = '""&amp;Personagem!$Q$9&amp;""'""),
if('Time 1'!C8 = ""Lorelei"", query(IMPORTRANGE(cd_planilha, ""Armas!B3:G""), ""Select Col1 Where Col2 = '""&amp;Personagem!$R$8&amp;""'"&amp;" or Col2 = '""&amp;Personagem!$R$9&amp;""' ""),
if('Time 1'!C8 = ""Louca"", query(IMPORTRANGE(cd_planilha, ""Armas!B3:G""), ""Select Col1 Where Col2 = '""&amp;Personagem!$S$8&amp;""' or Col2 = '""&amp;Personagem!$S$9&amp;""' ""),
if('Time 1'!C8 = ""Melina"", query(IMPORTRANGE(cd"&amp;"_planilha, ""Armas!B3:G""), ""Select Col1 Where Col2 = '""&amp;Personagem!$T$8&amp;""' or Col2 = '""&amp;Personagem!$T$9&amp;""'""),
if('Time 1'!C8 = ""Mila"", query(IMPORTRANGE(cd_planilha, ""Armas!B3:G""), ""Select Col1 Where Col2 = '""&amp;Personagem!$U$8&amp;""' or Col2 = '"&amp;"""&amp;Personagem!$U$9&amp;""' ""),
if('Time 1'!C8 = ""Minh"", query(IMPORTRANGE(cd_planilha, ""Armas!B3:G""), ""Select Col1 Where Col2 = '""&amp;Personagem!$V$8&amp;""' or Col2 = '""&amp;Personagem!$V$9&amp;""' ""),
if('Time 1'!C8 = ""Mojian"", query(IMPORTRANGE(cd_planilha, """&amp;"Armas!B3:G""), ""Select Col1 Where Col2 = '""&amp;Personagem!$W$8&amp;""' or Col2 = '""&amp;Personagem!$W$9&amp;""'""),
if('Time 1'!C8 = ""Nya"", query(IMPORTRANGE(cd_planilha, ""Armas!B3:G""), ""Select Col1 Where Col2 = '""&amp;Personagem!$X$8&amp;""' or Col2 = '""&amp;Personagem!$"&amp;"X$9&amp;""' ""),
if('Time 1'!C8 = ""Odette"", query(IMPORTRANGE(cd_planilha, ""Armas!B3:G""), ""Select Col1 Where Col2 = '""&amp;Personagem!$Y$8&amp;""' or Col2 = '""&amp;Personagem!$Y$9&amp;""'""),
if('Time 1'!C8 = ""Oneira"", query(IMPORTRANGE(cd_planilha, ""Armas!B3:G""),"&amp;" ""Select Col1 Where Col2 = '""&amp;Personagem!$Z$8&amp;""' or Col2 = '""&amp;Personagem!$Z$9&amp;""' ""),
if('Time 1'!C8 = ""Palash"", query(IMPORTRANGE(cd_planilha, ""Armas!B3:G""), ""Select Col1 Where Col2 = '""&amp;Personagem!$AA$8&amp;""' or Col2 = '""&amp;Personagem!$AA$9&amp;""'"&amp;"""),
if('Time 1'!C8 = ""Theor"", query(IMPORTRANGE(cd_planilha, ""Armas!B3:G""), ""Select Col1 Where Col2 = '""&amp;Personagem!$AB$8&amp;""' or Col2 = '""&amp;Personagem!$AB$9&amp;""' ""),
if('Time 1'!C8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J1" s="242"/>
    </row>
    <row r="2">
      <c r="A2" s="229" t="str">
        <f>IFERROR(__xludf.DUMMYFUNCTION("""COMPUTED_VALUE"""),"Ponta de Veneno")</f>
        <v>Ponta de Veneno</v>
      </c>
      <c r="B2" s="241"/>
      <c r="C2" s="224" t="str">
        <f>IFERROR(__xludf.DUMMYFUNCTION("""COMPUTED_VALUE"""),"Olho de falcão")</f>
        <v>Olho de falcão</v>
      </c>
      <c r="D2" s="241"/>
      <c r="E2" s="241" t="str">
        <f>IFERROR(__xludf.DUMMYFUNCTION("""COMPUTED_VALUE"""),"Espada Vorpal")</f>
        <v>Espada Vorpal</v>
      </c>
      <c r="F2" s="241"/>
      <c r="G2" s="241" t="str">
        <f>IFERROR(__xludf.DUMMYFUNCTION("""COMPUTED_VALUE"""),"Coração Rubro")</f>
        <v>Coração Rubro</v>
      </c>
      <c r="H2" s="241"/>
      <c r="I2" s="241" t="str">
        <f>IFERROR(__xludf.DUMMYFUNCTION("""COMPUTED_VALUE"""),"Espada Vorpal")</f>
        <v>Espada Vorpal</v>
      </c>
      <c r="J2" s="241"/>
      <c r="K2" s="241" t="str">
        <f>IFERROR(__xludf.DUMMYFUNCTION("""COMPUTED_VALUE"""),"Olho de falcão")</f>
        <v>Olho de falcão</v>
      </c>
      <c r="L2" s="242"/>
      <c r="M2" s="229" t="str">
        <f>IFERROR(__xludf.DUMMYFUNCTION("""COMPUTED_VALUE"""),"Armadura Nobre")</f>
        <v>Armadura Nobre</v>
      </c>
      <c r="N2" s="241"/>
      <c r="O2" s="241" t="str">
        <f>IFERROR(__xludf.DUMMYFUNCTION("""COMPUTED_VALUE"""),"Armadura Nobre")</f>
        <v>Armadura Nobre</v>
      </c>
      <c r="P2" s="241"/>
      <c r="Q2" s="241" t="str">
        <f>IFERROR(__xludf.DUMMYFUNCTION("""COMPUTED_VALUE"""),"Armadura Nobre")</f>
        <v>Armadura Nobre</v>
      </c>
      <c r="R2" s="241"/>
      <c r="S2" s="241" t="str">
        <f>IFERROR(__xludf.DUMMYFUNCTION("""COMPUTED_VALUE"""),"Toga do Mago")</f>
        <v>Toga do Mago</v>
      </c>
      <c r="T2" s="241"/>
      <c r="U2" s="241" t="str">
        <f>IFERROR(__xludf.DUMMYFUNCTION("""COMPUTED_VALUE"""),"Veste Revestida")</f>
        <v>Veste Revestida</v>
      </c>
      <c r="V2" s="241"/>
      <c r="W2" s="241" t="str">
        <f>IFERROR(__xludf.DUMMYFUNCTION("""COMPUTED_VALUE"""),"Toga do Mago")</f>
        <v>Toga do Mago</v>
      </c>
      <c r="X2" s="242"/>
      <c r="Y2" s="229" t="str">
        <f>IFERROR(__xludf.DUMMYFUNCTION("""COMPUTED_VALUE"""),"Elmo do Paladino")</f>
        <v>Elmo do Paladino</v>
      </c>
      <c r="Z2" s="241"/>
      <c r="AA2" s="241" t="str">
        <f>IFERROR(__xludf.DUMMYFUNCTION("""COMPUTED_VALUE"""),"Elmo do Paladino")</f>
        <v>Elmo do Paladino</v>
      </c>
      <c r="AB2" s="241"/>
      <c r="AC2" s="241" t="str">
        <f>IFERROR(__xludf.DUMMYFUNCTION("""COMPUTED_VALUE"""),"Elmo do Paladino")</f>
        <v>Elmo do Paladino</v>
      </c>
      <c r="AD2" s="241"/>
      <c r="AE2" s="241" t="str">
        <f>IFERROR(__xludf.DUMMYFUNCTION("""COMPUTED_VALUE"""),"Coroa Dourada")</f>
        <v>Coroa Dourada</v>
      </c>
      <c r="AF2" s="241"/>
      <c r="AG2" s="241" t="str">
        <f>IFERROR(__xludf.DUMMYFUNCTION("""COMPUTED_VALUE"""),"Coroa Dourada")</f>
        <v>Coroa Dourada</v>
      </c>
      <c r="AH2" s="241"/>
      <c r="AI2" s="241" t="str">
        <f>IFERROR(__xludf.DUMMYFUNCTION("""COMPUTED_VALUE"""),"Coroa Dourada")</f>
        <v>Coroa Dourada</v>
      </c>
      <c r="AJ2" s="242"/>
    </row>
    <row r="3" hidden="1">
      <c r="A3" s="229" t="str">
        <f>IFERROR(__xludf.DUMMYFUNCTION("""COMPUTED_VALUE"""),"Lança Pesca")</f>
        <v>Lança Pesca</v>
      </c>
      <c r="B3" s="241"/>
      <c r="C3" s="241" t="str">
        <f>IFERROR(__xludf.DUMMYFUNCTION("""COMPUTED_VALUE"""),"Autocarregador")</f>
        <v>Autocarregador</v>
      </c>
      <c r="D3" s="241"/>
      <c r="E3" s="241" t="str">
        <f>IFERROR(__xludf.DUMMYFUNCTION("""COMPUTED_VALUE"""),"Aço frio")</f>
        <v>Aço frio</v>
      </c>
      <c r="F3" s="241"/>
      <c r="G3" s="241" t="str">
        <f>IFERROR(__xludf.DUMMYFUNCTION("""COMPUTED_VALUE"""),"Katar Fantasma")</f>
        <v>Katar Fantasma</v>
      </c>
      <c r="H3" s="241"/>
      <c r="I3" s="241" t="str">
        <f>IFERROR(__xludf.DUMMYFUNCTION("""COMPUTED_VALUE"""),"Aço frio")</f>
        <v>Aço frio</v>
      </c>
      <c r="J3" s="241"/>
      <c r="K3" s="241" t="str">
        <f>IFERROR(__xludf.DUMMYFUNCTION("""COMPUTED_VALUE"""),"Autocarregador")</f>
        <v>Autocarregador</v>
      </c>
      <c r="L3" s="242"/>
      <c r="M3" s="229" t="str">
        <f>IFERROR(__xludf.DUMMYFUNCTION("""COMPUTED_VALUE"""),"Correio de Honra")</f>
        <v>Correio de Honra</v>
      </c>
      <c r="N3" s="241"/>
      <c r="O3" s="241" t="str">
        <f>IFERROR(__xludf.DUMMYFUNCTION("""COMPUTED_VALUE"""),"Correio de Honra")</f>
        <v>Correio de Honra</v>
      </c>
      <c r="P3" s="241"/>
      <c r="Q3" s="241" t="str">
        <f>IFERROR(__xludf.DUMMYFUNCTION("""COMPUTED_VALUE"""),"Correio de Honra")</f>
        <v>Correio de Honra</v>
      </c>
      <c r="R3" s="241"/>
      <c r="S3" s="241" t="str">
        <f>IFERROR(__xludf.DUMMYFUNCTION("""COMPUTED_VALUE"""),"Poseidon's Toga")</f>
        <v>Poseidon's Toga</v>
      </c>
      <c r="T3" s="241"/>
      <c r="U3" s="241" t="str">
        <f>IFERROR(__xludf.DUMMYFUNCTION("""COMPUTED_VALUE"""),"Couro com óleo")</f>
        <v>Couro com óleo</v>
      </c>
      <c r="V3" s="241"/>
      <c r="W3" s="241" t="str">
        <f>IFERROR(__xludf.DUMMYFUNCTION("""COMPUTED_VALUE"""),"Poseidon's Toga")</f>
        <v>Poseidon's Toga</v>
      </c>
      <c r="X3" s="242"/>
      <c r="Y3" s="229" t="str">
        <f>IFERROR(__xludf.DUMMYFUNCTION("""COMPUTED_VALUE"""),"Elmo Congelado")</f>
        <v>Elmo Congelado</v>
      </c>
      <c r="Z3" s="241"/>
      <c r="AA3" s="241" t="str">
        <f>IFERROR(__xludf.DUMMYFUNCTION("""COMPUTED_VALUE"""),"Elmo Congelado")</f>
        <v>Elmo Congelado</v>
      </c>
      <c r="AB3" s="241"/>
      <c r="AC3" s="241" t="str">
        <f>IFERROR(__xludf.DUMMYFUNCTION("""COMPUTED_VALUE"""),"Elmo Congelado")</f>
        <v>Elmo Congelado</v>
      </c>
      <c r="AD3" s="241"/>
      <c r="AE3" s="241" t="str">
        <f>IFERROR(__xludf.DUMMYFUNCTION("""COMPUTED_VALUE"""),"Coifa Sábia ")</f>
        <v>Coifa Sábia </v>
      </c>
      <c r="AF3" s="241"/>
      <c r="AG3" s="241" t="str">
        <f>IFERROR(__xludf.DUMMYFUNCTION("""COMPUTED_VALUE"""),"Coifa Sábia ")</f>
        <v>Coifa Sábia </v>
      </c>
      <c r="AH3" s="241"/>
      <c r="AI3" s="241" t="str">
        <f>IFERROR(__xludf.DUMMYFUNCTION("""COMPUTED_VALUE"""),"Coifa Sábia ")</f>
        <v>Coifa Sábia </v>
      </c>
      <c r="AJ3" s="242"/>
    </row>
    <row r="4" hidden="1">
      <c r="A4" s="229" t="str">
        <f>IFERROR(__xludf.DUMMYFUNCTION("""COMPUTED_VALUE"""),"Garfo de prata")</f>
        <v>Garfo de prata</v>
      </c>
      <c r="B4" s="241"/>
      <c r="C4" s="241" t="str">
        <f>IFERROR(__xludf.DUMMYFUNCTION("""COMPUTED_VALUE"""),"Olho de águia")</f>
        <v>Olho de águia</v>
      </c>
      <c r="D4" s="241"/>
      <c r="E4" s="241" t="str">
        <f>IFERROR(__xludf.DUMMYFUNCTION("""COMPUTED_VALUE"""),"Espada de Relíquia")</f>
        <v>Espada de Relíquia</v>
      </c>
      <c r="F4" s="241"/>
      <c r="G4" s="241" t="str">
        <f>IFERROR(__xludf.DUMMYFUNCTION("""COMPUTED_VALUE"""),"Sweet Surprise")</f>
        <v>Sweet Surprise</v>
      </c>
      <c r="H4" s="241"/>
      <c r="I4" s="241" t="str">
        <f>IFERROR(__xludf.DUMMYFUNCTION("""COMPUTED_VALUE"""),"Espada de Relíquia")</f>
        <v>Espada de Relíquia</v>
      </c>
      <c r="J4" s="241"/>
      <c r="K4" s="241" t="str">
        <f>IFERROR(__xludf.DUMMYFUNCTION("""COMPUTED_VALUE"""),"Olho de águia")</f>
        <v>Olho de águia</v>
      </c>
      <c r="L4" s="242"/>
      <c r="M4" s="229" t="str">
        <f>IFERROR(__xludf.DUMMYFUNCTION("""COMPUTED_VALUE"""),"Armadura do Caos")</f>
        <v>Armadura do Caos</v>
      </c>
      <c r="N4" s="241"/>
      <c r="O4" s="241" t="str">
        <f>IFERROR(__xludf.DUMMYFUNCTION("""COMPUTED_VALUE"""),"Armadura do Caos")</f>
        <v>Armadura do Caos</v>
      </c>
      <c r="P4" s="241"/>
      <c r="Q4" s="241" t="str">
        <f>IFERROR(__xludf.DUMMYFUNCTION("""COMPUTED_VALUE"""),"Armadura do Caos")</f>
        <v>Armadura do Caos</v>
      </c>
      <c r="R4" s="241"/>
      <c r="S4" s="241" t="str">
        <f>IFERROR(__xludf.DUMMYFUNCTION("""COMPUTED_VALUE"""),"Traje de Tempestade")</f>
        <v>Traje de Tempestade</v>
      </c>
      <c r="T4" s="241"/>
      <c r="U4" s="241" t="str">
        <f>IFERROR(__xludf.DUMMYFUNCTION("""COMPUTED_VALUE"""),"Pele de Serpente")</f>
        <v>Pele de Serpente</v>
      </c>
      <c r="V4" s="241"/>
      <c r="W4" s="241" t="str">
        <f>IFERROR(__xludf.DUMMYFUNCTION("""COMPUTED_VALUE"""),"Traje de Tempestade")</f>
        <v>Traje de Tempestade</v>
      </c>
      <c r="X4" s="242"/>
      <c r="Y4" s="229" t="str">
        <f>IFERROR(__xludf.DUMMYFUNCTION("""COMPUTED_VALUE"""),"Elmo do Aventureiro")</f>
        <v>Elmo do Aventureiro</v>
      </c>
      <c r="Z4" s="241"/>
      <c r="AA4" s="241" t="str">
        <f>IFERROR(__xludf.DUMMYFUNCTION("""COMPUTED_VALUE"""),"Elmo do Aventureiro")</f>
        <v>Elmo do Aventureiro</v>
      </c>
      <c r="AB4" s="241"/>
      <c r="AC4" s="241" t="str">
        <f>IFERROR(__xludf.DUMMYFUNCTION("""COMPUTED_VALUE"""),"Elmo do Aventureiro")</f>
        <v>Elmo do Aventureiro</v>
      </c>
      <c r="AD4" s="241"/>
      <c r="AE4" s="241" t="str">
        <f>IFERROR(__xludf.DUMMYFUNCTION("""COMPUTED_VALUE"""),"Tiara Rúnica")</f>
        <v>Tiara Rúnica</v>
      </c>
      <c r="AF4" s="241"/>
      <c r="AG4" s="241" t="str">
        <f>IFERROR(__xludf.DUMMYFUNCTION("""COMPUTED_VALUE"""),"Tiara Rúnica")</f>
        <v>Tiara Rúnica</v>
      </c>
      <c r="AH4" s="241"/>
      <c r="AI4" s="241" t="str">
        <f>IFERROR(__xludf.DUMMYFUNCTION("""COMPUTED_VALUE"""),"Tiara Rúnica")</f>
        <v>Tiara Rúnica</v>
      </c>
      <c r="AJ4" s="242"/>
    </row>
    <row r="5" hidden="1">
      <c r="A5" s="229" t="str">
        <f>IFERROR(__xludf.DUMMYFUNCTION("""COMPUTED_VALUE"""),"Voulgue da Lua")</f>
        <v>Voulgue da Lua</v>
      </c>
      <c r="B5" s="241"/>
      <c r="C5" s="241" t="str">
        <f>IFERROR(__xludf.DUMMYFUNCTION("""COMPUTED_VALUE"""),"Evelyn")</f>
        <v>Evelyn</v>
      </c>
      <c r="D5" s="241"/>
      <c r="E5" s="241" t="str">
        <f>IFERROR(__xludf.DUMMYFUNCTION("""COMPUTED_VALUE"""),"Marca Abissal")</f>
        <v>Marca Abissal</v>
      </c>
      <c r="F5" s="241"/>
      <c r="G5" s="241" t="str">
        <f>IFERROR(__xludf.DUMMYFUNCTION("""COMPUTED_VALUE"""),"Traidora")</f>
        <v>Traidora</v>
      </c>
      <c r="H5" s="241"/>
      <c r="I5" s="241" t="str">
        <f>IFERROR(__xludf.DUMMYFUNCTION("""COMPUTED_VALUE"""),"Marca Abissal")</f>
        <v>Marca Abissal</v>
      </c>
      <c r="J5" s="241"/>
      <c r="K5" s="241" t="str">
        <f>IFERROR(__xludf.DUMMYFUNCTION("""COMPUTED_VALUE"""),"Evelyn")</f>
        <v>Evelyn</v>
      </c>
      <c r="L5" s="242"/>
      <c r="M5" s="229" t="str">
        <f>IFERROR(__xludf.DUMMYFUNCTION("""COMPUTED_VALUE"""),"Malha Eldritch")</f>
        <v>Malha Eldritch</v>
      </c>
      <c r="N5" s="241"/>
      <c r="O5" s="241" t="str">
        <f>IFERROR(__xludf.DUMMYFUNCTION("""COMPUTED_VALUE"""),"Malha Eldritch")</f>
        <v>Malha Eldritch</v>
      </c>
      <c r="P5" s="241"/>
      <c r="Q5" s="241" t="str">
        <f>IFERROR(__xludf.DUMMYFUNCTION("""COMPUTED_VALUE"""),"Malha Eldritch")</f>
        <v>Malha Eldritch</v>
      </c>
      <c r="R5" s="241"/>
      <c r="S5" s="241" t="str">
        <f>IFERROR(__xludf.DUMMYFUNCTION("""COMPUTED_VALUE"""),"Toga do Bruxo ")</f>
        <v>Toga do Bruxo </v>
      </c>
      <c r="T5" s="241"/>
      <c r="U5" s="241" t="str">
        <f>IFERROR(__xludf.DUMMYFUNCTION("""COMPUTED_VALUE"""),"Platemail de Aquiles")</f>
        <v>Platemail de Aquiles</v>
      </c>
      <c r="V5" s="241"/>
      <c r="W5" s="241" t="str">
        <f>IFERROR(__xludf.DUMMYFUNCTION("""COMPUTED_VALUE"""),"Toga do Bruxo ")</f>
        <v>Toga do Bruxo </v>
      </c>
      <c r="X5" s="242"/>
      <c r="Y5" s="229" t="str">
        <f>IFERROR(__xludf.DUMMYFUNCTION("""COMPUTED_VALUE"""),"Elmo da Fênix")</f>
        <v>Elmo da Fênix</v>
      </c>
      <c r="Z5" s="241"/>
      <c r="AA5" s="241" t="str">
        <f>IFERROR(__xludf.DUMMYFUNCTION("""COMPUTED_VALUE"""),"Elmo da Fênix")</f>
        <v>Elmo da Fênix</v>
      </c>
      <c r="AB5" s="241"/>
      <c r="AC5" s="241" t="str">
        <f>IFERROR(__xludf.DUMMYFUNCTION("""COMPUTED_VALUE"""),"Elmo da Fênix")</f>
        <v>Elmo da Fênix</v>
      </c>
      <c r="AD5" s="241"/>
      <c r="AE5" s="241" t="str">
        <f>IFERROR(__xludf.DUMMYFUNCTION("""COMPUTED_VALUE"""),"Coroa do trovão")</f>
        <v>Coroa do trovão</v>
      </c>
      <c r="AF5" s="241"/>
      <c r="AG5" s="241" t="str">
        <f>IFERROR(__xludf.DUMMYFUNCTION("""COMPUTED_VALUE"""),"Coroa do trovão")</f>
        <v>Coroa do trovão</v>
      </c>
      <c r="AH5" s="241"/>
      <c r="AI5" s="241" t="str">
        <f>IFERROR(__xludf.DUMMYFUNCTION("""COMPUTED_VALUE"""),"Coroa do trovão")</f>
        <v>Coroa do trovão</v>
      </c>
      <c r="AJ5" s="242"/>
    </row>
    <row r="6" hidden="1">
      <c r="A6" s="229" t="str">
        <f>IFERROR(__xludf.DUMMYFUNCTION("""COMPUTED_VALUE"""),"Espeto da Noite")</f>
        <v>Espeto da Noite</v>
      </c>
      <c r="B6" s="241"/>
      <c r="C6" s="241" t="str">
        <f>IFERROR(__xludf.DUMMYFUNCTION("""COMPUTED_VALUE"""),"Olho de dragão")</f>
        <v>Olho de dragão</v>
      </c>
      <c r="D6" s="241"/>
      <c r="E6" s="241" t="str">
        <f>IFERROR(__xludf.DUMMYFUNCTION("""COMPUTED_VALUE"""),"Tempestuosa")</f>
        <v>Tempestuosa</v>
      </c>
      <c r="F6" s="241"/>
      <c r="G6" s="241" t="str">
        <f>IFERROR(__xludf.DUMMYFUNCTION("""COMPUTED_VALUE"""),"Sete Estrelas")</f>
        <v>Sete Estrelas</v>
      </c>
      <c r="H6" s="241"/>
      <c r="I6" s="241" t="str">
        <f>IFERROR(__xludf.DUMMYFUNCTION("""COMPUTED_VALUE"""),"Tempestuosa")</f>
        <v>Tempestuosa</v>
      </c>
      <c r="J6" s="241"/>
      <c r="K6" s="241" t="str">
        <f>IFERROR(__xludf.DUMMYFUNCTION("""COMPUTED_VALUE"""),"Olho de dragão")</f>
        <v>Olho de dragão</v>
      </c>
      <c r="L6" s="242"/>
      <c r="M6" s="229" t="str">
        <f>IFERROR(__xludf.DUMMYFUNCTION("""COMPUTED_VALUE"""),"Fortaleza de Gaia")</f>
        <v>Fortaleza de Gaia</v>
      </c>
      <c r="N6" s="241"/>
      <c r="O6" s="241" t="str">
        <f>IFERROR(__xludf.DUMMYFUNCTION("""COMPUTED_VALUE"""),"Fortaleza de Gaia")</f>
        <v>Fortaleza de Gaia</v>
      </c>
      <c r="P6" s="241"/>
      <c r="Q6" s="241" t="str">
        <f>IFERROR(__xludf.DUMMYFUNCTION("""COMPUTED_VALUE"""),"Fortaleza de Gaia")</f>
        <v>Fortaleza de Gaia</v>
      </c>
      <c r="R6" s="241"/>
      <c r="S6" s="241" t="str">
        <f>IFERROR(__xludf.DUMMYFUNCTION("""COMPUTED_VALUE"""),"Life Vest")</f>
        <v>Life Vest</v>
      </c>
      <c r="T6" s="241"/>
      <c r="U6" s="241" t="str">
        <f>IFERROR(__xludf.DUMMYFUNCTION("""COMPUTED_VALUE"""),"Revestimento de Couro Pirata")</f>
        <v>Revestimento de Couro Pirata</v>
      </c>
      <c r="V6" s="241"/>
      <c r="W6" s="241" t="str">
        <f>IFERROR(__xludf.DUMMYFUNCTION("""COMPUTED_VALUE"""),"Life Vest")</f>
        <v>Life Vest</v>
      </c>
      <c r="X6" s="242"/>
      <c r="Y6" s="229" t="str">
        <f>IFERROR(__xludf.DUMMYFUNCTION("""COMPUTED_VALUE"""),"Elmo de Guerra de Lu Bu")</f>
        <v>Elmo de Guerra de Lu Bu</v>
      </c>
      <c r="Z6" s="241"/>
      <c r="AA6" s="241" t="str">
        <f>IFERROR(__xludf.DUMMYFUNCTION("""COMPUTED_VALUE"""),"Elmo de Guerra de Lu Bu")</f>
        <v>Elmo de Guerra de Lu Bu</v>
      </c>
      <c r="AB6" s="241"/>
      <c r="AC6" s="241" t="str">
        <f>IFERROR(__xludf.DUMMYFUNCTION("""COMPUTED_VALUE"""),"Elmo de Guerra de Lu Bu")</f>
        <v>Elmo de Guerra de Lu Bu</v>
      </c>
      <c r="AD6" s="241"/>
      <c r="AE6" s="241" t="str">
        <f>IFERROR(__xludf.DUMMYFUNCTION("""COMPUTED_VALUE"""),"Acessório cobra")</f>
        <v>Acessório cobra</v>
      </c>
      <c r="AF6" s="241"/>
      <c r="AG6" s="241" t="str">
        <f>IFERROR(__xludf.DUMMYFUNCTION("""COMPUTED_VALUE"""),"Acessório cobra")</f>
        <v>Acessório cobra</v>
      </c>
      <c r="AH6" s="241"/>
      <c r="AI6" s="241" t="str">
        <f>IFERROR(__xludf.DUMMYFUNCTION("""COMPUTED_VALUE"""),"Acessório cobra")</f>
        <v>Acessório cobra</v>
      </c>
      <c r="AJ6" s="242"/>
    </row>
    <row r="7" hidden="1">
      <c r="A7" s="241" t="str">
        <f>IFERROR(__xludf.DUMMYFUNCTION("""COMPUTED_VALUE"""),"Raio Divino")</f>
        <v>Raio Divino</v>
      </c>
      <c r="B7" s="241"/>
      <c r="C7" s="241" t="str">
        <f>IFERROR(__xludf.DUMMYFUNCTION("""COMPUTED_VALUE"""),"Besta de adamantium")</f>
        <v>Besta de adamantium</v>
      </c>
      <c r="D7" s="241"/>
      <c r="E7" s="241" t="str">
        <f>IFERROR(__xludf.DUMMYFUNCTION("""COMPUTED_VALUE"""),"Balmung")</f>
        <v>Balmung</v>
      </c>
      <c r="F7" s="241"/>
      <c r="G7" s="241" t="str">
        <f>IFERROR(__xludf.DUMMYFUNCTION("""COMPUTED_VALUE"""),"Presa de Dragão")</f>
        <v>Presa de Dragão</v>
      </c>
      <c r="H7" s="241"/>
      <c r="I7" s="241" t="str">
        <f>IFERROR(__xludf.DUMMYFUNCTION("""COMPUTED_VALUE"""),"Balmung")</f>
        <v>Balmung</v>
      </c>
      <c r="J7" s="241"/>
      <c r="K7" s="241" t="str">
        <f>IFERROR(__xludf.DUMMYFUNCTION("""COMPUTED_VALUE"""),"Besta de adamantium")</f>
        <v>Besta de adamantium</v>
      </c>
      <c r="L7" s="242"/>
      <c r="M7" s="241" t="str">
        <f>IFERROR(__xludf.DUMMYFUNCTION("""COMPUTED_VALUE"""),"Armadura Dragônica")</f>
        <v>Armadura Dragônica</v>
      </c>
      <c r="N7" s="241"/>
      <c r="O7" s="241" t="str">
        <f>IFERROR(__xludf.DUMMYFUNCTION("""COMPUTED_VALUE"""),"Armadura Dragônica")</f>
        <v>Armadura Dragônica</v>
      </c>
      <c r="P7" s="241"/>
      <c r="Q7" s="241" t="str">
        <f>IFERROR(__xludf.DUMMYFUNCTION("""COMPUTED_VALUE"""),"Armadura Dragônica")</f>
        <v>Armadura Dragônica</v>
      </c>
      <c r="R7" s="241"/>
      <c r="S7" s="241" t="str">
        <f>IFERROR(__xludf.DUMMYFUNCTION("""COMPUTED_VALUE"""),"Toga Plásmica")</f>
        <v>Toga Plásmica</v>
      </c>
      <c r="T7" s="241"/>
      <c r="U7" s="241" t="str">
        <f>IFERROR(__xludf.DUMMYFUNCTION("""COMPUTED_VALUE"""),"Shadow Lurker")</f>
        <v>Shadow Lurker</v>
      </c>
      <c r="V7" s="241"/>
      <c r="W7" s="241" t="str">
        <f>IFERROR(__xludf.DUMMYFUNCTION("""COMPUTED_VALUE"""),"Toga Plásmica")</f>
        <v>Toga Plásmica</v>
      </c>
      <c r="X7" s="242"/>
      <c r="Y7" s="241" t="str">
        <f>IFERROR(__xludf.DUMMYFUNCTION("""COMPUTED_VALUE"""),"Elmo de Escamas de Dragão")</f>
        <v>Elmo de Escamas de Dragão</v>
      </c>
      <c r="Z7" s="241"/>
      <c r="AA7" s="241" t="str">
        <f>IFERROR(__xludf.DUMMYFUNCTION("""COMPUTED_VALUE"""),"Elmo de Escamas de Dragão")</f>
        <v>Elmo de Escamas de Dragão</v>
      </c>
      <c r="AB7" s="241"/>
      <c r="AC7" s="241" t="str">
        <f>IFERROR(__xludf.DUMMYFUNCTION("""COMPUTED_VALUE"""),"Elmo de Escamas de Dragão")</f>
        <v>Elmo de Escamas de Dragão</v>
      </c>
      <c r="AD7" s="241"/>
      <c r="AE7" s="241" t="str">
        <f>IFERROR(__xludf.DUMMYFUNCTION("""COMPUTED_VALUE"""),"Face demoníaca")</f>
        <v>Face demoníaca</v>
      </c>
      <c r="AF7" s="241"/>
      <c r="AG7" s="241" t="str">
        <f>IFERROR(__xludf.DUMMYFUNCTION("""COMPUTED_VALUE"""),"Face demoníaca")</f>
        <v>Face demoníaca</v>
      </c>
      <c r="AH7" s="241"/>
      <c r="AI7" s="241" t="str">
        <f>IFERROR(__xludf.DUMMYFUNCTION("""COMPUTED_VALUE"""),"Face demoníaca")</f>
        <v>Face demoníaca</v>
      </c>
      <c r="AJ7" s="242"/>
    </row>
    <row r="8" hidden="1">
      <c r="A8" s="241" t="str">
        <f>IFERROR(__xludf.DUMMYFUNCTION("""COMPUTED_VALUE"""),"Pique Fangtiano")</f>
        <v>Pique Fangtiano</v>
      </c>
      <c r="B8" s="241"/>
      <c r="C8" s="241" t="str">
        <f>IFERROR(__xludf.DUMMYFUNCTION("""COMPUTED_VALUE"""),"Besta de repetição")</f>
        <v>Besta de repetição</v>
      </c>
      <c r="D8" s="241"/>
      <c r="E8" s="241" t="str">
        <f>IFERROR(__xludf.DUMMYFUNCTION("""COMPUTED_VALUE"""),"Mata-Dragão")</f>
        <v>Mata-Dragão</v>
      </c>
      <c r="F8" s="241"/>
      <c r="G8" s="241" t="str">
        <f>IFERROR(__xludf.DUMMYFUNCTION("""COMPUTED_VALUE"""),"Punhal Indiano")</f>
        <v>Punhal Indiano</v>
      </c>
      <c r="H8" s="241"/>
      <c r="I8" s="241" t="str">
        <f>IFERROR(__xludf.DUMMYFUNCTION("""COMPUTED_VALUE"""),"Mata-Dragão")</f>
        <v>Mata-Dragão</v>
      </c>
      <c r="J8" s="241"/>
      <c r="K8" s="241" t="str">
        <f>IFERROR(__xludf.DUMMYFUNCTION("""COMPUTED_VALUE"""),"Besta de repetição")</f>
        <v>Besta de repetição</v>
      </c>
      <c r="L8" s="242"/>
      <c r="M8" s="241" t="str">
        <f>IFERROR(__xludf.DUMMYFUNCTION("""COMPUTED_VALUE"""),"Malha da Terra")</f>
        <v>Malha da Terra</v>
      </c>
      <c r="N8" s="241"/>
      <c r="O8" s="241" t="str">
        <f>IFERROR(__xludf.DUMMYFUNCTION("""COMPUTED_VALUE"""),"Malha da Terra")</f>
        <v>Malha da Terra</v>
      </c>
      <c r="P8" s="241"/>
      <c r="Q8" s="241" t="str">
        <f>IFERROR(__xludf.DUMMYFUNCTION("""COMPUTED_VALUE"""),"Malha da Terra")</f>
        <v>Malha da Terra</v>
      </c>
      <c r="R8" s="241"/>
      <c r="S8" s="241" t="str">
        <f>IFERROR(__xludf.DUMMYFUNCTION("""COMPUTED_VALUE"""),"Toga do Arquimago")</f>
        <v>Toga do Arquimago</v>
      </c>
      <c r="T8" s="241"/>
      <c r="U8" s="241" t="str">
        <f>IFERROR(__xludf.DUMMYFUNCTION("""COMPUTED_VALUE"""),"Pele de Dragão")</f>
        <v>Pele de Dragão</v>
      </c>
      <c r="V8" s="241"/>
      <c r="W8" s="241" t="str">
        <f>IFERROR(__xludf.DUMMYFUNCTION("""COMPUTED_VALUE"""),"Toga do Arquimago")</f>
        <v>Toga do Arquimago</v>
      </c>
      <c r="X8" s="242"/>
      <c r="Y8" s="241" t="str">
        <f>IFERROR(__xludf.DUMMYFUNCTION("""COMPUTED_VALUE"""),"Coroa de Korra")</f>
        <v>Coroa de Korra</v>
      </c>
      <c r="Z8" s="241"/>
      <c r="AA8" s="241" t="str">
        <f>IFERROR(__xludf.DUMMYFUNCTION("""COMPUTED_VALUE"""),"Coroa de Korra")</f>
        <v>Coroa de Korra</v>
      </c>
      <c r="AB8" s="241"/>
      <c r="AC8" s="241" t="str">
        <f>IFERROR(__xludf.DUMMYFUNCTION("""COMPUTED_VALUE"""),"Coroa de Korra")</f>
        <v>Coroa de Korra</v>
      </c>
      <c r="AD8" s="241"/>
      <c r="AE8" s="241" t="str">
        <f>IFERROR(__xludf.DUMMYFUNCTION("""COMPUTED_VALUE"""),"Diadema Condenado")</f>
        <v>Diadema Condenado</v>
      </c>
      <c r="AF8" s="241"/>
      <c r="AG8" s="241" t="str">
        <f>IFERROR(__xludf.DUMMYFUNCTION("""COMPUTED_VALUE"""),"Diadema Condenado")</f>
        <v>Diadema Condenado</v>
      </c>
      <c r="AH8" s="241"/>
      <c r="AI8" s="241" t="str">
        <f>IFERROR(__xludf.DUMMYFUNCTION("""COMPUTED_VALUE"""),"Diadema Condenado")</f>
        <v>Diadema Condenado</v>
      </c>
      <c r="AJ8" s="242"/>
    </row>
    <row r="9" hidden="1">
      <c r="A9" s="241" t="str">
        <f>IFERROR(__xludf.DUMMYFUNCTION("""COMPUTED_VALUE"""),"Alabarda de Obsidiana")</f>
        <v>Alabarda de Obsidiana</v>
      </c>
      <c r="B9" s="241"/>
      <c r="C9" s="241" t="str">
        <f>IFERROR(__xludf.DUMMYFUNCTION("""COMPUTED_VALUE"""),"Arco dos elfos")</f>
        <v>Arco dos elfos</v>
      </c>
      <c r="D9" s="241"/>
      <c r="E9" s="241" t="str">
        <f>IFERROR(__xludf.DUMMYFUNCTION("""COMPUTED_VALUE"""),"Lâmina do Fogo-gelo")</f>
        <v>Lâmina do Fogo-gelo</v>
      </c>
      <c r="F9" s="241"/>
      <c r="G9" s="241" t="str">
        <f>IFERROR(__xludf.DUMMYFUNCTION("""COMPUTED_VALUE"""),"Adaga de Obsidiana")</f>
        <v>Adaga de Obsidiana</v>
      </c>
      <c r="H9" s="241"/>
      <c r="I9" s="241" t="str">
        <f>IFERROR(__xludf.DUMMYFUNCTION("""COMPUTED_VALUE"""),"Lâmina do Fogo-gelo")</f>
        <v>Lâmina do Fogo-gelo</v>
      </c>
      <c r="J9" s="241"/>
      <c r="K9" s="241" t="str">
        <f>IFERROR(__xludf.DUMMYFUNCTION("""COMPUTED_VALUE"""),"Arco dos elfos")</f>
        <v>Arco dos elfos</v>
      </c>
      <c r="L9" s="242"/>
      <c r="M9" s="241" t="str">
        <f>IFERROR(__xludf.DUMMYFUNCTION("""COMPUTED_VALUE"""),"Armadura do Oráculo")</f>
        <v>Armadura do Oráculo</v>
      </c>
      <c r="N9" s="241"/>
      <c r="O9" s="241" t="str">
        <f>IFERROR(__xludf.DUMMYFUNCTION("""COMPUTED_VALUE"""),"Armadura do Oráculo")</f>
        <v>Armadura do Oráculo</v>
      </c>
      <c r="P9" s="241"/>
      <c r="Q9" s="241" t="str">
        <f>IFERROR(__xludf.DUMMYFUNCTION("""COMPUTED_VALUE"""),"Armadura do Oráculo")</f>
        <v>Armadura do Oráculo</v>
      </c>
      <c r="R9" s="241"/>
      <c r="S9" s="241" t="str">
        <f>IFERROR(__xludf.DUMMYFUNCTION("""COMPUTED_VALUE"""),"Veste do Dragão ")</f>
        <v>Veste do Dragão </v>
      </c>
      <c r="T9" s="241"/>
      <c r="U9" s="241" t="str">
        <f>IFERROR(__xludf.DUMMYFUNCTION("""COMPUTED_VALUE"""),"Vampire Hunter")</f>
        <v>Vampire Hunter</v>
      </c>
      <c r="V9" s="241"/>
      <c r="W9" s="241" t="str">
        <f>IFERROR(__xludf.DUMMYFUNCTION("""COMPUTED_VALUE"""),"Veste do Dragão ")</f>
        <v>Veste do Dragão </v>
      </c>
      <c r="X9" s="242"/>
      <c r="Y9" s="241" t="str">
        <f>IFERROR(__xludf.DUMMYFUNCTION("""COMPUTED_VALUE"""),"Elmo de Adamantium")</f>
        <v>Elmo de Adamantium</v>
      </c>
      <c r="Z9" s="241"/>
      <c r="AA9" s="241" t="str">
        <f>IFERROR(__xludf.DUMMYFUNCTION("""COMPUTED_VALUE"""),"Elmo de Adamantium")</f>
        <v>Elmo de Adamantium</v>
      </c>
      <c r="AB9" s="241"/>
      <c r="AC9" s="241" t="str">
        <f>IFERROR(__xludf.DUMMYFUNCTION("""COMPUTED_VALUE"""),"Elmo de Adamantium")</f>
        <v>Elmo de Adamantium</v>
      </c>
      <c r="AD9" s="241"/>
      <c r="AE9" s="241" t="str">
        <f>IFERROR(__xludf.DUMMYFUNCTION("""COMPUTED_VALUE"""),"Medley Floral")</f>
        <v>Medley Floral</v>
      </c>
      <c r="AF9" s="241"/>
      <c r="AG9" s="241" t="str">
        <f>IFERROR(__xludf.DUMMYFUNCTION("""COMPUTED_VALUE"""),"Medley Floral")</f>
        <v>Medley Floral</v>
      </c>
      <c r="AH9" s="241"/>
      <c r="AI9" s="241" t="str">
        <f>IFERROR(__xludf.DUMMYFUNCTION("""COMPUTED_VALUE"""),"Medley Floral")</f>
        <v>Medley Floral</v>
      </c>
      <c r="AJ9" s="242"/>
    </row>
    <row r="10" hidden="1">
      <c r="A10" s="241" t="str">
        <f>IFERROR(__xludf.DUMMYFUNCTION("""COMPUTED_VALUE"""),"Tridente Primordial")</f>
        <v>Tridente Primordial</v>
      </c>
      <c r="B10" s="241"/>
      <c r="C10" s="241" t="str">
        <f>IFERROR(__xludf.DUMMYFUNCTION("""COMPUTED_VALUE"""),"Arco do deus do sol")</f>
        <v>Arco do deus do sol</v>
      </c>
      <c r="D10" s="241"/>
      <c r="E10" s="241" t="str">
        <f>IFERROR(__xludf.DUMMYFUNCTION("""COMPUTED_VALUE"""),"Durindana")</f>
        <v>Durindana</v>
      </c>
      <c r="F10" s="241"/>
      <c r="G10" s="241" t="str">
        <f>IFERROR(__xludf.DUMMYFUNCTION("""COMPUTED_VALUE"""),"Canivete Afótico")</f>
        <v>Canivete Afótico</v>
      </c>
      <c r="H10" s="241"/>
      <c r="I10" s="241" t="str">
        <f>IFERROR(__xludf.DUMMYFUNCTION("""COMPUTED_VALUE"""),"Durindana")</f>
        <v>Durindana</v>
      </c>
      <c r="J10" s="241"/>
      <c r="K10" s="241" t="str">
        <f>IFERROR(__xludf.DUMMYFUNCTION("""COMPUTED_VALUE"""),"Arco do deus do sol")</f>
        <v>Arco do deus do sol</v>
      </c>
      <c r="L10" s="242"/>
      <c r="M10" s="241" t="str">
        <f>IFERROR(__xludf.DUMMYFUNCTION("""COMPUTED_VALUE"""),"Malha negra")</f>
        <v>Malha negra</v>
      </c>
      <c r="N10" s="241"/>
      <c r="O10" s="241" t="str">
        <f>IFERROR(__xludf.DUMMYFUNCTION("""COMPUTED_VALUE"""),"Malha negra")</f>
        <v>Malha negra</v>
      </c>
      <c r="P10" s="241"/>
      <c r="Q10" s="241" t="str">
        <f>IFERROR(__xludf.DUMMYFUNCTION("""COMPUTED_VALUE"""),"Malha negra")</f>
        <v>Malha negra</v>
      </c>
      <c r="R10" s="241"/>
      <c r="S10" s="241" t="str">
        <f>IFERROR(__xludf.DUMMYFUNCTION("""COMPUTED_VALUE"""),"Dublê de Mago")</f>
        <v>Dublê de Mago</v>
      </c>
      <c r="T10" s="241"/>
      <c r="U10" s="241" t="str">
        <f>IFERROR(__xludf.DUMMYFUNCTION("""COMPUTED_VALUE"""),"Couro do Oceano")</f>
        <v>Couro do Oceano</v>
      </c>
      <c r="V10" s="241"/>
      <c r="W10" s="241" t="str">
        <f>IFERROR(__xludf.DUMMYFUNCTION("""COMPUTED_VALUE"""),"Dublê de Mago")</f>
        <v>Dublê de Mago</v>
      </c>
      <c r="X10" s="242"/>
      <c r="Y10" s="241" t="str">
        <f>IFERROR(__xludf.DUMMYFUNCTION("""COMPUTED_VALUE"""),"Barbuta de Fogo-Gelo")</f>
        <v>Barbuta de Fogo-Gelo</v>
      </c>
      <c r="Z10" s="241"/>
      <c r="AA10" s="241" t="str">
        <f>IFERROR(__xludf.DUMMYFUNCTION("""COMPUTED_VALUE"""),"Barbuta de Fogo-Gelo")</f>
        <v>Barbuta de Fogo-Gelo</v>
      </c>
      <c r="AB10" s="241"/>
      <c r="AC10" s="241" t="str">
        <f>IFERROR(__xludf.DUMMYFUNCTION("""COMPUTED_VALUE"""),"Barbuta de Fogo-Gelo")</f>
        <v>Barbuta de Fogo-Gelo</v>
      </c>
      <c r="AD10" s="241"/>
      <c r="AE10" s="241" t="str">
        <f>IFERROR(__xludf.DUMMYFUNCTION("""COMPUTED_VALUE"""),"Capuz do cultista")</f>
        <v>Capuz do cultista</v>
      </c>
      <c r="AF10" s="241"/>
      <c r="AG10" s="241" t="str">
        <f>IFERROR(__xludf.DUMMYFUNCTION("""COMPUTED_VALUE"""),"Capuz do cultista")</f>
        <v>Capuz do cultista</v>
      </c>
      <c r="AH10" s="241"/>
      <c r="AI10" s="241" t="str">
        <f>IFERROR(__xludf.DUMMYFUNCTION("""COMPUTED_VALUE"""),"Capuz do cultista")</f>
        <v>Capuz do cultista</v>
      </c>
      <c r="AJ10" s="242"/>
    </row>
    <row r="11" hidden="1">
      <c r="A11" s="241" t="str">
        <f>IFERROR(__xludf.DUMMYFUNCTION("""COMPUTED_VALUE"""),"Gungnir")</f>
        <v>Gungnir</v>
      </c>
      <c r="B11" s="241"/>
      <c r="C11" s="241" t="str">
        <f>IFERROR(__xludf.DUMMYFUNCTION("""COMPUTED_VALUE"""),"Fura-Vento")</f>
        <v>Fura-Vento</v>
      </c>
      <c r="D11" s="241"/>
      <c r="E11" s="241" t="str">
        <f>IFERROR(__xludf.DUMMYFUNCTION("""COMPUTED_VALUE"""),"Cyberblade da Internet")</f>
        <v>Cyberblade da Internet</v>
      </c>
      <c r="F11" s="241"/>
      <c r="G11" s="241" t="str">
        <f>IFERROR(__xludf.DUMMYFUNCTION("""COMPUTED_VALUE"""),"Adaga Primordial")</f>
        <v>Adaga Primordial</v>
      </c>
      <c r="H11" s="241"/>
      <c r="I11" s="241" t="str">
        <f>IFERROR(__xludf.DUMMYFUNCTION("""COMPUTED_VALUE"""),"Cyberblade da Internet")</f>
        <v>Cyberblade da Internet</v>
      </c>
      <c r="J11" s="241"/>
      <c r="K11" s="241" t="str">
        <f>IFERROR(__xludf.DUMMYFUNCTION("""COMPUTED_VALUE"""),"Fura-Vento")</f>
        <v>Fura-Vento</v>
      </c>
      <c r="L11" s="242"/>
      <c r="M11" s="241" t="str">
        <f>IFERROR(__xludf.DUMMYFUNCTION("""COMPUTED_VALUE"""),"Wyvern Plate")</f>
        <v>Wyvern Plate</v>
      </c>
      <c r="N11" s="241"/>
      <c r="O11" s="241" t="str">
        <f>IFERROR(__xludf.DUMMYFUNCTION("""COMPUTED_VALUE"""),"Wyvern Plate")</f>
        <v>Wyvern Plate</v>
      </c>
      <c r="P11" s="241"/>
      <c r="Q11" s="241" t="str">
        <f>IFERROR(__xludf.DUMMYFUNCTION("""COMPUTED_VALUE"""),"Wyvern Plate")</f>
        <v>Wyvern Plate</v>
      </c>
      <c r="R11" s="241"/>
      <c r="S11" s="241" t="str">
        <f>IFERROR(__xludf.DUMMYFUNCTION("""COMPUTED_VALUE"""),"Holy Tunic")</f>
        <v>Holy Tunic</v>
      </c>
      <c r="T11" s="241"/>
      <c r="U11" s="241" t="str">
        <f>IFERROR(__xludf.DUMMYFUNCTION("""COMPUTED_VALUE"""),"Colete Místico")</f>
        <v>Colete Místico</v>
      </c>
      <c r="V11" s="241"/>
      <c r="W11" s="241" t="str">
        <f>IFERROR(__xludf.DUMMYFUNCTION("""COMPUTED_VALUE"""),"Holy Tunic")</f>
        <v>Holy Tunic</v>
      </c>
      <c r="X11" s="242"/>
      <c r="Y11" s="241" t="str">
        <f>IFERROR(__xludf.DUMMYFUNCTION("""COMPUTED_VALUE"""),"Inteligência Artifical")</f>
        <v>Inteligência Artifical</v>
      </c>
      <c r="Z11" s="241"/>
      <c r="AA11" s="241" t="str">
        <f>IFERROR(__xludf.DUMMYFUNCTION("""COMPUTED_VALUE"""),"Inteligência Artifical")</f>
        <v>Inteligência Artifical</v>
      </c>
      <c r="AB11" s="241"/>
      <c r="AC11" s="241" t="str">
        <f>IFERROR(__xludf.DUMMYFUNCTION("""COMPUTED_VALUE"""),"Inteligência Artifical")</f>
        <v>Inteligência Artifical</v>
      </c>
      <c r="AD11" s="241"/>
      <c r="AE11" s="241" t="str">
        <f>IFERROR(__xludf.DUMMYFUNCTION("""COMPUTED_VALUE"""),"Chapéu Ártico")</f>
        <v>Chapéu Ártico</v>
      </c>
      <c r="AF11" s="241"/>
      <c r="AG11" s="241" t="str">
        <f>IFERROR(__xludf.DUMMYFUNCTION("""COMPUTED_VALUE"""),"Chapéu Ártico")</f>
        <v>Chapéu Ártico</v>
      </c>
      <c r="AH11" s="241"/>
      <c r="AI11" s="241" t="str">
        <f>IFERROR(__xludf.DUMMYFUNCTION("""COMPUTED_VALUE"""),"Chapéu Ártico")</f>
        <v>Chapéu Ártico</v>
      </c>
      <c r="AJ11" s="242"/>
    </row>
    <row r="12" hidden="1">
      <c r="A12" s="241" t="str">
        <f>IFERROR(__xludf.DUMMYFUNCTION("""COMPUTED_VALUE"""),"Perfurador Abrasador")</f>
        <v>Perfurador Abrasador</v>
      </c>
      <c r="B12" s="241"/>
      <c r="C12" s="241" t="str">
        <f>IFERROR(__xludf.DUMMYFUNCTION("""COMPUTED_VALUE"""),"Assassino licantropo")</f>
        <v>Assassino licantropo</v>
      </c>
      <c r="D12" s="241"/>
      <c r="E12" s="241" t="str">
        <f>IFERROR(__xludf.DUMMYFUNCTION("""COMPUTED_VALUE"""),"Skofnung")</f>
        <v>Skofnung</v>
      </c>
      <c r="F12" s="241"/>
      <c r="G12" s="241" t="str">
        <f>IFERROR(__xludf.DUMMYFUNCTION("""COMPUTED_VALUE"""),"Mistilteinn")</f>
        <v>Mistilteinn</v>
      </c>
      <c r="H12" s="241"/>
      <c r="I12" s="241" t="str">
        <f>IFERROR(__xludf.DUMMYFUNCTION("""COMPUTED_VALUE"""),"Skofnung")</f>
        <v>Skofnung</v>
      </c>
      <c r="J12" s="241"/>
      <c r="K12" s="241" t="str">
        <f>IFERROR(__xludf.DUMMYFUNCTION("""COMPUTED_VALUE"""),"Assassino licantropo")</f>
        <v>Assassino licantropo</v>
      </c>
      <c r="L12" s="242"/>
      <c r="M12" s="241" t="str">
        <f>IFERROR(__xludf.DUMMYFUNCTION("""COMPUTED_VALUE"""),"Guaxinim Guardião")</f>
        <v>Guaxinim Guardião</v>
      </c>
      <c r="N12" s="241"/>
      <c r="O12" s="241" t="str">
        <f>IFERROR(__xludf.DUMMYFUNCTION("""COMPUTED_VALUE"""),"Capa do Gelo")</f>
        <v>Capa do Gelo</v>
      </c>
      <c r="P12" s="241"/>
      <c r="Q12" s="241" t="str">
        <f>IFERROR(__xludf.DUMMYFUNCTION("""COMPUTED_VALUE"""),"Capa do Gelo")</f>
        <v>Capa do Gelo</v>
      </c>
      <c r="R12" s="241"/>
      <c r="S12" s="241" t="str">
        <f>IFERROR(__xludf.DUMMYFUNCTION("""COMPUTED_VALUE"""),"Toga da Alvorada")</f>
        <v>Toga da Alvorada</v>
      </c>
      <c r="T12" s="241"/>
      <c r="U12" s="241" t="str">
        <f>IFERROR(__xludf.DUMMYFUNCTION("""COMPUTED_VALUE"""),"Esmeralda Marcha")</f>
        <v>Esmeralda Marcha</v>
      </c>
      <c r="V12" s="241"/>
      <c r="W12" s="241" t="str">
        <f>IFERROR(__xludf.DUMMYFUNCTION("""COMPUTED_VALUE"""),"Toga da Alvorada")</f>
        <v>Toga da Alvorada</v>
      </c>
      <c r="X12" s="242"/>
      <c r="Y12" s="241" t="str">
        <f>IFERROR(__xludf.DUMMYFUNCTION("""COMPUTED_VALUE"""),"Elmo de Jade")</f>
        <v>Elmo de Jade</v>
      </c>
      <c r="Z12" s="241"/>
      <c r="AA12" s="241" t="str">
        <f>IFERROR(__xludf.DUMMYFUNCTION("""COMPUTED_VALUE"""),"Elmo de Jade")</f>
        <v>Elmo de Jade</v>
      </c>
      <c r="AB12" s="241"/>
      <c r="AC12" s="241" t="str">
        <f>IFERROR(__xludf.DUMMYFUNCTION("""COMPUTED_VALUE"""),"Elmo de Jade")</f>
        <v>Elmo de Jade</v>
      </c>
      <c r="AD12" s="241"/>
      <c r="AE12" s="241" t="str">
        <f>IFERROR(__xludf.DUMMYFUNCTION("""COMPUTED_VALUE"""),"Tiara real")</f>
        <v>Tiara real</v>
      </c>
      <c r="AF12" s="241"/>
      <c r="AG12" s="241" t="str">
        <f>IFERROR(__xludf.DUMMYFUNCTION("""COMPUTED_VALUE"""),"Tiara real")</f>
        <v>Tiara real</v>
      </c>
      <c r="AH12" s="241"/>
      <c r="AI12" s="241" t="str">
        <f>IFERROR(__xludf.DUMMYFUNCTION("""COMPUTED_VALUE"""),"Tiara real")</f>
        <v>Tiara real</v>
      </c>
      <c r="AJ12" s="242"/>
    </row>
    <row r="13" hidden="1">
      <c r="A13" s="241" t="str">
        <f>IFERROR(__xludf.DUMMYFUNCTION("""COMPUTED_VALUE"""),"Rebelião")</f>
        <v>Rebelião</v>
      </c>
      <c r="B13" s="241"/>
      <c r="C13" s="241" t="str">
        <f>IFERROR(__xludf.DUMMYFUNCTION("""COMPUTED_VALUE"""),"Arco de Artemisa")</f>
        <v>Arco de Artemisa</v>
      </c>
      <c r="D13" s="241"/>
      <c r="E13" s="241" t="str">
        <f>IFERROR(__xludf.DUMMYFUNCTION("""COMPUTED_VALUE"""),"Olhar Sinistro")</f>
        <v>Olhar Sinistro</v>
      </c>
      <c r="F13" s="241"/>
      <c r="G13" s="241" t="str">
        <f>IFERROR(__xludf.DUMMYFUNCTION("""COMPUTED_VALUE"""),"Rifle")</f>
        <v>Rifle</v>
      </c>
      <c r="H13" s="241"/>
      <c r="I13" s="241" t="str">
        <f>IFERROR(__xludf.DUMMYFUNCTION("""COMPUTED_VALUE"""),"Olhar Sinistro")</f>
        <v>Olhar Sinistro</v>
      </c>
      <c r="J13" s="241"/>
      <c r="K13" s="241" t="str">
        <f>IFERROR(__xludf.DUMMYFUNCTION("""COMPUTED_VALUE"""),"Arco de Artemisa")</f>
        <v>Arco de Artemisa</v>
      </c>
      <c r="L13" s="242"/>
      <c r="M13" s="241" t="str">
        <f>IFERROR(__xludf.DUMMYFUNCTION("""COMPUTED_VALUE"""),"Veste Revestida")</f>
        <v>Veste Revestida</v>
      </c>
      <c r="N13" s="241"/>
      <c r="O13" s="241" t="str">
        <f>IFERROR(__xludf.DUMMYFUNCTION("""COMPUTED_VALUE"""),"Toga do Mago")</f>
        <v>Toga do Mago</v>
      </c>
      <c r="P13" s="241"/>
      <c r="Q13" s="241" t="str">
        <f>IFERROR(__xludf.DUMMYFUNCTION("""COMPUTED_VALUE"""),"Toga do Mago")</f>
        <v>Toga do Mago</v>
      </c>
      <c r="R13" s="241"/>
      <c r="S13" s="241" t="str">
        <f>IFERROR(__xludf.DUMMYFUNCTION("""COMPUTED_VALUE"""),"Celtic Coat")</f>
        <v>Celtic Coat</v>
      </c>
      <c r="T13" s="241"/>
      <c r="U13" s="241" t="str">
        <f>IFERROR(__xludf.DUMMYFUNCTION("""COMPUTED_VALUE"""),"Corvo Negro")</f>
        <v>Corvo Negro</v>
      </c>
      <c r="V13" s="241"/>
      <c r="W13" s="241" t="str">
        <f>IFERROR(__xludf.DUMMYFUNCTION("""COMPUTED_VALUE"""),"Celtic Coat")</f>
        <v>Celtic Coat</v>
      </c>
      <c r="X13" s="242"/>
      <c r="Y13" s="241" t="str">
        <f>IFERROR(__xludf.DUMMYFUNCTION("""COMPUTED_VALUE"""),"Viper Headdress")</f>
        <v>Viper Headdress</v>
      </c>
      <c r="Z13" s="241"/>
      <c r="AA13" s="241" t="str">
        <f>IFERROR(__xludf.DUMMYFUNCTION("""COMPUTED_VALUE"""),"Viper Headdress")</f>
        <v>Viper Headdress</v>
      </c>
      <c r="AB13" s="241"/>
      <c r="AC13" s="241" t="str">
        <f>IFERROR(__xludf.DUMMYFUNCTION("""COMPUTED_VALUE"""),"Viper Headdress")</f>
        <v>Viper Headdress</v>
      </c>
      <c r="AD13" s="241"/>
      <c r="AE13" s="241" t="str">
        <f>IFERROR(__xludf.DUMMYFUNCTION("""COMPUTED_VALUE"""),"Coroa do subterrâneo")</f>
        <v>Coroa do subterrâneo</v>
      </c>
      <c r="AF13" s="241"/>
      <c r="AG13" s="241" t="str">
        <f>IFERROR(__xludf.DUMMYFUNCTION("""COMPUTED_VALUE"""),"Coroa do subterrâneo")</f>
        <v>Coroa do subterrâneo</v>
      </c>
      <c r="AH13" s="241"/>
      <c r="AI13" s="241" t="str">
        <f>IFERROR(__xludf.DUMMYFUNCTION("""COMPUTED_VALUE"""),"Coroa do subterrâneo")</f>
        <v>Coroa do subterrâneo</v>
      </c>
      <c r="AJ13" s="242"/>
    </row>
    <row r="14" hidden="1">
      <c r="A14" s="241" t="str">
        <f>IFERROR(__xludf.DUMMYFUNCTION("""COMPUTED_VALUE"""),"Scorpion Tail")</f>
        <v>Scorpion Tail</v>
      </c>
      <c r="B14" s="241"/>
      <c r="C14" s="241" t="str">
        <f>IFERROR(__xludf.DUMMYFUNCTION("""COMPUTED_VALUE"""),"Meteoros")</f>
        <v>Meteoros</v>
      </c>
      <c r="D14" s="241"/>
      <c r="E14" s="241" t="str">
        <f>IFERROR(__xludf.DUMMYFUNCTION("""COMPUTED_VALUE"""),"Ponta Perseguidora")</f>
        <v>Ponta Perseguidora</v>
      </c>
      <c r="F14" s="241"/>
      <c r="G14" s="241" t="str">
        <f>IFERROR(__xludf.DUMMYFUNCTION("""COMPUTED_VALUE"""),"Espingarda Negra")</f>
        <v>Espingarda Negra</v>
      </c>
      <c r="H14" s="241"/>
      <c r="I14" s="241" t="str">
        <f>IFERROR(__xludf.DUMMYFUNCTION("""COMPUTED_VALUE"""),"Adaga Branca")</f>
        <v>Adaga Branca</v>
      </c>
      <c r="J14" s="241"/>
      <c r="K14" s="241" t="str">
        <f>IFERROR(__xludf.DUMMYFUNCTION("""COMPUTED_VALUE"""),"Meteoros")</f>
        <v>Meteoros</v>
      </c>
      <c r="L14" s="242"/>
      <c r="M14" s="241" t="str">
        <f>IFERROR(__xludf.DUMMYFUNCTION("""COMPUTED_VALUE"""),"Couro com óleo")</f>
        <v>Couro com óleo</v>
      </c>
      <c r="N14" s="241"/>
      <c r="O14" s="241" t="str">
        <f>IFERROR(__xludf.DUMMYFUNCTION("""COMPUTED_VALUE"""),"Poseidon's Toga")</f>
        <v>Poseidon's Toga</v>
      </c>
      <c r="P14" s="241"/>
      <c r="Q14" s="241" t="str">
        <f>IFERROR(__xludf.DUMMYFUNCTION("""COMPUTED_VALUE"""),"Poseidon's Toga")</f>
        <v>Poseidon's Toga</v>
      </c>
      <c r="R14" s="241"/>
      <c r="S14" s="241" t="str">
        <f>IFERROR(__xludf.DUMMYFUNCTION("""COMPUTED_VALUE"""),"Guaxinim Guardião")</f>
        <v>Guaxinim Guardião</v>
      </c>
      <c r="T14" s="241"/>
      <c r="U14" s="241" t="str">
        <f>IFERROR(__xludf.DUMMYFUNCTION("""COMPUTED_VALUE"""),"Couraça Real")</f>
        <v>Couraça Real</v>
      </c>
      <c r="V14" s="241"/>
      <c r="W14" s="241" t="str">
        <f>IFERROR(__xludf.DUMMYFUNCTION("""COMPUTED_VALUE"""),"Guaxinim Guardião")</f>
        <v>Guaxinim Guardião</v>
      </c>
      <c r="X14" s="242"/>
      <c r="Y14" s="241" t="str">
        <f>IFERROR(__xludf.DUMMYFUNCTION("""COMPUTED_VALUE"""),"Coroa Serrilhada")</f>
        <v>Coroa Serrilhada</v>
      </c>
      <c r="Z14" s="241"/>
      <c r="AA14" s="241" t="str">
        <f>IFERROR(__xludf.DUMMYFUNCTION("""COMPUTED_VALUE"""),"Coroa Serrilhada")</f>
        <v>Coroa Serrilhada</v>
      </c>
      <c r="AB14" s="241"/>
      <c r="AC14" s="241" t="str">
        <f>IFERROR(__xludf.DUMMYFUNCTION("""COMPUTED_VALUE"""),"Coroa Serrilhada")</f>
        <v>Coroa Serrilhada</v>
      </c>
      <c r="AD14" s="241"/>
      <c r="AE14" s="241" t="str">
        <f>IFERROR(__xludf.DUMMYFUNCTION("""COMPUTED_VALUE"""),"Chapéu Carangueijo")</f>
        <v>Chapéu Carangueijo</v>
      </c>
      <c r="AF14" s="241"/>
      <c r="AG14" s="241" t="str">
        <f>IFERROR(__xludf.DUMMYFUNCTION("""COMPUTED_VALUE"""),"Chapéu Carangueijo")</f>
        <v>Chapéu Carangueijo</v>
      </c>
      <c r="AH14" s="241"/>
      <c r="AI14" s="241" t="str">
        <f>IFERROR(__xludf.DUMMYFUNCTION("""COMPUTED_VALUE"""),"Chapéu Carangueijo")</f>
        <v>Chapéu Carangueijo</v>
      </c>
      <c r="AJ14" s="242"/>
    </row>
    <row r="15" hidden="1">
      <c r="A15" s="241" t="str">
        <f>IFERROR(__xludf.DUMMYFUNCTION("""COMPUTED_VALUE"""),"Tiamat")</f>
        <v>Tiamat</v>
      </c>
      <c r="B15" s="241"/>
      <c r="C15" s="241" t="str">
        <f>IFERROR(__xludf.DUMMYFUNCTION("""COMPUTED_VALUE"""),"Fúria da Natureza")</f>
        <v>Fúria da Natureza</v>
      </c>
      <c r="D15" s="241"/>
      <c r="E15" s="241" t="str">
        <f>IFERROR(__xludf.DUMMYFUNCTION("""COMPUTED_VALUE"""),"Ponta de Veneno")</f>
        <v>Ponta de Veneno</v>
      </c>
      <c r="F15" s="241"/>
      <c r="G15" s="241" t="str">
        <f>IFERROR(__xludf.DUMMYFUNCTION("""COMPUTED_VALUE"""),"Conquistador")</f>
        <v>Conquistador</v>
      </c>
      <c r="H15" s="241"/>
      <c r="I15" s="241" t="str">
        <f>IFERROR(__xludf.DUMMYFUNCTION("""COMPUTED_VALUE"""),"Coração Rubro")</f>
        <v>Coração Rubro</v>
      </c>
      <c r="J15" s="241"/>
      <c r="K15" s="241" t="str">
        <f>IFERROR(__xludf.DUMMYFUNCTION("""COMPUTED_VALUE"""),"Fúria da Natureza")</f>
        <v>Fúria da Natureza</v>
      </c>
      <c r="L15" s="242"/>
      <c r="M15" s="241" t="str">
        <f>IFERROR(__xludf.DUMMYFUNCTION("""COMPUTED_VALUE"""),"Pele de Serpente")</f>
        <v>Pele de Serpente</v>
      </c>
      <c r="N15" s="241"/>
      <c r="O15" s="241" t="str">
        <f>IFERROR(__xludf.DUMMYFUNCTION("""COMPUTED_VALUE"""),"Traje de Tempestade")</f>
        <v>Traje de Tempestade</v>
      </c>
      <c r="P15" s="241"/>
      <c r="Q15" s="241" t="str">
        <f>IFERROR(__xludf.DUMMYFUNCTION("""COMPUTED_VALUE"""),"Traje de Tempestade")</f>
        <v>Traje de Tempestade</v>
      </c>
      <c r="R15" s="241"/>
      <c r="S15" s="241" t="str">
        <f>IFERROR(__xludf.DUMMYFUNCTION("""COMPUTED_VALUE"""),"Veste Revestida")</f>
        <v>Veste Revestida</v>
      </c>
      <c r="T15" s="241"/>
      <c r="U15" s="241" t="str">
        <f>IFERROR(__xludf.DUMMYFUNCTION("""COMPUTED_VALUE"""),"Invincible Scales")</f>
        <v>Invincible Scales</v>
      </c>
      <c r="V15" s="241"/>
      <c r="W15" s="241" t="str">
        <f>IFERROR(__xludf.DUMMYFUNCTION("""COMPUTED_VALUE"""),"Veste Revestida")</f>
        <v>Veste Revestida</v>
      </c>
      <c r="X15" s="242"/>
      <c r="Y15" s="241"/>
      <c r="Z15" s="241"/>
      <c r="AA15" s="241"/>
      <c r="AB15" s="241"/>
      <c r="AC15" s="241"/>
      <c r="AD15" s="241"/>
      <c r="AE15" s="241" t="str">
        <f>IFERROR(__xludf.DUMMYFUNCTION("""COMPUTED_VALUE"""),"Capô de Guerra")</f>
        <v>Capô de Guerra</v>
      </c>
      <c r="AF15" s="241"/>
      <c r="AG15" s="241" t="str">
        <f>IFERROR(__xludf.DUMMYFUNCTION("""COMPUTED_VALUE"""),"Capô de Guerra")</f>
        <v>Capô de Guerra</v>
      </c>
      <c r="AH15" s="241"/>
      <c r="AI15" s="241" t="str">
        <f>IFERROR(__xludf.DUMMYFUNCTION("""COMPUTED_VALUE"""),"Capô de Guerra")</f>
        <v>Capô de Guerra</v>
      </c>
      <c r="AJ15" s="242"/>
    </row>
    <row r="16" hidden="1">
      <c r="A16" s="241" t="str">
        <f>IFERROR(__xludf.DUMMYFUNCTION("""COMPUTED_VALUE"""),"Machado de Berserker")</f>
        <v>Machado de Berserker</v>
      </c>
      <c r="B16" s="241"/>
      <c r="C16" s="241" t="str">
        <f>IFERROR(__xludf.DUMMYFUNCTION("""COMPUTED_VALUE"""),"Cajado do bispo")</f>
        <v>Cajado do bispo</v>
      </c>
      <c r="D16" s="241"/>
      <c r="E16" s="241" t="str">
        <f>IFERROR(__xludf.DUMMYFUNCTION("""COMPUTED_VALUE"""),"Lança Pesca")</f>
        <v>Lança Pesca</v>
      </c>
      <c r="F16" s="241"/>
      <c r="G16" s="241" t="str">
        <f>IFERROR(__xludf.DUMMYFUNCTION("""COMPUTED_VALUE"""),"A Respiração de Dragão")</f>
        <v>A Respiração de Dragão</v>
      </c>
      <c r="H16" s="241"/>
      <c r="I16" s="241" t="str">
        <f>IFERROR(__xludf.DUMMYFUNCTION("""COMPUTED_VALUE"""),"Katar Fantasma")</f>
        <v>Katar Fantasma</v>
      </c>
      <c r="J16" s="241"/>
      <c r="K16" s="241" t="str">
        <f>IFERROR(__xludf.DUMMYFUNCTION("""COMPUTED_VALUE"""),"Cajado do bispo")</f>
        <v>Cajado do bispo</v>
      </c>
      <c r="L16" s="242"/>
      <c r="M16" s="241" t="str">
        <f>IFERROR(__xludf.DUMMYFUNCTION("""COMPUTED_VALUE"""),"Platemail de Aquiles")</f>
        <v>Platemail de Aquiles</v>
      </c>
      <c r="N16" s="241"/>
      <c r="O16" s="241" t="str">
        <f>IFERROR(__xludf.DUMMYFUNCTION("""COMPUTED_VALUE"""),"Toga do Bruxo ")</f>
        <v>Toga do Bruxo </v>
      </c>
      <c r="P16" s="241"/>
      <c r="Q16" s="241" t="str">
        <f>IFERROR(__xludf.DUMMYFUNCTION("""COMPUTED_VALUE"""),"Toga do Bruxo ")</f>
        <v>Toga do Bruxo </v>
      </c>
      <c r="R16" s="241"/>
      <c r="S16" s="241" t="str">
        <f>IFERROR(__xludf.DUMMYFUNCTION("""COMPUTED_VALUE"""),"Couro com óleo")</f>
        <v>Couro com óleo</v>
      </c>
      <c r="T16" s="241"/>
      <c r="U16" s="241"/>
      <c r="V16" s="241"/>
      <c r="W16" s="241" t="str">
        <f>IFERROR(__xludf.DUMMYFUNCTION("""COMPUTED_VALUE"""),"Couro com óleo")</f>
        <v>Couro com óleo</v>
      </c>
      <c r="X16" s="242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2"/>
    </row>
    <row r="17" hidden="1">
      <c r="A17" s="241" t="str">
        <f>IFERROR(__xludf.DUMMYFUNCTION("""COMPUTED_VALUE"""),"Presa Afiada")</f>
        <v>Presa Afiada</v>
      </c>
      <c r="B17" s="241"/>
      <c r="C17" s="241" t="str">
        <f>IFERROR(__xludf.DUMMYFUNCTION("""COMPUTED_VALUE"""),"Begala do faraó")</f>
        <v>Begala do faraó</v>
      </c>
      <c r="D17" s="241"/>
      <c r="E17" s="241" t="str">
        <f>IFERROR(__xludf.DUMMYFUNCTION("""COMPUTED_VALUE"""),"Garfo de prata")</f>
        <v>Garfo de prata</v>
      </c>
      <c r="F17" s="241"/>
      <c r="G17" s="241" t="str">
        <f>IFERROR(__xludf.DUMMYFUNCTION("""COMPUTED_VALUE"""),"Arcabuz de relíquia")</f>
        <v>Arcabuz de relíquia</v>
      </c>
      <c r="H17" s="241"/>
      <c r="I17" s="241" t="str">
        <f>IFERROR(__xludf.DUMMYFUNCTION("""COMPUTED_VALUE"""),"Sweet Surprise")</f>
        <v>Sweet Surprise</v>
      </c>
      <c r="J17" s="241"/>
      <c r="K17" s="241" t="str">
        <f>IFERROR(__xludf.DUMMYFUNCTION("""COMPUTED_VALUE"""),"Begala do faraó")</f>
        <v>Begala do faraó</v>
      </c>
      <c r="L17" s="242"/>
      <c r="M17" s="241" t="str">
        <f>IFERROR(__xludf.DUMMYFUNCTION("""COMPUTED_VALUE"""),"Revestimento de Couro Pirata")</f>
        <v>Revestimento de Couro Pirata</v>
      </c>
      <c r="N17" s="241"/>
      <c r="O17" s="241" t="str">
        <f>IFERROR(__xludf.DUMMYFUNCTION("""COMPUTED_VALUE"""),"Life Vest")</f>
        <v>Life Vest</v>
      </c>
      <c r="P17" s="241"/>
      <c r="Q17" s="241" t="str">
        <f>IFERROR(__xludf.DUMMYFUNCTION("""COMPUTED_VALUE"""),"Life Vest")</f>
        <v>Life Vest</v>
      </c>
      <c r="R17" s="241"/>
      <c r="S17" s="241" t="str">
        <f>IFERROR(__xludf.DUMMYFUNCTION("""COMPUTED_VALUE"""),"Pele de Serpente")</f>
        <v>Pele de Serpente</v>
      </c>
      <c r="T17" s="241"/>
      <c r="U17" s="241"/>
      <c r="V17" s="241"/>
      <c r="W17" s="241" t="str">
        <f>IFERROR(__xludf.DUMMYFUNCTION("""COMPUTED_VALUE"""),"Pele de Serpente")</f>
        <v>Pele de Serpente</v>
      </c>
      <c r="X17" s="242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2"/>
    </row>
    <row r="18" hidden="1">
      <c r="A18" s="241" t="str">
        <f>IFERROR(__xludf.DUMMYFUNCTION("""COMPUTED_VALUE"""),"Faz Viúva")</f>
        <v>Faz Viúva</v>
      </c>
      <c r="B18" s="241"/>
      <c r="C18" s="241" t="str">
        <f>IFERROR(__xludf.DUMMYFUNCTION("""COMPUTED_VALUE"""),"Cetro Lunar")</f>
        <v>Cetro Lunar</v>
      </c>
      <c r="D18" s="241"/>
      <c r="E18" s="241" t="str">
        <f>IFERROR(__xludf.DUMMYFUNCTION("""COMPUTED_VALUE"""),"Voulgue da Lua")</f>
        <v>Voulgue da Lua</v>
      </c>
      <c r="F18" s="241"/>
      <c r="G18" s="241" t="str">
        <f>IFERROR(__xludf.DUMMYFUNCTION("""COMPUTED_VALUE"""),"Julgamento")</f>
        <v>Julgamento</v>
      </c>
      <c r="H18" s="241"/>
      <c r="I18" s="241" t="str">
        <f>IFERROR(__xludf.DUMMYFUNCTION("""COMPUTED_VALUE"""),"Traidora")</f>
        <v>Traidora</v>
      </c>
      <c r="J18" s="241"/>
      <c r="K18" s="241" t="str">
        <f>IFERROR(__xludf.DUMMYFUNCTION("""COMPUTED_VALUE"""),"Cetro Lunar")</f>
        <v>Cetro Lunar</v>
      </c>
      <c r="L18" s="242"/>
      <c r="M18" s="241" t="str">
        <f>IFERROR(__xludf.DUMMYFUNCTION("""COMPUTED_VALUE"""),"Shadow Lurker")</f>
        <v>Shadow Lurker</v>
      </c>
      <c r="N18" s="241"/>
      <c r="O18" s="241" t="str">
        <f>IFERROR(__xludf.DUMMYFUNCTION("""COMPUTED_VALUE"""),"Toga Plásmica")</f>
        <v>Toga Plásmica</v>
      </c>
      <c r="P18" s="241"/>
      <c r="Q18" s="241" t="str">
        <f>IFERROR(__xludf.DUMMYFUNCTION("""COMPUTED_VALUE"""),"Toga Plásmica")</f>
        <v>Toga Plásmica</v>
      </c>
      <c r="R18" s="241"/>
      <c r="S18" s="241" t="str">
        <f>IFERROR(__xludf.DUMMYFUNCTION("""COMPUTED_VALUE"""),"Platemail de Aquiles")</f>
        <v>Platemail de Aquiles</v>
      </c>
      <c r="T18" s="241"/>
      <c r="U18" s="241"/>
      <c r="V18" s="241"/>
      <c r="W18" s="241" t="str">
        <f>IFERROR(__xludf.DUMMYFUNCTION("""COMPUTED_VALUE"""),"Platemail de Aquiles")</f>
        <v>Platemail de Aquiles</v>
      </c>
      <c r="X18" s="242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2"/>
    </row>
    <row r="19" hidden="1">
      <c r="A19" s="241" t="str">
        <f>IFERROR(__xludf.DUMMYFUNCTION("""COMPUTED_VALUE"""),"Ira infernal")</f>
        <v>Ira infernal</v>
      </c>
      <c r="B19" s="241"/>
      <c r="C19" s="241" t="str">
        <f>IFERROR(__xludf.DUMMYFUNCTION("""COMPUTED_VALUE"""),"Líquido apanhador de inseto")</f>
        <v>Líquido apanhador de inseto</v>
      </c>
      <c r="D19" s="241"/>
      <c r="E19" s="241" t="str">
        <f>IFERROR(__xludf.DUMMYFUNCTION("""COMPUTED_VALUE"""),"Espeto da Noite")</f>
        <v>Espeto da Noite</v>
      </c>
      <c r="F19" s="241"/>
      <c r="G19" s="241" t="str">
        <f>IFERROR(__xludf.DUMMYFUNCTION("""COMPUTED_VALUE"""),"Lança Bombas")</f>
        <v>Lança Bombas</v>
      </c>
      <c r="H19" s="241"/>
      <c r="I19" s="241" t="str">
        <f>IFERROR(__xludf.DUMMYFUNCTION("""COMPUTED_VALUE"""),"Sete Estrelas")</f>
        <v>Sete Estrelas</v>
      </c>
      <c r="J19" s="241"/>
      <c r="K19" s="241" t="str">
        <f>IFERROR(__xludf.DUMMYFUNCTION("""COMPUTED_VALUE"""),"Líquido apanhador de inseto")</f>
        <v>Líquido apanhador de inseto</v>
      </c>
      <c r="L19" s="242"/>
      <c r="M19" s="241" t="str">
        <f>IFERROR(__xludf.DUMMYFUNCTION("""COMPUTED_VALUE"""),"Pele de Dragão")</f>
        <v>Pele de Dragão</v>
      </c>
      <c r="N19" s="241"/>
      <c r="O19" s="241" t="str">
        <f>IFERROR(__xludf.DUMMYFUNCTION("""COMPUTED_VALUE"""),"Toga do Arquimago")</f>
        <v>Toga do Arquimago</v>
      </c>
      <c r="P19" s="241"/>
      <c r="Q19" s="241" t="str">
        <f>IFERROR(__xludf.DUMMYFUNCTION("""COMPUTED_VALUE"""),"Toga do Arquimago")</f>
        <v>Toga do Arquimago</v>
      </c>
      <c r="R19" s="241"/>
      <c r="S19" s="241" t="str">
        <f>IFERROR(__xludf.DUMMYFUNCTION("""COMPUTED_VALUE"""),"Revestimento de Couro Pirata")</f>
        <v>Revestimento de Couro Pirata</v>
      </c>
      <c r="T19" s="241"/>
      <c r="U19" s="241"/>
      <c r="V19" s="241"/>
      <c r="W19" s="241" t="str">
        <f>IFERROR(__xludf.DUMMYFUNCTION("""COMPUTED_VALUE"""),"Revestimento de Couro Pirata")</f>
        <v>Revestimento de Couro Pirata</v>
      </c>
      <c r="X19" s="242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2"/>
    </row>
    <row r="20" hidden="1">
      <c r="A20" s="241" t="str">
        <f>IFERROR(__xludf.DUMMYFUNCTION("""COMPUTED_VALUE"""),"Lâmina do Ragnarok")</f>
        <v>Lâmina do Ragnarok</v>
      </c>
      <c r="B20" s="241"/>
      <c r="C20" s="241" t="str">
        <f>IFERROR(__xludf.DUMMYFUNCTION("""COMPUTED_VALUE"""),"Cetro Sagrado")</f>
        <v>Cetro Sagrado</v>
      </c>
      <c r="D20" s="241"/>
      <c r="E20" s="241" t="str">
        <f>IFERROR(__xludf.DUMMYFUNCTION("""COMPUTED_VALUE"""),"Raio Divino")</f>
        <v>Raio Divino</v>
      </c>
      <c r="F20" s="241"/>
      <c r="G20" s="241" t="str">
        <f>IFERROR(__xludf.DUMMYFUNCTION("""COMPUTED_VALUE"""),"Guerra Nórdica")</f>
        <v>Guerra Nórdica</v>
      </c>
      <c r="H20" s="241"/>
      <c r="I20" s="241" t="str">
        <f>IFERROR(__xludf.DUMMYFUNCTION("""COMPUTED_VALUE"""),"Presa de Dragão")</f>
        <v>Presa de Dragão</v>
      </c>
      <c r="J20" s="241"/>
      <c r="K20" s="241" t="str">
        <f>IFERROR(__xludf.DUMMYFUNCTION("""COMPUTED_VALUE"""),"Cetro Sagrado")</f>
        <v>Cetro Sagrado</v>
      </c>
      <c r="L20" s="242"/>
      <c r="M20" s="241" t="str">
        <f>IFERROR(__xludf.DUMMYFUNCTION("""COMPUTED_VALUE"""),"Vampire Hunter")</f>
        <v>Vampire Hunter</v>
      </c>
      <c r="N20" s="241"/>
      <c r="O20" s="241" t="str">
        <f>IFERROR(__xludf.DUMMYFUNCTION("""COMPUTED_VALUE"""),"Veste do Dragão ")</f>
        <v>Veste do Dragão </v>
      </c>
      <c r="P20" s="241"/>
      <c r="Q20" s="241" t="str">
        <f>IFERROR(__xludf.DUMMYFUNCTION("""COMPUTED_VALUE"""),"Veste do Dragão ")</f>
        <v>Veste do Dragão </v>
      </c>
      <c r="R20" s="241"/>
      <c r="S20" s="241" t="str">
        <f>IFERROR(__xludf.DUMMYFUNCTION("""COMPUTED_VALUE"""),"Shadow Lurker")</f>
        <v>Shadow Lurker</v>
      </c>
      <c r="T20" s="241"/>
      <c r="U20" s="241"/>
      <c r="V20" s="241"/>
      <c r="W20" s="241" t="str">
        <f>IFERROR(__xludf.DUMMYFUNCTION("""COMPUTED_VALUE"""),"Shadow Lurker")</f>
        <v>Shadow Lurker</v>
      </c>
      <c r="X20" s="242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2"/>
    </row>
    <row r="21" hidden="1">
      <c r="A21" s="241" t="str">
        <f>IFERROR(__xludf.DUMMYFUNCTION("""COMPUTED_VALUE"""),"Machado Irado")</f>
        <v>Machado Irado</v>
      </c>
      <c r="B21" s="241"/>
      <c r="C21" s="241" t="str">
        <f>IFERROR(__xludf.DUMMYFUNCTION("""COMPUTED_VALUE"""),"Varinha Estelar")</f>
        <v>Varinha Estelar</v>
      </c>
      <c r="D21" s="241"/>
      <c r="E21" s="241" t="str">
        <f>IFERROR(__xludf.DUMMYFUNCTION("""COMPUTED_VALUE"""),"Pique Fangtiano")</f>
        <v>Pique Fangtiano</v>
      </c>
      <c r="F21" s="241"/>
      <c r="G21" s="241" t="str">
        <f>IFERROR(__xludf.DUMMYFUNCTION("""COMPUTED_VALUE"""),"Pilgrim Blunderbus")</f>
        <v>Pilgrim Blunderbus</v>
      </c>
      <c r="H21" s="241"/>
      <c r="I21" s="241" t="str">
        <f>IFERROR(__xludf.DUMMYFUNCTION("""COMPUTED_VALUE"""),"Punhal Indiano")</f>
        <v>Punhal Indiano</v>
      </c>
      <c r="J21" s="241"/>
      <c r="K21" s="241" t="str">
        <f>IFERROR(__xludf.DUMMYFUNCTION("""COMPUTED_VALUE"""),"Varinha Estelar")</f>
        <v>Varinha Estelar</v>
      </c>
      <c r="L21" s="242"/>
      <c r="M21" s="241" t="str">
        <f>IFERROR(__xludf.DUMMYFUNCTION("""COMPUTED_VALUE"""),"Couro do Oceano")</f>
        <v>Couro do Oceano</v>
      </c>
      <c r="N21" s="241"/>
      <c r="O21" s="241" t="str">
        <f>IFERROR(__xludf.DUMMYFUNCTION("""COMPUTED_VALUE"""),"Dublê de Mago")</f>
        <v>Dublê de Mago</v>
      </c>
      <c r="P21" s="241"/>
      <c r="Q21" s="241" t="str">
        <f>IFERROR(__xludf.DUMMYFUNCTION("""COMPUTED_VALUE"""),"Dublê de Mago")</f>
        <v>Dublê de Mago</v>
      </c>
      <c r="R21" s="241"/>
      <c r="S21" s="241" t="str">
        <f>IFERROR(__xludf.DUMMYFUNCTION("""COMPUTED_VALUE"""),"Pele de Dragão")</f>
        <v>Pele de Dragão</v>
      </c>
      <c r="T21" s="241"/>
      <c r="U21" s="241"/>
      <c r="V21" s="241"/>
      <c r="W21" s="241" t="str">
        <f>IFERROR(__xludf.DUMMYFUNCTION("""COMPUTED_VALUE"""),"Pele de Dragão")</f>
        <v>Pele de Dragão</v>
      </c>
      <c r="X21" s="242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2"/>
    </row>
    <row r="22" hidden="1">
      <c r="A22" s="241" t="str">
        <f>IFERROR(__xludf.DUMMYFUNCTION("""COMPUTED_VALUE"""),"Machado da Sombra")</f>
        <v>Machado da Sombra</v>
      </c>
      <c r="B22" s="241"/>
      <c r="C22" s="241" t="str">
        <f>IFERROR(__xludf.DUMMYFUNCTION("""COMPUTED_VALUE"""),"Varinha Imperial")</f>
        <v>Varinha Imperial</v>
      </c>
      <c r="D22" s="241"/>
      <c r="E22" s="241" t="str">
        <f>IFERROR(__xludf.DUMMYFUNCTION("""COMPUTED_VALUE"""),"Alabarda de Obsidiana")</f>
        <v>Alabarda de Obsidiana</v>
      </c>
      <c r="F22" s="241"/>
      <c r="G22" s="241" t="str">
        <f>IFERROR(__xludf.DUMMYFUNCTION("""COMPUTED_VALUE"""),"Pistola de Pirata")</f>
        <v>Pistola de Pirata</v>
      </c>
      <c r="H22" s="241"/>
      <c r="I22" s="241" t="str">
        <f>IFERROR(__xludf.DUMMYFUNCTION("""COMPUTED_VALUE"""),"Adaga de Obsidiana")</f>
        <v>Adaga de Obsidiana</v>
      </c>
      <c r="J22" s="241"/>
      <c r="K22" s="241" t="str">
        <f>IFERROR(__xludf.DUMMYFUNCTION("""COMPUTED_VALUE"""),"Varinha Imperial")</f>
        <v>Varinha Imperial</v>
      </c>
      <c r="L22" s="242"/>
      <c r="M22" s="241" t="str">
        <f>IFERROR(__xludf.DUMMYFUNCTION("""COMPUTED_VALUE"""),"Colete Místico")</f>
        <v>Colete Místico</v>
      </c>
      <c r="N22" s="241"/>
      <c r="O22" s="241" t="str">
        <f>IFERROR(__xludf.DUMMYFUNCTION("""COMPUTED_VALUE"""),"Holy Tunic")</f>
        <v>Holy Tunic</v>
      </c>
      <c r="P22" s="241"/>
      <c r="Q22" s="241" t="str">
        <f>IFERROR(__xludf.DUMMYFUNCTION("""COMPUTED_VALUE"""),"Holy Tunic")</f>
        <v>Holy Tunic</v>
      </c>
      <c r="R22" s="241"/>
      <c r="S22" s="241" t="str">
        <f>IFERROR(__xludf.DUMMYFUNCTION("""COMPUTED_VALUE"""),"Vampire Hunter")</f>
        <v>Vampire Hunter</v>
      </c>
      <c r="T22" s="241"/>
      <c r="U22" s="241"/>
      <c r="V22" s="241"/>
      <c r="W22" s="241" t="str">
        <f>IFERROR(__xludf.DUMMYFUNCTION("""COMPUTED_VALUE"""),"Vampire Hunter")</f>
        <v>Vampire Hunter</v>
      </c>
      <c r="X22" s="242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2"/>
    </row>
    <row r="23" hidden="1">
      <c r="A23" s="241" t="str">
        <f>IFERROR(__xludf.DUMMYFUNCTION("""COMPUTED_VALUE"""),"Labrys de Hefesto")</f>
        <v>Labrys de Hefesto</v>
      </c>
      <c r="B23" s="241"/>
      <c r="C23" s="241" t="str">
        <f>IFERROR(__xludf.DUMMYFUNCTION("""COMPUTED_VALUE"""),"Rei-Sol")</f>
        <v>Rei-Sol</v>
      </c>
      <c r="D23" s="241"/>
      <c r="E23" s="241" t="str">
        <f>IFERROR(__xludf.DUMMYFUNCTION("""COMPUTED_VALUE"""),"Tridente Primordial")</f>
        <v>Tridente Primordial</v>
      </c>
      <c r="F23" s="241"/>
      <c r="G23" s="241" t="str">
        <f>IFERROR(__xludf.DUMMYFUNCTION("""COMPUTED_VALUE"""),"Arma Grandona")</f>
        <v>Arma Grandona</v>
      </c>
      <c r="H23" s="241"/>
      <c r="I23" s="241" t="str">
        <f>IFERROR(__xludf.DUMMYFUNCTION("""COMPUTED_VALUE"""),"Canivete Afótico")</f>
        <v>Canivete Afótico</v>
      </c>
      <c r="J23" s="241"/>
      <c r="K23" s="241" t="str">
        <f>IFERROR(__xludf.DUMMYFUNCTION("""COMPUTED_VALUE"""),"Rei-Sol")</f>
        <v>Rei-Sol</v>
      </c>
      <c r="L23" s="242"/>
      <c r="M23" s="241" t="str">
        <f>IFERROR(__xludf.DUMMYFUNCTION("""COMPUTED_VALUE"""),"Esmeralda Marcha")</f>
        <v>Esmeralda Marcha</v>
      </c>
      <c r="N23" s="241"/>
      <c r="O23" s="241" t="str">
        <f>IFERROR(__xludf.DUMMYFUNCTION("""COMPUTED_VALUE"""),"Toga da Alvorada")</f>
        <v>Toga da Alvorada</v>
      </c>
      <c r="P23" s="241"/>
      <c r="Q23" s="241" t="str">
        <f>IFERROR(__xludf.DUMMYFUNCTION("""COMPUTED_VALUE"""),"Toga da Alvorada")</f>
        <v>Toga da Alvorada</v>
      </c>
      <c r="R23" s="241"/>
      <c r="S23" s="241" t="str">
        <f>IFERROR(__xludf.DUMMYFUNCTION("""COMPUTED_VALUE"""),"Couro do Oceano")</f>
        <v>Couro do Oceano</v>
      </c>
      <c r="T23" s="241"/>
      <c r="U23" s="241"/>
      <c r="V23" s="241"/>
      <c r="W23" s="241" t="str">
        <f>IFERROR(__xludf.DUMMYFUNCTION("""COMPUTED_VALUE"""),"Couro do Oceano")</f>
        <v>Couro do Oceano</v>
      </c>
      <c r="X23" s="242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2"/>
    </row>
    <row r="24" hidden="1">
      <c r="A24" s="241" t="str">
        <f>IFERROR(__xludf.DUMMYFUNCTION("""COMPUTED_VALUE"""),"Forseti's Axe")</f>
        <v>Forseti's Axe</v>
      </c>
      <c r="B24" s="241"/>
      <c r="C24" s="241" t="str">
        <f>IFERROR(__xludf.DUMMYFUNCTION("""COMPUTED_VALUE"""),"Montagem das fadas")</f>
        <v>Montagem das fadas</v>
      </c>
      <c r="D24" s="241"/>
      <c r="E24" s="241" t="str">
        <f>IFERROR(__xludf.DUMMYFUNCTION("""COMPUTED_VALUE"""),"Gungnir")</f>
        <v>Gungnir</v>
      </c>
      <c r="F24" s="241"/>
      <c r="G24" s="241" t="str">
        <f>IFERROR(__xludf.DUMMYFUNCTION("""COMPUTED_VALUE"""),"Lança Estacas")</f>
        <v>Lança Estacas</v>
      </c>
      <c r="H24" s="241"/>
      <c r="I24" s="241" t="str">
        <f>IFERROR(__xludf.DUMMYFUNCTION("""COMPUTED_VALUE"""),"Adaga Primordial")</f>
        <v>Adaga Primordial</v>
      </c>
      <c r="J24" s="241"/>
      <c r="K24" s="241" t="str">
        <f>IFERROR(__xludf.DUMMYFUNCTION("""COMPUTED_VALUE"""),"Montagem das fadas")</f>
        <v>Montagem das fadas</v>
      </c>
      <c r="L24" s="242"/>
      <c r="M24" s="241" t="str">
        <f>IFERROR(__xludf.DUMMYFUNCTION("""COMPUTED_VALUE"""),"Corvo Negro")</f>
        <v>Corvo Negro</v>
      </c>
      <c r="N24" s="241"/>
      <c r="O24" s="241" t="str">
        <f>IFERROR(__xludf.DUMMYFUNCTION("""COMPUTED_VALUE"""),"Celtic Coat")</f>
        <v>Celtic Coat</v>
      </c>
      <c r="P24" s="241"/>
      <c r="Q24" s="241" t="str">
        <f>IFERROR(__xludf.DUMMYFUNCTION("""COMPUTED_VALUE"""),"Celtic Coat")</f>
        <v>Celtic Coat</v>
      </c>
      <c r="R24" s="241"/>
      <c r="S24" s="241" t="str">
        <f>IFERROR(__xludf.DUMMYFUNCTION("""COMPUTED_VALUE"""),"Colete Místico")</f>
        <v>Colete Místico</v>
      </c>
      <c r="T24" s="241"/>
      <c r="U24" s="241"/>
      <c r="V24" s="241"/>
      <c r="W24" s="241" t="str">
        <f>IFERROR(__xludf.DUMMYFUNCTION("""COMPUTED_VALUE"""),"Colete Místico")</f>
        <v>Colete Místico</v>
      </c>
      <c r="X24" s="242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2"/>
    </row>
    <row r="25" hidden="1">
      <c r="A25" s="241" t="str">
        <f>IFERROR(__xludf.DUMMYFUNCTION("""COMPUTED_VALUE"""),"Estrela D'alva")</f>
        <v>Estrela D'alva</v>
      </c>
      <c r="B25" s="241"/>
      <c r="C25" s="241" t="str">
        <f>IFERROR(__xludf.DUMMYFUNCTION("""COMPUTED_VALUE"""),"Guardião das almas")</f>
        <v>Guardião das almas</v>
      </c>
      <c r="D25" s="241"/>
      <c r="E25" s="241" t="str">
        <f>IFERROR(__xludf.DUMMYFUNCTION("""COMPUTED_VALUE"""),"Perfurador Abrasador")</f>
        <v>Perfurador Abrasador</v>
      </c>
      <c r="F25" s="241"/>
      <c r="G25" s="241" t="str">
        <f>IFERROR(__xludf.DUMMYFUNCTION("""COMPUTED_VALUE"""),"Disparo do Demônio")</f>
        <v>Disparo do Demônio</v>
      </c>
      <c r="H25" s="241"/>
      <c r="I25" s="241" t="str">
        <f>IFERROR(__xludf.DUMMYFUNCTION("""COMPUTED_VALUE"""),"Mistilteinn")</f>
        <v>Mistilteinn</v>
      </c>
      <c r="J25" s="241"/>
      <c r="K25" s="241" t="str">
        <f>IFERROR(__xludf.DUMMYFUNCTION("""COMPUTED_VALUE"""),"Guardião das almas")</f>
        <v>Guardião das almas</v>
      </c>
      <c r="L25" s="242"/>
      <c r="M25" s="241" t="str">
        <f>IFERROR(__xludf.DUMMYFUNCTION("""COMPUTED_VALUE"""),"Couraça Real")</f>
        <v>Couraça Real</v>
      </c>
      <c r="N25" s="241"/>
      <c r="O25" s="241"/>
      <c r="P25" s="241"/>
      <c r="Q25" s="241"/>
      <c r="R25" s="241"/>
      <c r="S25" s="241" t="str">
        <f>IFERROR(__xludf.DUMMYFUNCTION("""COMPUTED_VALUE"""),"Esmeralda Marcha")</f>
        <v>Esmeralda Marcha</v>
      </c>
      <c r="T25" s="241"/>
      <c r="U25" s="241"/>
      <c r="V25" s="241"/>
      <c r="W25" s="241" t="str">
        <f>IFERROR(__xludf.DUMMYFUNCTION("""COMPUTED_VALUE"""),"Esmeralda Marcha")</f>
        <v>Esmeralda Marcha</v>
      </c>
      <c r="X25" s="242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2"/>
    </row>
    <row r="26" hidden="1">
      <c r="A26" s="241" t="str">
        <f>IFERROR(__xludf.DUMMYFUNCTION("""COMPUTED_VALUE"""),"Tronco de árvore")</f>
        <v>Tronco de árvore</v>
      </c>
      <c r="B26" s="241"/>
      <c r="C26" s="241" t="str">
        <f>IFERROR(__xludf.DUMMYFUNCTION("""COMPUTED_VALUE"""),"Varinha estilhaçada")</f>
        <v>Varinha estilhaçada</v>
      </c>
      <c r="D26" s="241"/>
      <c r="E26" s="241" t="str">
        <f>IFERROR(__xludf.DUMMYFUNCTION("""COMPUTED_VALUE"""),"Rebelião")</f>
        <v>Rebelião</v>
      </c>
      <c r="F26" s="241"/>
      <c r="G26" s="241" t="str">
        <f>IFERROR(__xludf.DUMMYFUNCTION("""COMPUTED_VALUE"""),"Dragon Fire")</f>
        <v>Dragon Fire</v>
      </c>
      <c r="H26" s="241"/>
      <c r="I26" s="241" t="str">
        <f>IFERROR(__xludf.DUMMYFUNCTION("""COMPUTED_VALUE"""),"Rifle")</f>
        <v>Rifle</v>
      </c>
      <c r="J26" s="241"/>
      <c r="K26" s="241" t="str">
        <f>IFERROR(__xludf.DUMMYFUNCTION("""COMPUTED_VALUE"""),"Varinha estilhaçada")</f>
        <v>Varinha estilhaçada</v>
      </c>
      <c r="L26" s="242"/>
      <c r="M26" s="241" t="str">
        <f>IFERROR(__xludf.DUMMYFUNCTION("""COMPUTED_VALUE"""),"Invincible Scales")</f>
        <v>Invincible Scales</v>
      </c>
      <c r="N26" s="241"/>
      <c r="O26" s="241"/>
      <c r="P26" s="241"/>
      <c r="Q26" s="241"/>
      <c r="R26" s="241"/>
      <c r="S26" s="241" t="str">
        <f>IFERROR(__xludf.DUMMYFUNCTION("""COMPUTED_VALUE"""),"Corvo Negro")</f>
        <v>Corvo Negro</v>
      </c>
      <c r="T26" s="241"/>
      <c r="U26" s="241"/>
      <c r="V26" s="241"/>
      <c r="W26" s="241" t="str">
        <f>IFERROR(__xludf.DUMMYFUNCTION("""COMPUTED_VALUE"""),"Corvo Negro")</f>
        <v>Corvo Negro</v>
      </c>
      <c r="X26" s="242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2"/>
    </row>
    <row r="27" hidden="1">
      <c r="A27" s="241" t="str">
        <f>IFERROR(__xludf.DUMMYFUNCTION("""COMPUTED_VALUE"""),"Martelo-Punho")</f>
        <v>Martelo-Punho</v>
      </c>
      <c r="B27" s="241"/>
      <c r="C27" s="241" t="str">
        <f>IFERROR(__xludf.DUMMYFUNCTION("""COMPUTED_VALUE"""),"Cajado necormante")</f>
        <v>Cajado necormante</v>
      </c>
      <c r="D27" s="241"/>
      <c r="E27" s="241" t="str">
        <f>IFERROR(__xludf.DUMMYFUNCTION("""COMPUTED_VALUE"""),"Scorpion Tail")</f>
        <v>Scorpion Tail</v>
      </c>
      <c r="F27" s="241"/>
      <c r="G27" s="241" t="str">
        <f>IFERROR(__xludf.DUMMYFUNCTION("""COMPUTED_VALUE"""),"Arma Pirata")</f>
        <v>Arma Pirata</v>
      </c>
      <c r="H27" s="241"/>
      <c r="I27" s="241" t="str">
        <f>IFERROR(__xludf.DUMMYFUNCTION("""COMPUTED_VALUE"""),"Espingarda Negra")</f>
        <v>Espingarda Negra</v>
      </c>
      <c r="J27" s="241"/>
      <c r="K27" s="241" t="str">
        <f>IFERROR(__xludf.DUMMYFUNCTION("""COMPUTED_VALUE"""),"Cajado necormante")</f>
        <v>Cajado necormante</v>
      </c>
      <c r="L27" s="242"/>
      <c r="M27" s="241"/>
      <c r="N27" s="241"/>
      <c r="O27" s="241"/>
      <c r="P27" s="241"/>
      <c r="Q27" s="241"/>
      <c r="R27" s="241"/>
      <c r="S27" s="241" t="str">
        <f>IFERROR(__xludf.DUMMYFUNCTION("""COMPUTED_VALUE"""),"Couraça Real")</f>
        <v>Couraça Real</v>
      </c>
      <c r="T27" s="241"/>
      <c r="U27" s="241"/>
      <c r="V27" s="241"/>
      <c r="W27" s="241" t="str">
        <f>IFERROR(__xludf.DUMMYFUNCTION("""COMPUTED_VALUE"""),"Couraça Real")</f>
        <v>Couraça Real</v>
      </c>
      <c r="X27" s="242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2"/>
    </row>
    <row r="28" hidden="1">
      <c r="A28" s="241" t="str">
        <f>IFERROR(__xludf.DUMMYFUNCTION("""COMPUTED_VALUE"""),"Cetro Real")</f>
        <v>Cetro Real</v>
      </c>
      <c r="B28" s="241"/>
      <c r="C28" s="241" t="str">
        <f>IFERROR(__xludf.DUMMYFUNCTION("""COMPUTED_VALUE"""),"Luna")</f>
        <v>Luna</v>
      </c>
      <c r="D28" s="241"/>
      <c r="E28" s="241" t="str">
        <f>IFERROR(__xludf.DUMMYFUNCTION("""COMPUTED_VALUE"""),"Tiamat")</f>
        <v>Tiamat</v>
      </c>
      <c r="F28" s="241"/>
      <c r="G28" s="241"/>
      <c r="H28" s="241"/>
      <c r="I28" s="241" t="str">
        <f>IFERROR(__xludf.DUMMYFUNCTION("""COMPUTED_VALUE"""),"Conquistador")</f>
        <v>Conquistador</v>
      </c>
      <c r="J28" s="241"/>
      <c r="K28" s="241" t="str">
        <f>IFERROR(__xludf.DUMMYFUNCTION("""COMPUTED_VALUE"""),"Luna")</f>
        <v>Luna</v>
      </c>
      <c r="L28" s="242"/>
      <c r="M28" s="241"/>
      <c r="N28" s="241"/>
      <c r="O28" s="241"/>
      <c r="P28" s="241"/>
      <c r="Q28" s="241"/>
      <c r="R28" s="241"/>
      <c r="S28" s="241" t="str">
        <f>IFERROR(__xludf.DUMMYFUNCTION("""COMPUTED_VALUE"""),"Invincible Scales")</f>
        <v>Invincible Scales</v>
      </c>
      <c r="T28" s="241"/>
      <c r="U28" s="241"/>
      <c r="V28" s="241"/>
      <c r="W28" s="241" t="str">
        <f>IFERROR(__xludf.DUMMYFUNCTION("""COMPUTED_VALUE"""),"Invincible Scales")</f>
        <v>Invincible Scales</v>
      </c>
      <c r="X28" s="242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2"/>
    </row>
    <row r="29" hidden="1">
      <c r="A29" s="241" t="str">
        <f>IFERROR(__xludf.DUMMYFUNCTION("""COMPUTED_VALUE"""),"Martelo Relíquia")</f>
        <v>Martelo Relíquia</v>
      </c>
      <c r="B29" s="241"/>
      <c r="C29" s="241" t="str">
        <f>IFERROR(__xludf.DUMMYFUNCTION("""COMPUTED_VALUE"""),"Cetro da Pixie")</f>
        <v>Cetro da Pixie</v>
      </c>
      <c r="D29" s="241"/>
      <c r="E29" s="241" t="str">
        <f>IFERROR(__xludf.DUMMYFUNCTION("""COMPUTED_VALUE"""),"Machado de Berserker")</f>
        <v>Machado de Berserker</v>
      </c>
      <c r="F29" s="241"/>
      <c r="G29" s="241"/>
      <c r="H29" s="241"/>
      <c r="I29" s="241" t="str">
        <f>IFERROR(__xludf.DUMMYFUNCTION("""COMPUTED_VALUE"""),"A Respiração de Dragão")</f>
        <v>A Respiração de Dragão</v>
      </c>
      <c r="J29" s="241"/>
      <c r="K29" s="241" t="str">
        <f>IFERROR(__xludf.DUMMYFUNCTION("""COMPUTED_VALUE"""),"Cetro da Pixie")</f>
        <v>Cetro da Pixie</v>
      </c>
      <c r="L29" s="242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2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2"/>
    </row>
    <row r="30" hidden="1">
      <c r="A30" s="241" t="str">
        <f>IFERROR(__xludf.DUMMYFUNCTION("""COMPUTED_VALUE"""),"Apocalipto")</f>
        <v>Apocalipto</v>
      </c>
      <c r="B30" s="241"/>
      <c r="C30" s="241" t="str">
        <f>IFERROR(__xludf.DUMMYFUNCTION("""COMPUTED_VALUE"""),"Rifle")</f>
        <v>Rifle</v>
      </c>
      <c r="D30" s="241"/>
      <c r="E30" s="241" t="str">
        <f>IFERROR(__xludf.DUMMYFUNCTION("""COMPUTED_VALUE"""),"Presa Afiada")</f>
        <v>Presa Afiada</v>
      </c>
      <c r="F30" s="241"/>
      <c r="G30" s="241"/>
      <c r="H30" s="241"/>
      <c r="I30" s="241" t="str">
        <f>IFERROR(__xludf.DUMMYFUNCTION("""COMPUTED_VALUE"""),"Arcabuz de relíquia")</f>
        <v>Arcabuz de relíquia</v>
      </c>
      <c r="J30" s="241"/>
      <c r="K30" s="241" t="str">
        <f>IFERROR(__xludf.DUMMYFUNCTION("""COMPUTED_VALUE"""),"Adaga Branca")</f>
        <v>Adaga Branca</v>
      </c>
      <c r="L30" s="242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2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2"/>
    </row>
    <row r="31" hidden="1">
      <c r="A31" s="241" t="str">
        <f>IFERROR(__xludf.DUMMYFUNCTION("""COMPUTED_VALUE"""),"Estrela Noturna")</f>
        <v>Estrela Noturna</v>
      </c>
      <c r="B31" s="241"/>
      <c r="C31" s="241" t="str">
        <f>IFERROR(__xludf.DUMMYFUNCTION("""COMPUTED_VALUE"""),"Espingarda Negra")</f>
        <v>Espingarda Negra</v>
      </c>
      <c r="D31" s="241"/>
      <c r="E31" s="241" t="str">
        <f>IFERROR(__xludf.DUMMYFUNCTION("""COMPUTED_VALUE"""),"Faz Viúva")</f>
        <v>Faz Viúva</v>
      </c>
      <c r="F31" s="241"/>
      <c r="G31" s="241"/>
      <c r="H31" s="241"/>
      <c r="I31" s="241" t="str">
        <f>IFERROR(__xludf.DUMMYFUNCTION("""COMPUTED_VALUE"""),"Julgamento")</f>
        <v>Julgamento</v>
      </c>
      <c r="J31" s="241"/>
      <c r="K31" s="241" t="str">
        <f>IFERROR(__xludf.DUMMYFUNCTION("""COMPUTED_VALUE"""),"Coração Rubro")</f>
        <v>Coração Rubro</v>
      </c>
      <c r="L31" s="242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2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2"/>
    </row>
    <row r="32" hidden="1">
      <c r="A32" s="241" t="str">
        <f>IFERROR(__xludf.DUMMYFUNCTION("""COMPUTED_VALUE"""),"Cem-Toneladas")</f>
        <v>Cem-Toneladas</v>
      </c>
      <c r="B32" s="241"/>
      <c r="C32" s="241" t="str">
        <f>IFERROR(__xludf.DUMMYFUNCTION("""COMPUTED_VALUE"""),"Conquistador")</f>
        <v>Conquistador</v>
      </c>
      <c r="D32" s="241"/>
      <c r="E32" s="241" t="str">
        <f>IFERROR(__xludf.DUMMYFUNCTION("""COMPUTED_VALUE"""),"Ira infernal")</f>
        <v>Ira infernal</v>
      </c>
      <c r="F32" s="241"/>
      <c r="G32" s="241"/>
      <c r="H32" s="241"/>
      <c r="I32" s="241" t="str">
        <f>IFERROR(__xludf.DUMMYFUNCTION("""COMPUTED_VALUE"""),"Lança Bombas")</f>
        <v>Lança Bombas</v>
      </c>
      <c r="J32" s="241"/>
      <c r="K32" s="241" t="str">
        <f>IFERROR(__xludf.DUMMYFUNCTION("""COMPUTED_VALUE"""),"Katar Fantasma")</f>
        <v>Katar Fantasma</v>
      </c>
      <c r="L32" s="242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2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2"/>
    </row>
    <row r="33" hidden="1">
      <c r="A33" s="241" t="str">
        <f>IFERROR(__xludf.DUMMYFUNCTION("""COMPUTED_VALUE"""),"Esmagador")</f>
        <v>Esmagador</v>
      </c>
      <c r="B33" s="241"/>
      <c r="C33" s="241" t="str">
        <f>IFERROR(__xludf.DUMMYFUNCTION("""COMPUTED_VALUE"""),"A Respiração de Dragão")</f>
        <v>A Respiração de Dragão</v>
      </c>
      <c r="D33" s="241"/>
      <c r="E33" s="241" t="str">
        <f>IFERROR(__xludf.DUMMYFUNCTION("""COMPUTED_VALUE"""),"Lâmina do Ragnarok")</f>
        <v>Lâmina do Ragnarok</v>
      </c>
      <c r="F33" s="241"/>
      <c r="G33" s="241"/>
      <c r="H33" s="241"/>
      <c r="I33" s="241" t="str">
        <f>IFERROR(__xludf.DUMMYFUNCTION("""COMPUTED_VALUE"""),"Guerra Nórdica")</f>
        <v>Guerra Nórdica</v>
      </c>
      <c r="J33" s="241"/>
      <c r="K33" s="241" t="str">
        <f>IFERROR(__xludf.DUMMYFUNCTION("""COMPUTED_VALUE"""),"Sweet Surprise")</f>
        <v>Sweet Surprise</v>
      </c>
      <c r="L33" s="242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2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2"/>
    </row>
    <row r="34" hidden="1">
      <c r="A34" s="241" t="str">
        <f>IFERROR(__xludf.DUMMYFUNCTION("""COMPUTED_VALUE"""),"Amaciador")</f>
        <v>Amaciador</v>
      </c>
      <c r="B34" s="241"/>
      <c r="C34" s="241" t="str">
        <f>IFERROR(__xludf.DUMMYFUNCTION("""COMPUTED_VALUE"""),"Arcabuz de relíquia")</f>
        <v>Arcabuz de relíquia</v>
      </c>
      <c r="D34" s="241"/>
      <c r="E34" s="241" t="str">
        <f>IFERROR(__xludf.DUMMYFUNCTION("""COMPUTED_VALUE"""),"Machado Irado")</f>
        <v>Machado Irado</v>
      </c>
      <c r="F34" s="241"/>
      <c r="G34" s="241"/>
      <c r="H34" s="241"/>
      <c r="I34" s="241" t="str">
        <f>IFERROR(__xludf.DUMMYFUNCTION("""COMPUTED_VALUE"""),"Pilgrim Blunderbus")</f>
        <v>Pilgrim Blunderbus</v>
      </c>
      <c r="J34" s="241"/>
      <c r="K34" s="241" t="str">
        <f>IFERROR(__xludf.DUMMYFUNCTION("""COMPUTED_VALUE"""),"Traidora")</f>
        <v>Traidora</v>
      </c>
      <c r="L34" s="242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2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2"/>
    </row>
    <row r="35" hidden="1">
      <c r="A35" s="241" t="str">
        <f>IFERROR(__xludf.DUMMYFUNCTION("""COMPUTED_VALUE"""),"Rainmakers")</f>
        <v>Rainmakers</v>
      </c>
      <c r="B35" s="241"/>
      <c r="C35" s="241" t="str">
        <f>IFERROR(__xludf.DUMMYFUNCTION("""COMPUTED_VALUE"""),"Julgamento")</f>
        <v>Julgamento</v>
      </c>
      <c r="D35" s="241"/>
      <c r="E35" s="241" t="str">
        <f>IFERROR(__xludf.DUMMYFUNCTION("""COMPUTED_VALUE"""),"Machado da Sombra")</f>
        <v>Machado da Sombra</v>
      </c>
      <c r="F35" s="241"/>
      <c r="G35" s="241"/>
      <c r="H35" s="241"/>
      <c r="I35" s="241" t="str">
        <f>IFERROR(__xludf.DUMMYFUNCTION("""COMPUTED_VALUE"""),"Pistola de Pirata")</f>
        <v>Pistola de Pirata</v>
      </c>
      <c r="J35" s="241"/>
      <c r="K35" s="241" t="str">
        <f>IFERROR(__xludf.DUMMYFUNCTION("""COMPUTED_VALUE"""),"Sete Estrelas")</f>
        <v>Sete Estrelas</v>
      </c>
      <c r="L35" s="242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2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2"/>
    </row>
    <row r="36" hidden="1">
      <c r="A36" s="241" t="str">
        <f>IFERROR(__xludf.DUMMYFUNCTION("""COMPUTED_VALUE"""),"Shattering Core")</f>
        <v>Shattering Core</v>
      </c>
      <c r="B36" s="241"/>
      <c r="C36" s="241" t="str">
        <f>IFERROR(__xludf.DUMMYFUNCTION("""COMPUTED_VALUE"""),"Lança Bombas")</f>
        <v>Lança Bombas</v>
      </c>
      <c r="D36" s="241"/>
      <c r="E36" s="241" t="str">
        <f>IFERROR(__xludf.DUMMYFUNCTION("""COMPUTED_VALUE"""),"Labrys de Hefesto")</f>
        <v>Labrys de Hefesto</v>
      </c>
      <c r="F36" s="241"/>
      <c r="G36" s="241"/>
      <c r="H36" s="241"/>
      <c r="I36" s="241" t="str">
        <f>IFERROR(__xludf.DUMMYFUNCTION("""COMPUTED_VALUE"""),"Arma Grandona")</f>
        <v>Arma Grandona</v>
      </c>
      <c r="J36" s="241"/>
      <c r="K36" s="241" t="str">
        <f>IFERROR(__xludf.DUMMYFUNCTION("""COMPUTED_VALUE"""),"Presa de Dragão")</f>
        <v>Presa de Dragão</v>
      </c>
      <c r="L36" s="242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2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2"/>
    </row>
    <row r="37" hidden="1">
      <c r="A37" s="241" t="str">
        <f>IFERROR(__xludf.DUMMYFUNCTION("""COMPUTED_VALUE"""),"Pharaoh Flail")</f>
        <v>Pharaoh Flail</v>
      </c>
      <c r="B37" s="241"/>
      <c r="C37" s="241" t="str">
        <f>IFERROR(__xludf.DUMMYFUNCTION("""COMPUTED_VALUE"""),"Guerra Nórdica")</f>
        <v>Guerra Nórdica</v>
      </c>
      <c r="D37" s="241"/>
      <c r="E37" s="241" t="str">
        <f>IFERROR(__xludf.DUMMYFUNCTION("""COMPUTED_VALUE"""),"Forseti's Axe")</f>
        <v>Forseti's Axe</v>
      </c>
      <c r="F37" s="241"/>
      <c r="G37" s="241"/>
      <c r="H37" s="241"/>
      <c r="I37" s="241" t="str">
        <f>IFERROR(__xludf.DUMMYFUNCTION("""COMPUTED_VALUE"""),"Lança Estacas")</f>
        <v>Lança Estacas</v>
      </c>
      <c r="J37" s="241"/>
      <c r="K37" s="241" t="str">
        <f>IFERROR(__xludf.DUMMYFUNCTION("""COMPUTED_VALUE"""),"Punhal Indiano")</f>
        <v>Punhal Indiano</v>
      </c>
      <c r="L37" s="242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2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2"/>
    </row>
    <row r="38" hidden="1">
      <c r="A38" s="241"/>
      <c r="B38" s="241"/>
      <c r="C38" s="241" t="str">
        <f>IFERROR(__xludf.DUMMYFUNCTION("""COMPUTED_VALUE"""),"Pilgrim Blunderbus")</f>
        <v>Pilgrim Blunderbus</v>
      </c>
      <c r="D38" s="241"/>
      <c r="E38" s="241" t="str">
        <f>IFERROR(__xludf.DUMMYFUNCTION("""COMPUTED_VALUE"""),"Estrela D'alva")</f>
        <v>Estrela D'alva</v>
      </c>
      <c r="F38" s="241"/>
      <c r="G38" s="241"/>
      <c r="H38" s="241"/>
      <c r="I38" s="241" t="str">
        <f>IFERROR(__xludf.DUMMYFUNCTION("""COMPUTED_VALUE"""),"Disparo do Demônio")</f>
        <v>Disparo do Demônio</v>
      </c>
      <c r="J38" s="241"/>
      <c r="K38" s="241" t="str">
        <f>IFERROR(__xludf.DUMMYFUNCTION("""COMPUTED_VALUE"""),"Adaga de Obsidiana")</f>
        <v>Adaga de Obsidiana</v>
      </c>
      <c r="L38" s="242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2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2"/>
    </row>
    <row r="39" hidden="1">
      <c r="A39" s="241"/>
      <c r="B39" s="241"/>
      <c r="C39" s="241" t="str">
        <f>IFERROR(__xludf.DUMMYFUNCTION("""COMPUTED_VALUE"""),"Pistola de Pirata")</f>
        <v>Pistola de Pirata</v>
      </c>
      <c r="D39" s="241"/>
      <c r="E39" s="241" t="str">
        <f>IFERROR(__xludf.DUMMYFUNCTION("""COMPUTED_VALUE"""),"Tronco de árvore")</f>
        <v>Tronco de árvore</v>
      </c>
      <c r="F39" s="241"/>
      <c r="G39" s="241"/>
      <c r="H39" s="241"/>
      <c r="I39" s="241" t="str">
        <f>IFERROR(__xludf.DUMMYFUNCTION("""COMPUTED_VALUE"""),"Dragon Fire")</f>
        <v>Dragon Fire</v>
      </c>
      <c r="J39" s="241"/>
      <c r="K39" s="241" t="str">
        <f>IFERROR(__xludf.DUMMYFUNCTION("""COMPUTED_VALUE"""),"Canivete Afótico")</f>
        <v>Canivete Afótico</v>
      </c>
      <c r="L39" s="242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2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2"/>
    </row>
    <row r="40" hidden="1">
      <c r="A40" s="241"/>
      <c r="B40" s="241"/>
      <c r="C40" s="241" t="str">
        <f>IFERROR(__xludf.DUMMYFUNCTION("""COMPUTED_VALUE"""),"Arma Grandona")</f>
        <v>Arma Grandona</v>
      </c>
      <c r="D40" s="241"/>
      <c r="E40" s="241" t="str">
        <f>IFERROR(__xludf.DUMMYFUNCTION("""COMPUTED_VALUE"""),"Martelo-Punho")</f>
        <v>Martelo-Punho</v>
      </c>
      <c r="F40" s="241"/>
      <c r="G40" s="241"/>
      <c r="H40" s="241"/>
      <c r="I40" s="241" t="str">
        <f>IFERROR(__xludf.DUMMYFUNCTION("""COMPUTED_VALUE"""),"Arma Pirata")</f>
        <v>Arma Pirata</v>
      </c>
      <c r="J40" s="241"/>
      <c r="K40" s="241" t="str">
        <f>IFERROR(__xludf.DUMMYFUNCTION("""COMPUTED_VALUE"""),"Adaga Primordial")</f>
        <v>Adaga Primordial</v>
      </c>
      <c r="L40" s="242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2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2"/>
    </row>
    <row r="41" hidden="1">
      <c r="A41" s="241"/>
      <c r="B41" s="241"/>
      <c r="C41" s="241" t="str">
        <f>IFERROR(__xludf.DUMMYFUNCTION("""COMPUTED_VALUE"""),"Lança Estacas")</f>
        <v>Lança Estacas</v>
      </c>
      <c r="D41" s="241"/>
      <c r="E41" s="241" t="str">
        <f>IFERROR(__xludf.DUMMYFUNCTION("""COMPUTED_VALUE"""),"Cetro Real")</f>
        <v>Cetro Real</v>
      </c>
      <c r="F41" s="241"/>
      <c r="G41" s="241"/>
      <c r="H41" s="241"/>
      <c r="I41" s="241"/>
      <c r="J41" s="241"/>
      <c r="K41" s="241" t="str">
        <f>IFERROR(__xludf.DUMMYFUNCTION("""COMPUTED_VALUE"""),"Mistilteinn")</f>
        <v>Mistilteinn</v>
      </c>
      <c r="L41" s="242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2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</row>
    <row r="42" hidden="1">
      <c r="A42" s="241"/>
      <c r="B42" s="241"/>
      <c r="C42" s="241" t="str">
        <f>IFERROR(__xludf.DUMMYFUNCTION("""COMPUTED_VALUE"""),"Disparo do Demônio")</f>
        <v>Disparo do Demônio</v>
      </c>
      <c r="D42" s="241"/>
      <c r="E42" s="241" t="str">
        <f>IFERROR(__xludf.DUMMYFUNCTION("""COMPUTED_VALUE"""),"Martelo Relíquia")</f>
        <v>Martelo Relíquia</v>
      </c>
      <c r="F42" s="241"/>
      <c r="G42" s="241"/>
      <c r="H42" s="241"/>
      <c r="I42" s="241"/>
      <c r="J42" s="241"/>
      <c r="K42" s="241"/>
      <c r="L42" s="242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2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2"/>
    </row>
    <row r="43" hidden="1">
      <c r="A43" s="241"/>
      <c r="B43" s="241"/>
      <c r="C43" s="241" t="str">
        <f>IFERROR(__xludf.DUMMYFUNCTION("""COMPUTED_VALUE"""),"Dragon Fire")</f>
        <v>Dragon Fire</v>
      </c>
      <c r="D43" s="241"/>
      <c r="E43" s="241" t="str">
        <f>IFERROR(__xludf.DUMMYFUNCTION("""COMPUTED_VALUE"""),"Apocalipto")</f>
        <v>Apocalipto</v>
      </c>
      <c r="F43" s="241"/>
      <c r="G43" s="241"/>
      <c r="H43" s="241"/>
      <c r="I43" s="241"/>
      <c r="J43" s="241"/>
      <c r="K43" s="241"/>
      <c r="L43" s="242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2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2"/>
    </row>
    <row r="44" hidden="1">
      <c r="A44" s="241"/>
      <c r="B44" s="241"/>
      <c r="C44" s="241" t="str">
        <f>IFERROR(__xludf.DUMMYFUNCTION("""COMPUTED_VALUE"""),"Arma Pirata")</f>
        <v>Arma Pirata</v>
      </c>
      <c r="D44" s="241"/>
      <c r="E44" s="241" t="str">
        <f>IFERROR(__xludf.DUMMYFUNCTION("""COMPUTED_VALUE"""),"Estrela Noturna")</f>
        <v>Estrela Noturna</v>
      </c>
      <c r="F44" s="241"/>
      <c r="G44" s="241"/>
      <c r="H44" s="241"/>
      <c r="I44" s="241"/>
      <c r="J44" s="241"/>
      <c r="K44" s="241"/>
      <c r="L44" s="242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2"/>
    </row>
    <row r="45" hidden="1">
      <c r="A45" s="241"/>
      <c r="B45" s="241"/>
      <c r="C45" s="241"/>
      <c r="D45" s="241"/>
      <c r="E45" s="241" t="str">
        <f>IFERROR(__xludf.DUMMYFUNCTION("""COMPUTED_VALUE"""),"Cem-Toneladas")</f>
        <v>Cem-Toneladas</v>
      </c>
      <c r="F45" s="241"/>
      <c r="G45" s="241"/>
      <c r="H45" s="241"/>
      <c r="I45" s="241"/>
      <c r="J45" s="241"/>
      <c r="K45" s="241"/>
      <c r="L45" s="242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2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2"/>
    </row>
    <row r="46" hidden="1">
      <c r="A46" s="241"/>
      <c r="B46" s="241"/>
      <c r="C46" s="241"/>
      <c r="D46" s="241"/>
      <c r="E46" s="241" t="str">
        <f>IFERROR(__xludf.DUMMYFUNCTION("""COMPUTED_VALUE"""),"Esmagador")</f>
        <v>Esmagador</v>
      </c>
      <c r="F46" s="241"/>
      <c r="G46" s="241"/>
      <c r="H46" s="241"/>
      <c r="I46" s="241"/>
      <c r="J46" s="241"/>
      <c r="K46" s="241"/>
      <c r="L46" s="242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2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2"/>
    </row>
    <row r="47" hidden="1">
      <c r="A47" s="241"/>
      <c r="B47" s="241"/>
      <c r="C47" s="241"/>
      <c r="D47" s="241"/>
      <c r="E47" s="241" t="str">
        <f>IFERROR(__xludf.DUMMYFUNCTION("""COMPUTED_VALUE"""),"Amaciador")</f>
        <v>Amaciador</v>
      </c>
      <c r="F47" s="241"/>
      <c r="G47" s="241"/>
      <c r="H47" s="241"/>
      <c r="I47" s="241"/>
      <c r="J47" s="241"/>
      <c r="K47" s="241"/>
      <c r="L47" s="242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2"/>
    </row>
    <row r="48" hidden="1">
      <c r="A48" s="241"/>
      <c r="B48" s="241"/>
      <c r="C48" s="241"/>
      <c r="D48" s="241"/>
      <c r="E48" s="241" t="str">
        <f>IFERROR(__xludf.DUMMYFUNCTION("""COMPUTED_VALUE"""),"Rainmakers")</f>
        <v>Rainmakers</v>
      </c>
      <c r="F48" s="241"/>
      <c r="G48" s="241"/>
      <c r="H48" s="241"/>
      <c r="I48" s="241"/>
      <c r="J48" s="241"/>
      <c r="K48" s="241"/>
      <c r="L48" s="242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2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2"/>
    </row>
    <row r="49" hidden="1">
      <c r="A49" s="241"/>
      <c r="B49" s="241"/>
      <c r="C49" s="241"/>
      <c r="D49" s="241"/>
      <c r="E49" s="241" t="str">
        <f>IFERROR(__xludf.DUMMYFUNCTION("""COMPUTED_VALUE"""),"Shattering Core")</f>
        <v>Shattering Core</v>
      </c>
      <c r="F49" s="241"/>
      <c r="G49" s="241"/>
      <c r="H49" s="241"/>
      <c r="I49" s="241"/>
      <c r="J49" s="241"/>
      <c r="K49" s="241"/>
      <c r="L49" s="242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2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2"/>
    </row>
    <row r="50" hidden="1">
      <c r="A50" s="241"/>
      <c r="B50" s="241"/>
      <c r="C50" s="241"/>
      <c r="D50" s="241"/>
      <c r="E50" s="241" t="str">
        <f>IFERROR(__xludf.DUMMYFUNCTION("""COMPUTED_VALUE"""),"Pharaoh Flail")</f>
        <v>Pharaoh Flail</v>
      </c>
      <c r="F50" s="241"/>
      <c r="G50" s="241"/>
      <c r="H50" s="241"/>
      <c r="I50" s="241"/>
      <c r="J50" s="241"/>
      <c r="K50" s="241"/>
      <c r="L50" s="242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2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2"/>
    </row>
    <row r="51" hidden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2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2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2"/>
    </row>
    <row r="52" hidden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2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2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2"/>
    </row>
    <row r="53" hidden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2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2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2"/>
    </row>
    <row r="54" hidden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2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2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2"/>
    </row>
    <row r="55" hidden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2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2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2"/>
    </row>
    <row r="56" hidden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2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2"/>
    </row>
    <row r="57" hidden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2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2"/>
    </row>
    <row r="58" hidden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2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2"/>
    </row>
    <row r="59" hidden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2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2"/>
    </row>
    <row r="60" hidden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2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2"/>
    </row>
    <row r="61" hidden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2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2"/>
    </row>
    <row r="62" hidden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2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2"/>
    </row>
    <row r="63" hidden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2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2"/>
    </row>
    <row r="64" hidden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2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2"/>
    </row>
    <row r="65" hidden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2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2"/>
    </row>
    <row r="66" hidden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2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2"/>
    </row>
    <row r="67" hidden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2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2"/>
    </row>
    <row r="68" hidden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2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2"/>
    </row>
    <row r="69" hidden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2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2"/>
    </row>
    <row r="70" hidden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2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2"/>
    </row>
    <row r="71" hidden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2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2"/>
    </row>
    <row r="72" hidden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2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2"/>
    </row>
    <row r="73" hidden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2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2"/>
    </row>
    <row r="74" hidden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2"/>
    </row>
    <row r="75" hidden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2"/>
    </row>
    <row r="76" hidden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2"/>
    </row>
    <row r="77" hidden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2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2"/>
    </row>
    <row r="78" hidden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2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2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2"/>
    </row>
    <row r="79" hidden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2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2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2"/>
    </row>
    <row r="80" hidden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2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2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2"/>
    </row>
    <row r="81" hidden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2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2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2"/>
    </row>
    <row r="82" hidden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2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2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2"/>
    </row>
    <row r="83" hidden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2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2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2"/>
    </row>
    <row r="84" hidden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2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2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2"/>
    </row>
    <row r="85" hidden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2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2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2"/>
    </row>
    <row r="86" hidden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2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2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2"/>
    </row>
    <row r="87" hidden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2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2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2"/>
    </row>
    <row r="88" hidden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2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2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2"/>
    </row>
    <row r="89" hidden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2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2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2"/>
    </row>
    <row r="90" hidden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2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2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2"/>
    </row>
    <row r="91" hidden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2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2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2"/>
    </row>
    <row r="92" hidden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2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2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2"/>
    </row>
    <row r="93" hidden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2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2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2"/>
    </row>
    <row r="94" hidden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2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2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2"/>
    </row>
    <row r="95" hidden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2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2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2"/>
    </row>
    <row r="96" hidden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2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2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2"/>
    </row>
    <row r="97" hidden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2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2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2"/>
    </row>
    <row r="98" hidden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2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2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2"/>
    </row>
    <row r="99" hidden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2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2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2"/>
    </row>
    <row r="100" hidden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2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2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2"/>
    </row>
    <row r="101" hidden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2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2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2"/>
    </row>
    <row r="102" hidden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2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2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2"/>
    </row>
    <row r="103" hidden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2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2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2"/>
    </row>
    <row r="104" hidden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2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2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2"/>
    </row>
    <row r="105" hidden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2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2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2"/>
    </row>
    <row r="106" hidden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2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2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2"/>
    </row>
    <row r="107" hidden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2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2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2"/>
    </row>
    <row r="108" hidden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2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2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2"/>
    </row>
    <row r="109" hidden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2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2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2"/>
    </row>
    <row r="110" hidden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2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2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2"/>
    </row>
    <row r="111" hidden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2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2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2"/>
    </row>
    <row r="112" hidden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2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2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2"/>
    </row>
    <row r="113" hidden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2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2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2"/>
    </row>
    <row r="114" hidden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2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2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2"/>
    </row>
    <row r="115" hidden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2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2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2"/>
    </row>
    <row r="116" hidden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2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2"/>
    </row>
    <row r="117" hidden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2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2"/>
    </row>
    <row r="118" hidden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2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2"/>
    </row>
    <row r="119" hidden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2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2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2"/>
    </row>
    <row r="120" hidden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2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2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2"/>
    </row>
    <row r="121" hidden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2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2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2"/>
    </row>
    <row r="122" hidden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2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2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2"/>
    </row>
    <row r="123" hidden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2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2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2"/>
    </row>
    <row r="124" hidden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2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2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2"/>
    </row>
    <row r="125" hidden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2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2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2"/>
    </row>
    <row r="126" hidden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2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2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2"/>
    </row>
    <row r="127" hidden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2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2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2"/>
    </row>
    <row r="128" hidden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2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2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2"/>
    </row>
    <row r="129" hidden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2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2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2"/>
    </row>
    <row r="130" hidden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2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2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2"/>
    </row>
    <row r="131" hidden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2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2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2"/>
    </row>
    <row r="132" hidden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2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2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2"/>
    </row>
    <row r="133" hidden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2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2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2"/>
    </row>
    <row r="134" hidden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2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2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2"/>
    </row>
    <row r="135" hidden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2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2"/>
    </row>
    <row r="136" hidden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2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2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2"/>
    </row>
    <row r="137" hidden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2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2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2"/>
    </row>
    <row r="138" hidden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2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2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2"/>
    </row>
    <row r="139" hidden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2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2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2"/>
    </row>
    <row r="140" hidden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2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2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2"/>
    </row>
    <row r="141" hidden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2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2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2"/>
    </row>
    <row r="142" hidden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2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2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2"/>
    </row>
    <row r="143" hidden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2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2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2"/>
    </row>
    <row r="144" hidden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2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2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2"/>
    </row>
    <row r="145" hidden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2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2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</row>
    <row r="146" hidden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2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2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2"/>
    </row>
    <row r="147" hidden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2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2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2"/>
    </row>
    <row r="148" hidden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2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2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2"/>
    </row>
    <row r="149" hidden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2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2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2"/>
    </row>
    <row r="150" hidden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2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2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2"/>
    </row>
    <row r="151" hidden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2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2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2"/>
    </row>
    <row r="152" hidden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2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2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2"/>
    </row>
    <row r="153" hidden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2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2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2"/>
    </row>
    <row r="154" hidden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2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2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2"/>
    </row>
    <row r="155" hidden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2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2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2"/>
    </row>
    <row r="156" hidden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2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2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2"/>
    </row>
    <row r="157" hidden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2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2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2"/>
    </row>
    <row r="158" hidden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2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2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2"/>
    </row>
    <row r="159" hidden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2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2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2"/>
    </row>
    <row r="160" hidden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2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2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2"/>
    </row>
    <row r="161" hidden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2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2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2"/>
    </row>
    <row r="162" hidden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2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2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2"/>
    </row>
    <row r="163" hidden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2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2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2"/>
    </row>
    <row r="164" hidden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2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2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2"/>
    </row>
    <row r="165" hidden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2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2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2"/>
    </row>
    <row r="166" hidden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2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2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2"/>
    </row>
    <row r="167" hidden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2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2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2"/>
    </row>
    <row r="168" hidden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2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2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2"/>
    </row>
    <row r="169" hidden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2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2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2"/>
    </row>
    <row r="170" hidden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2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2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2"/>
    </row>
    <row r="171" hidden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2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2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2"/>
    </row>
    <row r="172" hidden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2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2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2"/>
    </row>
    <row r="173" hidden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2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2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2"/>
    </row>
    <row r="174" hidden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2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2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2"/>
    </row>
    <row r="175" hidden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2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2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2"/>
    </row>
    <row r="176" hidden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2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2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2"/>
    </row>
    <row r="177" hidden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2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2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2"/>
    </row>
    <row r="178" hidden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2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2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2"/>
    </row>
    <row r="179" hidden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2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2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2"/>
    </row>
    <row r="180" hidden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2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2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2"/>
    </row>
    <row r="181" hidden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2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2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2"/>
    </row>
    <row r="182" hidden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2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2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2"/>
    </row>
    <row r="183" hidden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2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2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2"/>
    </row>
    <row r="184" hidden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2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2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2"/>
    </row>
    <row r="185" hidden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2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2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2"/>
    </row>
    <row r="186" hidden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2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2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2"/>
    </row>
    <row r="187" hidden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2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2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2"/>
    </row>
    <row r="188" hidden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2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2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2"/>
    </row>
    <row r="189" hidden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2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2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2"/>
    </row>
    <row r="190" hidden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2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2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2"/>
    </row>
    <row r="191" hidden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2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2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2"/>
    </row>
    <row r="192" hidden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2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2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2"/>
    </row>
    <row r="193" hidden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2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2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2"/>
    </row>
    <row r="194" hidden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2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2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2"/>
    </row>
    <row r="195" hidden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2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2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2"/>
    </row>
    <row r="196" hidden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2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2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2"/>
    </row>
    <row r="197" hidden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2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2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2"/>
    </row>
    <row r="198" hidden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2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2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2"/>
    </row>
    <row r="199" hidden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2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2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2"/>
    </row>
    <row r="200" hidden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2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2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2"/>
    </row>
    <row r="201" hidden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2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2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2"/>
    </row>
    <row r="202" hidden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2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2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2"/>
    </row>
    <row r="203" hidden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2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2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2"/>
    </row>
    <row r="204" hidden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2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2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2"/>
    </row>
    <row r="205" hidden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2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2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2"/>
    </row>
    <row r="206" hidden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2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2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2"/>
    </row>
    <row r="207" hidden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2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2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2"/>
    </row>
    <row r="208" hidden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2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2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2"/>
    </row>
    <row r="209" hidden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2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2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2"/>
    </row>
    <row r="210" hidden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2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2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2"/>
    </row>
    <row r="211" hidden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2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2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2"/>
    </row>
    <row r="212" hidden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2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2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2"/>
    </row>
    <row r="213" hidden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2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2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2"/>
    </row>
    <row r="214" hidden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2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2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2"/>
    </row>
    <row r="215" hidden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2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2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2"/>
    </row>
    <row r="216" hidden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2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2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2"/>
    </row>
    <row r="217" hidden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2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2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2"/>
    </row>
    <row r="218" hidden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2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2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2"/>
    </row>
    <row r="219" hidden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2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2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2"/>
    </row>
    <row r="220" hidden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2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2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2"/>
    </row>
    <row r="221" hidden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2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2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2"/>
    </row>
    <row r="222" hidden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2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2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2"/>
    </row>
    <row r="223" hidden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2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2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2"/>
    </row>
    <row r="224" hidden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2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2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2"/>
    </row>
    <row r="225" hidden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2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2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2"/>
    </row>
    <row r="226" hidden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2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2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2"/>
    </row>
    <row r="227" hidden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2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2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2"/>
    </row>
    <row r="228" hidden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2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2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2"/>
    </row>
    <row r="229" hidden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2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2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2"/>
    </row>
    <row r="230" hidden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2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2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2"/>
    </row>
    <row r="231" hidden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2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2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2"/>
    </row>
    <row r="232" hidden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2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2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2"/>
    </row>
    <row r="233" hidden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2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2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2"/>
    </row>
    <row r="234" hidden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2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2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2"/>
    </row>
    <row r="235" hidden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2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2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2"/>
    </row>
    <row r="236" hidden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2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2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2"/>
    </row>
    <row r="237" hidden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2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2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2"/>
    </row>
    <row r="238" hidden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2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2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2"/>
    </row>
    <row r="239" hidden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2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2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2"/>
    </row>
    <row r="240" hidden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2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2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2"/>
    </row>
    <row r="241" hidden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2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2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2"/>
    </row>
    <row r="242" hidden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2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2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2"/>
    </row>
    <row r="243" hidden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2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2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2"/>
    </row>
    <row r="244" hidden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2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2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2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2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2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2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2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2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2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2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2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2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2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2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2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2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2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2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2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2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2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2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2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2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2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2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2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2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2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2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2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2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2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2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2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2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2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2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2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2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2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2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2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2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2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2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2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2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2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2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2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2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2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2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2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2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2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2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2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2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2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2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2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2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2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2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2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2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2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2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2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2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2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2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2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2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2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2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2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2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2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2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2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2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2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2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2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2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2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2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2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2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2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2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2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2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2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2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2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2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2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2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2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2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2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2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2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2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2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2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2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2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2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2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2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2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2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2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2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2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2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2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2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2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2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2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2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2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2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2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2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2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2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2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2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2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2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2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2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2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2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2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2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2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2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2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2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2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2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2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2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2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2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2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2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2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2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2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2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2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2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2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2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2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2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2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2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2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2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2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2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2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2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2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2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2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2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2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2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2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2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2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2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2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2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2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2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2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2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2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2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2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2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2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2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2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2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2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2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2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2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2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2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2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2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2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2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2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2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2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2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2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2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2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2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2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2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2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2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2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2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2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2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2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2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2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2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2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2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2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2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2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2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2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2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2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2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2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2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2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2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2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2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2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2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2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2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2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2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2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2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2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2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2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2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2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2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2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2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2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2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2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2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2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2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2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2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2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2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2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2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2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2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2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2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2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2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2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2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2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2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2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2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2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2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2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2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2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2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2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2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2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2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2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2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2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2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2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2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2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2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2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2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2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2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2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2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2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2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2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2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2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2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2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2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2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2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2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2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2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2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2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2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2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2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2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2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2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2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2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2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2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2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2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2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2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2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2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2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2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2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2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2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2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2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2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2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2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2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2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2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2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2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2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2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2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2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2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2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2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2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2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2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2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2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2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2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2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2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2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2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2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2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2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2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2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2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2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2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2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2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2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2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2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2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2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2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2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2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2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2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2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2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2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2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2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2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2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2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2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2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2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2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2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2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2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2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2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2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2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2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2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2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2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2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2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2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2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2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2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2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2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2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2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2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2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2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2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2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2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2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2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2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2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2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2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2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2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2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2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2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2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2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2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2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2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2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2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2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2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2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2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2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2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2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2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2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2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2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2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2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2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2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2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2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2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2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2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  <c r="AA401" s="242"/>
      <c r="AB401" s="242"/>
      <c r="AC401" s="242"/>
      <c r="AD401" s="242"/>
      <c r="AE401" s="242"/>
      <c r="AF401" s="242"/>
      <c r="AG401" s="242"/>
      <c r="AH401" s="242"/>
      <c r="AI401" s="242"/>
      <c r="AJ401" s="242"/>
    </row>
    <row r="402">
      <c r="A402" s="241" t="str">
        <f>IFERROR(__xludf.DUMMYFUNCTION("IF('Time 1'!C3 = ""Albert"", query(IMPORTRANGE(cd_planilha, ""Armas!B3:G""), ""Select Col1 Where Col2 = '""&amp;Personagem!$B$10&amp;""' or Col2 = '""&amp;Personagem!$B$11&amp;""'""),     
if('Time 1'!C3 = ""Alicia"", query(IMPORTRANGE(cd_planilha, ""Armas!B3:G""), ""Sel"&amp;"ect Col1 Where Col2 = '""&amp;Personagem!$C$10&amp;""' or Col2 = '""&amp;Personagem!$C$11&amp;""'""),
if('Time 1'!C3 = ""Azula"", query(IMPORTRANGE(cd_planilha, ""Armas!B3:G""), ""Select Col1 Where Col2 = '""&amp;Personagem!$D$10&amp;""' or Col2 = '""&amp;Personagem!$D$11&amp;""' ""),
i"&amp;"f('Time 1'!C3 = ""Charles"", query(IMPORTRANGE(cd_planilha, ""Armas!B3:G""), ""Select Col1 Where Col2 = '""&amp;Personagem!$E$10&amp;""' or Col2 = '""&amp;Personagem!$E$11&amp;""'""),
if('Time 1'!C3 = ""Clovis"", query(IMPORTRANGE(cd_planilha, ""Armas!B3:G""), ""Select C"&amp;"ol1 Where Col2 = '""&amp;Personagem!$F$10&amp;""' or Col2 = '""&amp;Personagem!$F$11&amp;""' ""),
if('Time 1'!C3 = ""Darthos"", query(IMPORTRANGE(cd_planilha, ""Armas!B3:G""), ""Select Col1 Where Col2 = '""&amp;Personagem!$G$10&amp;""' or Col2 = '""&amp;Personagem!$G$11&amp;""'""),
if('"&amp;"Time 1'!C3 = ""Edward"", query(IMPORTRANGE(cd_planilha, ""Armas!B3:G""), ""Select Col1 Where Col2 = '""&amp;Personagem!$H$10&amp;""' or Col2 = '""&amp;Personagem!$H$11&amp;""' ""),
if('Time 1'!C3 = ""Fiora"", query(IMPORTRANGE(cd_planilha, ""Armas!B3:G""), ""Select Col1 "&amp;"Where Col2 = '""&amp;Personagem!$I$10&amp;""' or Col2 = '""&amp;Personagem!$I$11&amp;""' ""),
if('Time 1'!C3 = ""Francesca"", query(IMPORTRANGE(cd_planilha, ""Armas!B3:G""), ""Select Col1 Where Col2 = '""&amp;Personagem!$J$10&amp;""' or Col2 = '""&amp;Personagem!$J$11&amp;""'""),
if('Ti"&amp;"me 1'!C3 = ""Garreth"", query(IMPORTRANGE(cd_planilha, ""Armas!B3:G""), ""Select Col1 Where Col2 = '""&amp;Personagem!$K$10&amp;""' or Col2 = '""&amp;Personagem!$K$11&amp;""'""),
if('Time 1'!C3 = ""Gauvin"", query(IMPORTRANGE(cd_planilha, ""Armas!B3:G""), ""Select Col1 W"&amp;"here Col2 = '""&amp;Personagem!$L$10&amp;""' or Col2 = '""&amp;Personagem!$L$11&amp;""' ""),
if('Time 1'!C3 = ""Irene"", query(IMPORTRANGE(cd_planilha, ""Armas!B3:G""), ""Select Col1 Where Col2 = '""&amp;Personagem!$M$10&amp;""' or Col2 = '""&amp;Personagem!$M$11&amp;""' ""),
if('Time 1"&amp;"'!C3 = ""Karal"", query(IMPORTRANGE(cd_planilha, ""Armas!B3:G""), ""Select Col1 Where Col2 = '""&amp;Personagem!$N$10&amp;""' or Col2 = '""&amp;Personagem!$N$11&amp;""' ""),
if('Time 1'!C3 = ""Kuro Shobi"", query(IMPORTRANGE(cd_planilha, ""Armas!B3:G""), ""Select Col1 Wh"&amp;"ere Col2 = '""&amp;Personagem!$O$10&amp;""' or Col2 = '""&amp;Personagem!$O$11&amp;""'""),
if('Time 1'!C3 = ""Kurul"", query(IMPORTRANGE(cd_planilha, ""Armas!B3:G""), ""Select Col1 Where Col2 = '""&amp;Personagem!$P$10&amp;""' or Col2 = '""&amp;Personagem!$P$11&amp;""' ""),
if('Time 1'!"&amp;"C3 = ""Lancaster"", query(IMPORTRANGE(cd_planilha, ""Armas!B3:G""), ""Select Col1 Where Col2 = '""&amp;Personagem!$Q$10&amp;""' or Col2 = '""&amp;Personagem!$Q$11&amp;""'""),
if('Time 1'!C3 = ""Lorelei"", query(IMPORTRANGE(cd_planilha, ""Armas!B3:G""), ""Select Col1 Wher"&amp;"e Col2 = '""&amp;Personagem!$R$10&amp;""' or Col2 = '""&amp;Personagem!$R$11&amp;""' ""),
if('Time 1'!C3 = ""Louca"", query(IMPORTRANGE(cd_planilha, ""Armas!B3:G""), ""Select Col1 Where Col2 = '""&amp;Personagem!$S$10&amp;""' or Col2 = '""&amp;Personagem!$S$11&amp;""' ""),
if('Time 1'!C"&amp;"3 = ""Melina"", query(IMPORTRANGE(cd_planilha, ""Armas!B3:G""), ""Select Col1 Where Col2 = '""&amp;Personagem!$T$10&amp;""' or Col2 = '""&amp;Personagem!$T$11&amp;""'""),
if('Time 1'!C3 = ""Mila"", query(IMPORTRANGE(cd_planilha, ""Armas!B3:G""), ""Select Col1 Where Col2 "&amp;"= '""&amp;Personagem!$U$10&amp;""' or Col2 = '""&amp;Personagem!$U$11&amp;""' ""),
if('Time 1'!C3 = ""Minh"", query(IMPORTRANGE(cd_planilha, ""Armas!B3:G""), ""Select Col1 Where Col2 = '""&amp;Personagem!$V$10&amp;""' or Col2 = '""&amp;Personagem!$V$11&amp;""' ""),
if('Time 1'!C3 = ""Mo"&amp;"jian"", query(IMPORTRANGE(cd_planilha, ""Armas!B3:G""), ""Select Col1 Where Col2 = '""&amp;Personagem!$W$10&amp;""' or Col2 = '""&amp;Personagem!$W$11&amp;""'""),
if('Time 1'!C3 = ""Nya"", query(IMPORTRANGE(cd_planilha, ""Armas!B3:G""), ""Select Col1 Where Col2 = '""&amp;Per"&amp;"sonagem!$X$10&amp;""' or Col2 = '""&amp;Personagem!$X$11&amp;""' ""),
if('Time 1'!C3 = ""Odette"", query(IMPORTRANGE(cd_planilha, ""Armas!B3:G""), ""Select Col1 Where Col2 = '""&amp;Personagem!$Y$10&amp;""' or Col2 = '""&amp;Personagem!$Y$11&amp;""'""),
if('Time 1'!C3 = ""Oneira"", "&amp;"query(IMPORTRANGE(cd_planilha, ""Armas!B3:G""), ""Select Col1 Where Col2 = '""&amp;Personagem!$Z$10&amp;""' or Col2 = '""&amp;Personagem!$Z$11&amp;""' ""),
if('Time 1'!C3 = ""Palash"", query(IMPORTRANGE(cd_planilha, ""Armas!B3:G""), ""Select Col1 Where Col2 = '""&amp;Persona"&amp;"gem!$AA$10&amp;""' or Col2 = '""&amp;Personagem!$AA$11&amp;""'""),
if('Time 1'!C3 = ""Theor"", query(IMPORTRANGE(cd_planilha, ""Armas!B3:G""), ""Select Col1 Where Col2 = '""&amp;Personagem!$AB$10&amp;""' or Col2 = '""&amp;Personagem!$AB$11&amp;""' ""),
if('Time 1'!C3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B402" s="241"/>
      <c r="C402" s="241" t="str">
        <f>IFERROR(__xludf.DUMMYFUNCTION("if('Time 1'!C4 = ""Albert"", query(IMPORTRANGE(cd_planilha, ""Armas!B3:G""), ""Select Col1 Where Col2 = '""&amp;Personagem!$B$10&amp;""' or Col2 = '""&amp;Personagem!$B$11&amp;""'""),     
if('Time 1'!C4 = ""Alicia"", query(IMPORTRANGE(cd_planilha, ""Armas!B3:G""), ""Sel"&amp;"ect Col1 Where Col2 = '""&amp;Personagem!$C$10&amp;""' or Col2 = '""&amp;Personagem!$C$11&amp;""'""),
if('Time 1'!C4 = ""Azula"", query(IMPORTRANGE(cd_planilha, ""Armas!B3:G""), ""Select Col1 Where Col2 = '""&amp;Personagem!$D$10&amp;""' or Col2 = '""&amp;Personagem!$D$11&amp;""' ""),
i"&amp;"f('Time 1'!C4 = ""Charles"", query(IMPORTRANGE(cd_planilha, ""Armas!B3:G""), ""Select Col1 Where Col2 = '""&amp;Personagem!$E$10&amp;""' or Col2 = '""&amp;Personagem!$E$11&amp;""'""),
if('Time 1'!C4 = ""Clovis"", query(IMPORTRANGE(cd_planilha, ""Armas!B3:G""), ""Select C"&amp;"ol1 Where Col2 = '""&amp;Personagem!$F$10&amp;""' or Col2 = '""&amp;Personagem!$F$11&amp;""' ""),
if('Time 1'!C4 = ""Darthos"", query(IMPORTRANGE(cd_planilha, ""Armas!B3:G""), ""Select Col1 Where Col2 = '""&amp;Personagem!$G$10&amp;""' or Col2 = '""&amp;Personagem!$G$11&amp;""'""),
if('"&amp;"Time 1'!C4 = ""Edward"", query(IMPORTRANGE(cd_planilha, ""Armas!B3:G""), ""Select Col1 Where Col2 = '""&amp;Personagem!$H$10&amp;""' or Col2 = '""&amp;Personagem!$H$11&amp;""' ""),
if('Time 1'!C4 = ""Fiora"", query(IMPORTRANGE(cd_planilha, ""Armas!B3:G""), ""Select Col1 "&amp;"Where Col2 = '""&amp;Personagem!$I$10&amp;""' or Col2 = '""&amp;Personagem!$I$11&amp;""' ""),
if('Time 1'!C4 = ""Francesca"", query(IMPORTRANGE(cd_planilha, ""Armas!B3:G""), ""Select Col1 Where Col2 = '""&amp;Personagem!$J$10&amp;""' or Col2 = '""&amp;Personagem!$J$11&amp;""'""),
if('Ti"&amp;"me 1'!C4 = ""Garreth"", query(IMPORTRANGE(cd_planilha, ""Armas!B3:G""), ""Select Col1 Where Col2 = '""&amp;Personagem!$K$10&amp;""' or Col2 = '""&amp;Personagem!$K$11&amp;""'""),
if('Time 1'!C4 = ""Gauvin"", query(IMPORTRANGE(cd_planilha, ""Armas!B3:G""), ""Select Col1 W"&amp;"here Col2 = '""&amp;Personagem!$L$10&amp;""' or Col2 = '""&amp;Personagem!$L$11&amp;""' ""),
if('Time 1'!C4 = ""Irene"", query(IMPORTRANGE(cd_planilha, ""Armas!B3:G""), ""Select Col1 Where Col2 = '""&amp;Personagem!$M$10&amp;""' or Col2 = '""&amp;Personagem!$M$11&amp;""' ""),
if('Time 1"&amp;"'!C4 = ""Karal"", query(IMPORTRANGE(cd_planilha, ""Armas!B3:G""), ""Select Col1 Where Col2 = '""&amp;Personagem!$N$10&amp;""' or Col2 = '""&amp;Personagem!$N$11&amp;""' ""),
if('Time 1'!C4 = ""Kuro Shobi"", query(IMPORTRANGE(cd_planilha, ""Armas!B3:G""), ""Select Col1 Wh"&amp;"ere Col2 = '""&amp;Personagem!$O$10&amp;""' or Col2 = '""&amp;Personagem!$O$11&amp;""'""),
if('Time 1'!C4 = ""Kurul"", query(IMPORTRANGE(cd_planilha, ""Armas!B3:G""), ""Select Col1 Where Col2 = '""&amp;Personagem!$P$10&amp;""' or Col2 = '""&amp;Personagem!$P$11&amp;""' ""),
if('Time 1'!"&amp;"C4 = ""Lancaster"", query(IMPORTRANGE(cd_planilha, ""Armas!B3:G""), ""Select Col1 Where Col2 = '""&amp;Personagem!$Q$10&amp;""' or Col2 = '""&amp;Personagem!$Q$11&amp;""'""),
if('Time 1'!C4 = ""Lorelei"", query(IMPORTRANGE(cd_planilha, ""Armas!B3:G""), ""Select Col1 Wher"&amp;"e Col2 = '""&amp;Personagem!$R$10&amp;""' or Col2 = '""&amp;Personagem!$R$11&amp;""' ""),
if('Time 1'!C4 = ""Louca"", query(IMPORTRANGE(cd_planilha, ""Armas!B3:G""), ""Select Col1 Where Col2 = '""&amp;Personagem!$S$10&amp;""' or Col2 = '""&amp;Personagem!$S$11&amp;""' ""),
if('Time 1'!C"&amp;"4 = ""Melina"", query(IMPORTRANGE(cd_planilha, ""Armas!B3:G""), ""Select Col1 Where Col2 = '""&amp;Personagem!$T$10&amp;""' or Col2 = '""&amp;Personagem!$T$11&amp;""'""),
if('Time 1'!C4 = ""Mila"", query(IMPORTRANGE(cd_planilha, ""Armas!B3:G""), ""Select Col1 Where Col2 "&amp;"= '""&amp;Personagem!$U$10&amp;""' or Col2 = '""&amp;Personagem!$U$11&amp;""' ""),
if('Time 1'!C4 = ""Minh"", query(IMPORTRANGE(cd_planilha, ""Armas!B3:G""), ""Select Col1 Where Col2 = '""&amp;Personagem!$V$10&amp;""' or Col2 = '""&amp;Personagem!$V$11&amp;""' ""),
if('Time 1'!C4 = ""Mo"&amp;"jian"", query(IMPORTRANGE(cd_planilha, ""Armas!B3:G""), ""Select Col1 Where Col2 = '""&amp;Personagem!$W$10&amp;""' or Col2 = '""&amp;Personagem!$W$11&amp;""'""),
if('Time 1'!C4 = ""Nya"", query(IMPORTRANGE(cd_planilha, ""Armas!B3:G""), ""Select Col1 Where Col2 = '""&amp;Per"&amp;"sonagem!$X$10&amp;""' or Col2 = '""&amp;Personagem!$X$11&amp;""' ""),
if('Time 1'!C4 = ""Odette"", query(IMPORTRANGE(cd_planilha, ""Armas!B3:G""), ""Select Col1 Where Col2 = '""&amp;Personagem!$Y$10&amp;""' or Col2 = '""&amp;Personagem!$Y$11&amp;""'""),
if('Time 1'!C4 = ""Oneira"", "&amp;"query(IMPORTRANGE(cd_planilha, ""Armas!B3:G""), ""Select Col1 Where Col2 = '""&amp;Personagem!$Z$10&amp;""' or Col2 = '""&amp;Personagem!$Z$11&amp;""' ""),
if('Time 1'!C4 = ""Palash"", query(IMPORTRANGE(cd_planilha, ""Armas!B3:G""), ""Select Col1 Where Col2 = '""&amp;Persona"&amp;"gem!$AA$10&amp;""' or Col2 = '""&amp;Personagem!$AA$11&amp;""'""),
if('Time 1'!C4 = ""Theor"", query(IMPORTRANGE(cd_planilha, ""Armas!B3:G""), ""Select Col1 Where Col2 = '""&amp;Personagem!$AB$10&amp;""' or Col2 = '""&amp;Personagem!$AB$11&amp;""' ""),
if('Time 1'!C4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D402" s="241"/>
      <c r="E402" s="241" t="str">
        <f>IFERROR(__xludf.DUMMYFUNCTION("if('Time 1'!C5 = ""Albert"", query(IMPORTRANGE(cd_planilha, ""Armas!B3:G""), ""Select Col1 Where Col2 = '""&amp;Personagem!$B$10&amp;""' or Col2 = '""&amp;Personagem!$B$11&amp;""'""),     
if('Time 1'!C5 = ""Alicia"", query(IMPORTRANGE(cd_planilha, ""Armas!B3:G""), ""Sel"&amp;"ect Col1 Where Col2 = '""&amp;Personagem!$C$10&amp;""' or Col2 = '""&amp;Personagem!$C$11&amp;""'""),
if('Time 1'!C5 = ""Azula"", query(IMPORTRANGE(cd_planilha, ""Armas!B3:G""), ""Select Col1 Where Col2 = '""&amp;Personagem!$D$10&amp;""' or Col2 = '""&amp;Personagem!$D$11&amp;""' ""),
i"&amp;"f('Time 1'!C5 = ""Charles"", query(IMPORTRANGE(cd_planilha, ""Armas!B3:G""), ""Select Col1 Where Col2 = '""&amp;Personagem!$E$10&amp;""' or Col2 = '""&amp;Personagem!$E$11&amp;""'""),
if('Time 1'!C5 = ""Clovis"", query(IMPORTRANGE(cd_planilha, ""Armas!B3:G""), ""Select C"&amp;"ol1 Where Col2 = '""&amp;Personagem!$F$10&amp;""' or Col2 = '""&amp;Personagem!$F$11&amp;""' ""),
if('Time 1'!C5 = ""Darthos"", query(IMPORTRANGE(cd_planilha, ""Armas!B3:G""), ""Select Col1 Where Col2 = '""&amp;Personagem!$G$10&amp;""' or Col2 = '""&amp;Personagem!$G$11&amp;""'""),
if('"&amp;"Time 1'!C5 = ""Edward"", query(IMPORTRANGE(cd_planilha, ""Armas!B3:G""), ""Select Col1 Where Col2 = '""&amp;Personagem!$H$10&amp;""' or Col2 = '""&amp;Personagem!$H$11&amp;""' ""),
if('Time 1'!C5 = ""Fiora"", query(IMPORTRANGE(cd_planilha, ""Armas!B3:G""), ""Select Col1 "&amp;"Where Col2 = '""&amp;Personagem!$I$10&amp;""' or Col2 = '""&amp;Personagem!$I$11&amp;""' ""),
if('Time 1'!C5 = ""Francesca"", query(IMPORTRANGE(cd_planilha, ""Armas!B3:G""), ""Select Col1 Where Col2 = '""&amp;Personagem!$J$10&amp;""' or Col2 = '""&amp;Personagem!$J$11&amp;""'""),
if('Ti"&amp;"me 1'!C5 = ""Garreth"", query(IMPORTRANGE(cd_planilha, ""Armas!B3:G""), ""Select Col1 Where Col2 = '""&amp;Personagem!$K$10&amp;""' or Col2 = '""&amp;Personagem!$K$11&amp;""'""),
if('Time 1'!C5 = ""Gauvin"", query(IMPORTRANGE(cd_planilha, ""Armas!B3:G""), ""Select Col1 W"&amp;"here Col2 = '""&amp;Personagem!$L$10&amp;""' or Col2 = '""&amp;Personagem!$L$11&amp;""' ""),
if('Time 1'!C5 = ""Irene"", query(IMPORTRANGE(cd_planilha, ""Armas!B3:G""), ""Select Col1 Where Col2 = '""&amp;Personagem!$M$10&amp;""' or Col2 = '""&amp;Personagem!$M$11&amp;""' ""),
if('Time 1"&amp;"'!C5 = ""Karal"", query(IMPORTRANGE(cd_planilha, ""Armas!B3:G""), ""Select Col1 Where Col2 = '""&amp;Personagem!$N$10&amp;""' or Col2 = '""&amp;Personagem!$N$11&amp;""' ""),
if('Time 1'!C5 = ""Kuro Shobi"", query(IMPORTRANGE(cd_planilha, ""Armas!B3:G""), ""Select Col1 Wh"&amp;"ere Col2 = '""&amp;Personagem!$O$10&amp;""' or Col2 = '""&amp;Personagem!$O$11&amp;""'""),
if('Time 1'!C5 = ""Kurul"", query(IMPORTRANGE(cd_planilha, ""Armas!B3:G""), ""Select Col1 Where Col2 = '""&amp;Personagem!$P$10&amp;""' or Col2 = '""&amp;Personagem!$P$11&amp;""' ""),
if('Time 1'!"&amp;"C5 = ""Lancaster"", query(IMPORTRANGE(cd_planilha, ""Armas!B3:G""), ""Select Col1 Where Col2 = '""&amp;Personagem!$Q$10&amp;""' or Col2 = '""&amp;Personagem!$Q$11&amp;""'""),
if('Time 1'!C5 = ""Lorelei"", query(IMPORTRANGE(cd_planilha, ""Armas!B3:G""), ""Select Col1 Wher"&amp;"e Col2 = '""&amp;Personagem!$R$10&amp;""' or Col2 = '""&amp;Personagem!$R$11&amp;""' ""),
if('Time 1'!C5 = ""Louca"", query(IMPORTRANGE(cd_planilha, ""Armas!B3:G""), ""Select Col1 Where Col2 = '""&amp;Personagem!$S$10&amp;""' or Col2 = '""&amp;Personagem!$S$11&amp;""' ""),
if('Time 1'!C"&amp;"5 = ""Melina"", query(IMPORTRANGE(cd_planilha, ""Armas!B3:G""), ""Select Col1 Where Col2 = '""&amp;Personagem!$T$10&amp;""' or Col2 = '""&amp;Personagem!$T$11&amp;""'""),
if('Time 1'!C5 = ""Mila"", query(IMPORTRANGE(cd_planilha, ""Armas!B3:G""), ""Select Col1 Where Col2 "&amp;"= '""&amp;Personagem!$U$10&amp;""' or Col2 = '""&amp;Personagem!$U$11&amp;""' ""),
if('Time 1'!C5 = ""Minh"", query(IMPORTRANGE(cd_planilha, ""Armas!B3:G""), ""Select Col1 Where Col2 = '""&amp;Personagem!$V$10&amp;""' or Col2 = '""&amp;Personagem!$V$11&amp;""' ""),
if('Time 1'!C5 = ""Mo"&amp;"jian"", query(IMPORTRANGE(cd_planilha, ""Armas!B3:G""), ""Select Col1 Where Col2 = '""&amp;Personagem!$W$10&amp;""' or Col2 = '""&amp;Personagem!$W$11&amp;""'""),
if('Time 1'!C5 = ""Nya"", query(IMPORTRANGE(cd_planilha, ""Armas!B3:G""), ""Select Col1 Where Col2 = '""&amp;Per"&amp;"sonagem!$X$10&amp;""' or Col2 = '""&amp;Personagem!$X$11&amp;""' ""),
if('Time 1'!C5 = ""Odette"", query(IMPORTRANGE(cd_planilha, ""Armas!B3:G""), ""Select Col1 Where Col2 = '""&amp;Personagem!$Y$10&amp;""' or Col2 = '""&amp;Personagem!$Y$11&amp;""'""),
if('Time 1'!C5 = ""Oneira"", "&amp;"query(IMPORTRANGE(cd_planilha, ""Armas!B3:G""), ""Select Col1 Where Col2 = '""&amp;Personagem!$Z$10&amp;""' or Col2 = '""&amp;Personagem!$Z$11&amp;""' ""),
if('Time 1'!C5 = ""Palash"", query(IMPORTRANGE(cd_planilha, ""Armas!B3:G""), ""Select Col1 Where Col2 = '""&amp;Persona"&amp;"gem!$AA$10&amp;""' or Col2 = '""&amp;Personagem!$AA$11&amp;""'""),
if('Time 1'!C5 = ""Theor"", query(IMPORTRANGE(cd_planilha, ""Armas!B3:G""), ""Select Col1 Where Col2 = '""&amp;Personagem!$AB$10&amp;""' or Col2 = '""&amp;Personagem!$AB$11&amp;""' ""),
if('Time 1'!C5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F402" s="241"/>
      <c r="G402" s="241" t="str">
        <f>IFERROR(__xludf.DUMMYFUNCTION("if('Time 1'!C6 = ""Albert"", query(IMPORTRANGE(cd_planilha, ""Armas!B3:G""), ""Select Col1 Where Col2 = '""&amp;Personagem!$B$10&amp;""' or Col2 = '""&amp;Personagem!$B$11&amp;""'""),     
if('Time 1'!C6 = ""Alicia"", query(IMPORTRANGE(cd_planilha, ""Armas!B3:G""), ""Sel"&amp;"ect Col1 Where Col2 = '""&amp;Personagem!$C$10&amp;""' or Col2 = '""&amp;Personagem!$C$11&amp;""'""),
if('Time 1'!C6 = ""Azula"", query(IMPORTRANGE(cd_planilha, ""Armas!B3:G""), ""Select Col1 Where Col2 = '""&amp;Personagem!$D$10&amp;""' or Col2 = '""&amp;Personagem!$D$11&amp;""' ""),
i"&amp;"f('Time 1'!C6 = ""Charles"", query(IMPORTRANGE(cd_planilha, ""Armas!B3:G""), ""Select Col1 Where Col2 = '""&amp;Personagem!$E$10&amp;""' or Col2 = '""&amp;Personagem!$E$11&amp;""'""),
if('Time 1'!C6 = ""Clovis"", query(IMPORTRANGE(cd_planilha, ""Armas!B3:G""), ""Select C"&amp;"ol1 Where Col2 = '""&amp;Personagem!$F$10&amp;""' or Col2 = '""&amp;Personagem!$F$11&amp;""' ""),
if('Time 1'!C6 = ""Darthos"", query(IMPORTRANGE(cd_planilha, ""Armas!B3:G""), ""Select Col1 Where Col2 = '""&amp;Personagem!$G$10&amp;""' or Col2 = '""&amp;Personagem!$G$11&amp;""'""),
if('"&amp;"Time 1'!C6 = ""Edward"", query(IMPORTRANGE(cd_planilha, ""Armas!B3:G""), ""Select Col1 Where Col2 = '""&amp;Personagem!$H$10&amp;""' or Col2 = '""&amp;Personagem!$H$11&amp;""' ""),
if('Time 1'!C6 = ""Fiora"", query(IMPORTRANGE(cd_planilha, ""Armas!B3:G""), ""Select Col1 "&amp;"Where Col2 = '""&amp;Personagem!$I$10&amp;""' or Col2 = '""&amp;Personagem!$I$11&amp;""' ""),
if('Time 1'!C6 = ""Francesca"", query(IMPORTRANGE(cd_planilha, ""Armas!B3:G""), ""Select Col1 Where Col2 = '""&amp;Personagem!$J$10&amp;""' or Col2 = '""&amp;Personagem!$J$11&amp;""'""),
if('Ti"&amp;"me 1'!C6 = ""Garreth"", query(IMPORTRANGE(cd_planilha, ""Armas!B3:G""), ""Select Col1 Where Col2 = '""&amp;Personagem!$K$10&amp;""' or Col2 = '""&amp;Personagem!$K$11&amp;""'""),
if('Time 1'!C6 = ""Gauvin"", query(IMPORTRANGE(cd_planilha, ""Armas!B3:G""), ""Select Col1 W"&amp;"here Col2 = '""&amp;Personagem!$L$10&amp;""' or Col2 = '""&amp;Personagem!$L$11&amp;""' ""),
if('Time 1'!C6 = ""Irene"", query(IMPORTRANGE(cd_planilha, ""Armas!B3:G""), ""Select Col1 Where Col2 = '""&amp;Personagem!$M$10&amp;""' or Col2 = '""&amp;Personagem!$M$11&amp;""' ""),
if('Time 1"&amp;"'!C6 = ""Karal"", query(IMPORTRANGE(cd_planilha, ""Armas!B3:G""), ""Select Col1 Where Col2 = '""&amp;Personagem!$N$10&amp;""' or Col2 = '""&amp;Personagem!$N$11&amp;""' ""),
if('Time 1'!C6 = ""Kuro Shobi"", query(IMPORTRANGE(cd_planilha, ""Armas!B3:G""), ""Select Col1 Wh"&amp;"ere Col2 = '""&amp;Personagem!$O$10&amp;""' or Col2 = '""&amp;Personagem!$O$11&amp;""'""),
if('Time 1'!C6 = ""Kurul"", query(IMPORTRANGE(cd_planilha, ""Armas!B3:G""), ""Select Col1 Where Col2 = '""&amp;Personagem!$P$10&amp;""' or Col2 = '""&amp;Personagem!$P$11&amp;""' ""),
if('Time 1'!"&amp;"C6 = ""Lancaster"", query(IMPORTRANGE(cd_planilha, ""Armas!B3:G""), ""Select Col1 Where Col2 = '""&amp;Personagem!$Q$10&amp;""' or Col2 = '""&amp;Personagem!$Q$11&amp;""'""),
if('Time 1'!C6 = ""Lorelei"", query(IMPORTRANGE(cd_planilha, ""Armas!B3:G""), ""Select Col1 Wher"&amp;"e Col2 = '""&amp;Personagem!$R$10&amp;""' or Col2 = '""&amp;Personagem!$R$11&amp;""' ""),
if('Time 1'!C6 = ""Louca"", query(IMPORTRANGE(cd_planilha, ""Armas!B3:G""), ""Select Col1 Where Col2 = '""&amp;Personagem!$S$10&amp;""' or Col2 = '""&amp;Personagem!$S$11&amp;""' ""),
if('Time 1'!C"&amp;"6 = ""Melina"", query(IMPORTRANGE(cd_planilha, ""Armas!B3:G""), ""Select Col1 Where Col2 = '""&amp;Personagem!$T$10&amp;""' or Col2 = '""&amp;Personagem!$T$11&amp;""'""),
if('Time 1'!C6 = ""Mila"", query(IMPORTRANGE(cd_planilha, ""Armas!B3:G""), ""Select Col1 Where Col2 "&amp;"= '""&amp;Personagem!$U$10&amp;""' or Col2 = '""&amp;Personagem!$U$11&amp;""' ""),
if('Time 1'!C6 = ""Minh"", query(IMPORTRANGE(cd_planilha, ""Armas!B3:G""), ""Select Col1 Where Col2 = '""&amp;Personagem!$V$10&amp;""' or Col2 = '""&amp;Personagem!$V$11&amp;""' ""),
if('Time 1'!C6 = ""Mo"&amp;"jian"", query(IMPORTRANGE(cd_planilha, ""Armas!B3:G""), ""Select Col1 Where Col2 = '""&amp;Personagem!$W$10&amp;""' or Col2 = '""&amp;Personagem!$W$11&amp;""'""),
if('Time 1'!C6 = ""Nya"", query(IMPORTRANGE(cd_planilha, ""Armas!B3:G""), ""Select Col1 Where Col2 = '""&amp;Per"&amp;"sonagem!$X$10&amp;""' or Col2 = '""&amp;Personagem!$X$11&amp;""' ""),
if('Time 1'!C6 = ""Odette"", query(IMPORTRANGE(cd_planilha, ""Armas!B3:G""), ""Select Col1 Where Col2 = '""&amp;Personagem!$Y$10&amp;""' or Col2 = '""&amp;Personagem!$Y$11&amp;""'""),
if('Time 1'!C6 = ""Oneira"", "&amp;"query(IMPORTRANGE(cd_planilha, ""Armas!B3:G""), ""Select Col1 Where Col2 = '""&amp;Personagem!$Z$10&amp;""' or Col2 = '""&amp;Personagem!$Z$11&amp;""' ""),
if('Time 1'!C6 = ""Palash"", query(IMPORTRANGE(cd_planilha, ""Armas!B3:G""), ""Select Col1 Where Col2 = '""&amp;Persona"&amp;"gem!$AA$10&amp;""' or Col2 = '""&amp;Personagem!$AA$11&amp;""'""),
if('Time 1'!C6 = ""Theor"", query(IMPORTRANGE(cd_planilha, ""Armas!B3:G""), ""Select Col1 Where Col2 = '""&amp;Personagem!$AB$10&amp;""' or Col2 = '""&amp;Personagem!$AB$11&amp;""' ""),
if('Time 1'!C6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H402" s="241"/>
      <c r="I402" s="241" t="str">
        <f>IFERROR(__xludf.DUMMYFUNCTION("if('Time 1'!C7 = ""Albert"", query(IMPORTRANGE(cd_planilha, ""Armas!B3:G""), ""Select Col1 Where Col2 = '""&amp;Personagem!$B$10&amp;""' or Col2 = '""&amp;Personagem!$B$11&amp;""'""),     
if('Time 1'!C7 = ""Alicia"", query(IMPORTRANGE(cd_planilha, ""Armas!B3:G""), ""Sel"&amp;"ect Col1 Where Col2 = '""&amp;Personagem!$C$10&amp;""' or Col2 = '""&amp;Personagem!$C$11&amp;""'""),
if('Time 1'!C7 = ""Azula"", query(IMPORTRANGE(cd_planilha, ""Armas!B3:G""), ""Select Col1 Where Col2 = '""&amp;Personagem!$D$10&amp;""' or Col2 = '""&amp;Personagem!$D$11&amp;""' ""),
i"&amp;"f('Time 1'!C7 = ""Charles"", query(IMPORTRANGE(cd_planilha, ""Armas!B3:G""), ""Select Col1 Where Col2 = '""&amp;Personagem!$E$10&amp;""' or Col2 = '""&amp;Personagem!$E$11&amp;""'""),
if('Time 1'!C7 = ""Clovis"", query(IMPORTRANGE(cd_planilha, ""Armas!B3:G""), ""Select C"&amp;"ol1 Where Col2 = '""&amp;Personagem!$F$10&amp;""' or Col2 = '""&amp;Personagem!$F$11&amp;""' ""),
if('Time 1'!C7 = ""Darthos"", query(IMPORTRANGE(cd_planilha, ""Armas!B3:G""), ""Select Col1 Where Col2 = '""&amp;Personagem!$G$10&amp;""' or Col2 = '""&amp;Personagem!$G$11&amp;""'""),
if('"&amp;"Time 1'!C7 = ""Edward"", query(IMPORTRANGE(cd_planilha, ""Armas!B3:G""), ""Select Col1 Where Col2 = '""&amp;Personagem!$H$10&amp;""' or Col2 = '""&amp;Personagem!$H$11&amp;""' ""),
if('Time 1'!C7 = ""Fiora"", query(IMPORTRANGE(cd_planilha, ""Armas!B3:G""), ""Select Col1 "&amp;"Where Col2 = '""&amp;Personagem!$I$10&amp;""' or Col2 = '""&amp;Personagem!$I$11&amp;""' ""),
if('Time 1'!C7 = ""Francesca"", query(IMPORTRANGE(cd_planilha, ""Armas!B3:G""), ""Select Col1 Where Col2 = '""&amp;Personagem!$J$10&amp;""' or Col2 = '""&amp;Personagem!$J$11&amp;""'""),
if('Ti"&amp;"me 1'!C7 = ""Garreth"", query(IMPORTRANGE(cd_planilha, ""Armas!B3:G""), ""Select Col1 Where Col2 = '""&amp;Personagem!$K$10&amp;""' or Col2 = '""&amp;Personagem!$K$11&amp;""'""),
if('Time 1'!C7 = ""Gauvin"", query(IMPORTRANGE(cd_planilha, ""Armas!B3:G""), ""Select Col1 W"&amp;"here Col2 = '""&amp;Personagem!$L$10&amp;""' or Col2 = '""&amp;Personagem!$L$11&amp;""' ""),
if('Time 1'!C7 = ""Irene"", query(IMPORTRANGE(cd_planilha, ""Armas!B3:G""), ""Select Col1 Where Col2 = '""&amp;Personagem!$M$10&amp;""' or Col2 = '""&amp;Personagem!$M$11&amp;""' ""),
if('Time 1"&amp;"'!C7 = ""Karal"", query(IMPORTRANGE(cd_planilha, ""Armas!B3:G""), ""Select Col1 Where Col2 = '""&amp;Personagem!$N$10&amp;""' or Col2 = '""&amp;Personagem!$N$11&amp;""' ""),
if('Time 1'!C7 = ""Kuro Shobi"", query(IMPORTRANGE(cd_planilha, ""Armas!B3:G""), ""Select Col1 Wh"&amp;"ere Col2 = '""&amp;Personagem!$O$10&amp;""' or Col2 = '""&amp;Personagem!$O$11&amp;""'""),
if('Time 1'!C7 = ""Kurul"", query(IMPORTRANGE(cd_planilha, ""Armas!B3:G""), ""Select Col1 Where Col2 = '""&amp;Personagem!$P$10&amp;""' or Col2 = '""&amp;Personagem!$P$11&amp;""' ""),
if('Time 1'!"&amp;"C7 = ""Lancaster"", query(IMPORTRANGE(cd_planilha, ""Armas!B3:G""), ""Select Col1 Where Col2 = '""&amp;Personagem!$Q$10&amp;""' or Col2 = '""&amp;Personagem!$Q$11&amp;""'""),
if('Time 1'!C7 = ""Lorelei"", query(IMPORTRANGE(cd_planilha, ""Armas!B3:G""), ""Select Col1 Wher"&amp;"e Col2 = '""&amp;Personagem!$R$10&amp;""' or Col2 = '""&amp;Personagem!$R$11&amp;""' ""),
if('Time 1'!C7 = ""Louca"", query(IMPORTRANGE(cd_planilha, ""Armas!B3:G""), ""Select Col1 Where Col2 = '""&amp;Personagem!$S$10&amp;""' or Col2 = '""&amp;Personagem!$S$11&amp;""' ""),
if('Time 1'!C"&amp;"7 = ""Melina"", query(IMPORTRANGE(cd_planilha, ""Armas!B3:G""), ""Select Col1 Where Col2 = '""&amp;Personagem!$T$10&amp;""' or Col2 = '""&amp;Personagem!$T$11&amp;""'""),
if('Time 1'!C7 = ""Mila"", query(IMPORTRANGE(cd_planilha, ""Armas!B3:G""), ""Select Col1 Where Col2 "&amp;"= '""&amp;Personagem!$U$10&amp;""' or Col2 = '""&amp;Personagem!$U$11&amp;""' ""),
if('Time 1'!C7 = ""Minh"", query(IMPORTRANGE(cd_planilha, ""Armas!B3:G""), ""Select Col1 Where Col2 = '""&amp;Personagem!$V$10&amp;""' or Col2 = '""&amp;Personagem!$V$11&amp;""' ""),
if('Time 1'!C7 = ""Mo"&amp;"jian"", query(IMPORTRANGE(cd_planilha, ""Armas!B3:G""), ""Select Col1 Where Col2 = '""&amp;Personagem!$W$10&amp;""' or Col2 = '""&amp;Personagem!$W$11&amp;""'""),
if('Time 1'!C7 = ""Nya"", query(IMPORTRANGE(cd_planilha, ""Armas!B3:G""), ""Select Col1 Where Col2 = '""&amp;Per"&amp;"sonagem!$X$10&amp;""' or Col2 = '""&amp;Personagem!$X$11&amp;""' ""),
if('Time 1'!C7 = ""Odette"", query(IMPORTRANGE(cd_planilha, ""Armas!B3:G""), ""Select Col1 Where Col2 = '""&amp;Personagem!$Y$10&amp;""' or Col2 = '""&amp;Personagem!$Y$11&amp;""'""),
if('Time 1'!C7 = ""Oneira"", "&amp;"query(IMPORTRANGE(cd_planilha, ""Armas!B3:G""), ""Select Col1 Where Col2 = '""&amp;Personagem!$Z$10&amp;""' or Col2 = '""&amp;Personagem!$Z$11&amp;""' ""),
if('Time 1'!C7 = ""Palash"", query(IMPORTRANGE(cd_planilha, ""Armas!B3:G""), ""Select Col1 Where Col2 = '""&amp;Persona"&amp;"gem!$AA$10&amp;""' or Col2 = '""&amp;Personagem!$AA$11&amp;""'""),
if('Time 1'!C7 = ""Theor"", query(IMPORTRANGE(cd_planilha, ""Armas!B3:G""), ""Select Col1 Where Col2 = '""&amp;Personagem!$AB$10&amp;""' or Col2 = '""&amp;Personagem!$AB$11&amp;""' ""),
if('Time 1'!C7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J402" s="241"/>
      <c r="K402" s="241" t="str">
        <f>IFERROR(__xludf.DUMMYFUNCTION("if('Time 1'!C8 = ""Albert"", query(IMPORTRANGE(cd_planilha, ""Armas!B3:G""), ""Select Col1 Where Col2 = '""&amp;Personagem!$B$10&amp;""' or Col2 = '""&amp;Personagem!$B$11&amp;""'""),     
if('Time 1'!C8 = ""Alicia"", query(IMPORTRANGE(cd_planilha, ""Armas!B3:G""), ""Sel"&amp;"ect Col1 Where Col2 = '""&amp;Personagem!$C$10&amp;""' or Col2 = '""&amp;Personagem!$C$11&amp;""'""),
if('Time 1'!C8 = ""Azula"", query(IMPORTRANGE(cd_planilha, ""Armas!B3:G""), ""Select Col1 Where Col2 = '""&amp;Personagem!$D$10&amp;""' or Col2 = '""&amp;Personagem!$D$11&amp;""' ""),
i"&amp;"f('Time 1'!C8 = ""Charles"", query(IMPORTRANGE(cd_planilha, ""Armas!B3:G""), ""Select Col1 Where Col2 = '""&amp;Personagem!$E$10&amp;""' or Col2 = '""&amp;Personagem!$E$11&amp;""'""),
if('Time 1'!C8 = ""Clovis"", query(IMPORTRANGE(cd_planilha, ""Armas!B3:G""), ""Select C"&amp;"ol1 Where Col2 = '""&amp;Personagem!$F$10&amp;""' or Col2 = '""&amp;Personagem!$F$11&amp;""' ""),
if('Time 1'!C8 = ""Darthos"", query(IMPORTRANGE(cd_planilha, ""Armas!B3:G""), ""Select Col1 Where Col2 = '""&amp;Personagem!$G$10&amp;""' or Col2 = '""&amp;Personagem!$G$11&amp;""'""),
if('"&amp;"Time 1'!C8 = ""Edward"", query(IMPORTRANGE(cd_planilha, ""Armas!B3:G""), ""Select Col1 Where Col2 = '""&amp;Personagem!$H$10&amp;""' or Col2 = '""&amp;Personagem!$H$11&amp;""' ""),
if('Time 1'!C8 = ""Fiora"", query(IMPORTRANGE(cd_planilha, ""Armas!B3:G""), ""Select Col1 "&amp;"Where Col2 = '""&amp;Personagem!$I$10&amp;""' or Col2 = '""&amp;Personagem!$I$11&amp;""' ""),
if('Time 1'!C8 = ""Francesca"", query(IMPORTRANGE(cd_planilha, ""Armas!B3:G""), ""Select Col1 Where Col2 = '""&amp;Personagem!$J$10&amp;""' or Col2 = '""&amp;Personagem!$J$11&amp;""'""),
if('Ti"&amp;"me 1'!C8 = ""Garreth"", query(IMPORTRANGE(cd_planilha, ""Armas!B3:G""), ""Select Col1 Where Col2 = '""&amp;Personagem!$K$10&amp;""' or Col2 = '""&amp;Personagem!$K$11&amp;""'""),
if('Time 1'!C8 = ""Gauvin"", query(IMPORTRANGE(cd_planilha, ""Armas!B3:G""), ""Select Col1 W"&amp;"here Col2 = '""&amp;Personagem!$L$10&amp;""' or Col2 = '""&amp;Personagem!$L$11&amp;""' ""),
if('Time 1'!C8 = ""Irene"", query(IMPORTRANGE(cd_planilha, ""Armas!B3:G""), ""Select Col1 Where Col2 = '""&amp;Personagem!$M$10&amp;""' or Col2 = '""&amp;Personagem!$M$11&amp;""' ""),
if('Time 1"&amp;"'!C8 = ""Karal"", query(IMPORTRANGE(cd_planilha, ""Armas!B3:G""), ""Select Col1 Where Col2 = '""&amp;Personagem!$N$10&amp;""' or Col2 = '""&amp;Personagem!$N$11&amp;""' ""),
if('Time 1'!C8 = ""Kuro Shobi"", query(IMPORTRANGE(cd_planilha, ""Armas!B3:G""), ""Select Col1 Wh"&amp;"ere Col2 = '""&amp;Personagem!$O$10&amp;""' or Col2 = '""&amp;Personagem!$O$11&amp;""'""),
if('Time 1'!C8 = ""Kurul"", query(IMPORTRANGE(cd_planilha, ""Armas!B3:G""), ""Select Col1 Where Col2 = '""&amp;Personagem!$P$10&amp;""' or Col2 = '""&amp;Personagem!$P$11&amp;""' ""),
if('Time 1'!"&amp;"C8 = ""Lancaster"", query(IMPORTRANGE(cd_planilha, ""Armas!B3:G""), ""Select Col1 Where Col2 = '""&amp;Personagem!$Q$10&amp;""' or Col2 = '""&amp;Personagem!$Q$11&amp;""'""),
if('Time 1'!C8 = ""Lorelei"", query(IMPORTRANGE(cd_planilha, ""Armas!B3:G""), ""Select Col1 Wher"&amp;"e Col2 = '""&amp;Personagem!$R$10&amp;""' or Col2 = '""&amp;Personagem!$R$11&amp;""' ""),
if('Time 1'!C8 = ""Louca"", query(IMPORTRANGE(cd_planilha, ""Armas!B3:G""), ""Select Col1 Where Col2 = '""&amp;Personagem!$S$10&amp;""' or Col2 = '""&amp;Personagem!$S$11&amp;""' ""),
if('Time 1'!C"&amp;"8 = ""Melina"", query(IMPORTRANGE(cd_planilha, ""Armas!B3:G""), ""Select Col1 Where Col2 = '""&amp;Personagem!$T$10&amp;""' or Col2 = '""&amp;Personagem!$T$11&amp;""'""),
if('Time 1'!C8 = ""Mila"", query(IMPORTRANGE(cd_planilha, ""Armas!B3:G""), ""Select Col1 Where Col2 "&amp;"= '""&amp;Personagem!$U$10&amp;""' or Col2 = '""&amp;Personagem!$U$11&amp;""' ""),
if('Time 1'!C8 = ""Minh"", query(IMPORTRANGE(cd_planilha, ""Armas!B3:G""), ""Select Col1 Where Col2 = '""&amp;Personagem!$V$10&amp;""' or Col2 = '""&amp;Personagem!$V$11&amp;""' ""),
if('Time 1'!C8 = ""Mo"&amp;"jian"", query(IMPORTRANGE(cd_planilha, ""Armas!B3:G""), ""Select Col1 Where Col2 = '""&amp;Personagem!$W$10&amp;""' or Col2 = '""&amp;Personagem!$W$11&amp;""'""),
if('Time 1'!C8 = ""Nya"", query(IMPORTRANGE(cd_planilha, ""Armas!B3:G""), ""Select Col1 Where Col2 = '""&amp;Per"&amp;"sonagem!$X$10&amp;""' or Col2 = '""&amp;Personagem!$X$11&amp;""' ""),
if('Time 1'!C8 = ""Odette"", query(IMPORTRANGE(cd_planilha, ""Armas!B3:G""), ""Select Col1 Where Col2 = '""&amp;Personagem!$Y$10&amp;""' or Col2 = '""&amp;Personagem!$Y$11&amp;""'""),
if('Time 1'!C8 = ""Oneira"", "&amp;"query(IMPORTRANGE(cd_planilha, ""Armas!B3:G""), ""Select Col1 Where Col2 = '""&amp;Personagem!$Z$10&amp;""' or Col2 = '""&amp;Personagem!$Z$11&amp;""' ""),
if('Time 1'!C8 = ""Palash"", query(IMPORTRANGE(cd_planilha, ""Armas!B3:G""), ""Select Col1 Where Col2 = '""&amp;Persona"&amp;"gem!$AA$10&amp;""' or Col2 = '""&amp;Personagem!$AA$11&amp;""'""),
if('Time 1'!C8 = ""Theor"", query(IMPORTRANGE(cd_planilha, ""Armas!B3:G""), ""Select Col1 Where Col2 = '""&amp;Personagem!$AB$10&amp;""' or Col2 = '""&amp;Personagem!$AB$11&amp;""' ""),
if('Time 1'!C8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L402" s="242"/>
      <c r="M402" s="241" t="str">
        <f>IFERROR(__xludf.DUMMYFUNCTION("if('Time 1'!C3 = ""Albert"", query(IMPORTRANGE(cd_planilha, ""Armas!B3:G""), ""Select Col1 Where Col2 = '""&amp;Personagem!$B$12&amp;""' or Col2 = '""&amp;Personagem!$B$13&amp;""'""),     
if('Time 1'!C3 = ""Alicia"", query(IMPORTRANGE(cd_planilha, ""Armas!B3:G""), ""Sel"&amp;"ect Col1 Where Col2 = '""&amp;Personagem!$C$12&amp;""' or Col2 = '""&amp;Personagem!$C$13&amp;""'""),
if('Time 1'!C3 = ""Azula"", query(IMPORTRANGE(cd_planilha, ""Armas!B3:G""), ""Select Col1 Where Col2 = '""&amp;Personagem!$D$12&amp;""' or Col2 = '""&amp;Personagem!$D$13&amp;""' ""),
i"&amp;"f('Time 1'!C3 = ""Charles"", query(IMPORTRANGE(cd_planilha, ""Armas!B3:G""), ""Select Col1 Where Col2 = '""&amp;Personagem!$E$12&amp;""' or Col2 = '""&amp;Personagem!$E$13&amp;""'""),
if('Time 1'!C3 = ""Clovis"", query(IMPORTRANGE(cd_planilha, ""Armas!B3:G""), ""Select C"&amp;"ol1 Where Col2 = '""&amp;Personagem!$F$12&amp;""' or Col2 = '""&amp;Personagem!$F$13&amp;""' ""),
if('Time 1'!C3 = ""Darthos"", query(IMPORTRANGE(cd_planilha, ""Armas!B3:G""), ""Select Col1 Where Col2 = '""&amp;Personagem!$G$12&amp;""' or Col2 = '""&amp;Personagem!$G$13&amp;""'""),
if('"&amp;"Time 1'!C3 = ""Edward"", query(IMPORTRANGE(cd_planilha, ""Armas!B3:G""), ""Select Col1 Where Col2 = '""&amp;Personagem!$H$12&amp;""' or Col2 = '""&amp;Personagem!$H$13&amp;""' ""),
if('Time 1'!C3 = ""Fiora"", query(IMPORTRANGE(cd_planilha, ""Armas!B3:G""), ""Select Col1 "&amp;"Where Col2 = '""&amp;Personagem!$I$12&amp;""' or Col2 = '""&amp;Personagem!$I$13&amp;""' ""),
if('Time 1'!C3 = ""Francesca"", query(IMPORTRANGE(cd_planilha, ""Armas!B3:G""), ""Select Col1 Where Col2 = '""&amp;Personagem!$J$12&amp;""' or Col2 = '""&amp;Personagem!$J$13&amp;""'""),
if('Ti"&amp;"me 1'!C3 = ""Garreth"", query(IMPORTRANGE(cd_planilha, ""Armas!B3:G""), ""Select Col1 Where Col2 = '""&amp;Personagem!$K$12&amp;""' or Col2 = '""&amp;Personagem!$K$13&amp;""'""),
if('Time 1'!C3 = ""Gauvin"", query(IMPORTRANGE(cd_planilha, ""Armas!B3:G""), ""Select Col1 W"&amp;"here Col2 = '""&amp;Personagem!$L$12&amp;""' or Col2 = '""&amp;Personagem!$L$13&amp;""' ""),
if('Time 1'!C3 = ""Irene"", query(IMPORTRANGE(cd_planilha, ""Armas!B3:G""), ""Select Col1 Where Col2 = '""&amp;Personagem!$M$12&amp;""' or Col2 = '""&amp;Personagem!$M$13&amp;""' ""),
if('Time 1"&amp;"'!C3 = ""Karal"", query(IMPORTRANGE(cd_planilha, ""Armas!B3:G""), ""Select Col1 Where Col2 = '""&amp;Personagem!$N$12&amp;""' or Col2 = '""&amp;Personagem!$N$13&amp;""' ""),
if('Time 1'!C3 = ""Kuro Shobi"", query(IMPORTRANGE(cd_planilha, ""Armas!B3:G""), ""Select Col1 Wh"&amp;"ere Col2 = '""&amp;Personagem!$O$12&amp;""' or Col2 = '""&amp;Personagem!$O$13&amp;""'""),
if('Time 1'!C3 = ""Kurul"", query(IMPORTRANGE(cd_planilha, ""Armas!B3:G""), ""Select Col1 Where Col2 = '""&amp;Personagem!$P$12&amp;""' or Col2 = '""&amp;Personagem!$P$13&amp;""' ""),
if('Time 1'!"&amp;"C3 = ""Lancaster"", query(IMPORTRANGE(cd_planilha, ""Armas!B3:G""), ""Select Col1 Where Col2 = '""&amp;Personagem!$Q$12&amp;""' or Col2 = '""&amp;Personagem!$Q$13&amp;""'""),
if('Time 1'!C3 = ""Lorelei"", query(IMPORTRANGE(cd_planilha, ""Armas!B3:G""), ""Select Col1 Wher"&amp;"e Col2 = '""&amp;Personagem!$R$12&amp;""' or Col2 = '""&amp;Personagem!$R$13&amp;""' ""),
if('Time 1'!C3 = ""Louca"", query(IMPORTRANGE(cd_planilha, ""Armas!B3:G""), ""Select Col1 Where Col2 = '""&amp;Personagem!$S$12&amp;""' or Col2 = '""&amp;Personagem!$S$13&amp;""' ""),
if('Time 1'!C"&amp;"3 = ""Melina"", query(IMPORTRANGE(cd_planilha, ""Armas!B3:G""), ""Select Col1 Where Col2 = '""&amp;Personagem!$T$12&amp;""' or Col2 = '""&amp;Personagem!$T$13&amp;""'""),
if('Time 1'!C3 = ""Mila"", query(IMPORTRANGE(cd_planilha, ""Armas!B3:G""), ""Select Col1 Where Col2 "&amp;"= '""&amp;Personagem!$U$12&amp;""' or Col2 = '""&amp;Personagem!$U$13&amp;""' ""),
if('Time 1'!C3 = ""Minh"", query(IMPORTRANGE(cd_planilha, ""Armas!B3:G""), ""Select Col1 Where Col2 = '""&amp;Personagem!$V$12&amp;""' or Col2 = '""&amp;Personagem!$V$13&amp;""' ""),
if('Time 1'!C3 = ""Mo"&amp;"jian"", query(IMPORTRANGE(cd_planilha, ""Armas!B3:G""), ""Select Col1 Where Col2 = '""&amp;Personagem!$W$12&amp;""' or Col2 = '""&amp;Personagem!$W$13&amp;""'""),
if('Time 1'!C3 = ""Nya"", query(IMPORTRANGE(cd_planilha, ""Armas!B3:G""), ""Select Col1 Where Col2 = '""&amp;Per"&amp;"sonagem!$X$12&amp;""' or Col2 = '""&amp;Personagem!$X$13&amp;""' ""),
if('Time 1'!C3 = ""Odette"", query(IMPORTRANGE(cd_planilha, ""Armas!B3:G""), ""Select Col1 Where Col2 = '""&amp;Personagem!$Y$12&amp;""' or Col2 = '""&amp;Personagem!$Y$13&amp;""'""),
if('Time 1'!C3 = ""Oneira"", "&amp;"query(IMPORTRANGE(cd_planilha, ""Armas!B3:G""), ""Select Col1 Where Col2 = '""&amp;Personagem!$Z$12&amp;""' or Col2 = '""&amp;Personagem!$Z$13&amp;""' ""),
if('Time 1'!C3 = ""Palash"", query(IMPORTRANGE(cd_planilha, ""Armas!B3:G""), ""Select Col1 Where Col2 = '""&amp;Persona"&amp;"gem!$AA$12&amp;""' or Col2 = '""&amp;Personagem!$AA$13&amp;""'""),
if('Time 1'!C3 = ""Theor"", query(IMPORTRANGE(cd_planilha, ""Armas!B3:G""), ""Select Col1 Where Col2 = '""&amp;Personagem!$AB$12&amp;""' or Col2 = '""&amp;Personagem!$AB$13&amp;""' ""),
if('Time 1'!C3 = ""Yue"", quer"&amp;"y(IMPORTRANGE(cd_planilha, ""Armas!B3:G""), ""Select Col1 Where Col2 = '""&amp;Personagem!$AC$12&amp;""' or Col2 = '""&amp;Personagem!$AC$13&amp;""'""
)))))))))))))))))))))))))))))"),"Botas da Lua")</f>
        <v>Botas da Lua</v>
      </c>
      <c r="N402" s="241"/>
      <c r="O402" s="241" t="str">
        <f>IFERROR(__xludf.DUMMYFUNCTION("if('Time 1'!C4 = ""Albert"", query(IMPORTRANGE(cd_planilha, ""Armas!B3:G""), ""Select Col1 Where Col2 = '""&amp;Personagem!$B$12&amp;""' or Col2 = '""&amp;Personagem!$B$13&amp;""'""),     
if('Time 1'!C4 = ""Alicia"", query(IMPORTRANGE(cd_planilha, ""Armas!B3:G""), ""Sel"&amp;"ect Col1 Where Col2 = '""&amp;Personagem!$C$12&amp;""' or Col2 = '""&amp;Personagem!$C$13&amp;""'""),
if('Time 1'!C4 = ""Azula"", query(IMPORTRANGE(cd_planilha, ""Armas!B3:G""), ""Select Col1 Where Col2 = '""&amp;Personagem!$D$12&amp;""' or Col2 = '""&amp;Personagem!$D$13&amp;""' ""),
i"&amp;"f('Time 1'!C4 = ""Charles"", query(IMPORTRANGE(cd_planilha, ""Armas!B3:G""), ""Select Col1 Where Col2 = '""&amp;Personagem!$E$12&amp;""' or Col2 = '""&amp;Personagem!$E$13&amp;""'""),
if('Time 1'!C4 = ""Clovis"", query(IMPORTRANGE(cd_planilha, ""Armas!B3:G""), ""Select C"&amp;"ol1 Where Col2 = '""&amp;Personagem!$F$12&amp;""' or Col2 = '""&amp;Personagem!$F$13&amp;""' ""),
if('Time 1'!C4 = ""Darthos"", query(IMPORTRANGE(cd_planilha, ""Armas!B3:G""), ""Select Col1 Where Col2 = '""&amp;Personagem!$G$12&amp;""' or Col2 = '""&amp;Personagem!$G$13&amp;""'""),
if('"&amp;"Time 1'!C4 = ""Edward"", query(IMPORTRANGE(cd_planilha, ""Armas!B3:G""), ""Select Col1 Where Col2 = '""&amp;Personagem!$H$12&amp;""' or Col2 = '""&amp;Personagem!$H$13&amp;""' ""),
if('Time 1'!C4 = ""Fiora"", query(IMPORTRANGE(cd_planilha, ""Armas!B3:G""), ""Select Col1 "&amp;"Where Col2 = '""&amp;Personagem!$I$12&amp;""' or Col2 = '""&amp;Personagem!$I$13&amp;""' ""),
if('Time 1'!C4 = ""Francesca"", query(IMPORTRANGE(cd_planilha, ""Armas!B3:G""), ""Select Col1 Where Col2 = '""&amp;Personagem!$J$12&amp;""' or Col2 = '""&amp;Personagem!$J$13&amp;""'""),
if('Ti"&amp;"me 1'!C4 = ""Garreth"", query(IMPORTRANGE(cd_planilha, ""Armas!B3:G""), ""Select Col1 Where Col2 = '""&amp;Personagem!$K$12&amp;""' or Col2 = '""&amp;Personagem!$K$13&amp;""'""),
if('Time 1'!C4 = ""Gauvin"", query(IMPORTRANGE(cd_planilha, ""Armas!B3:G""), ""Select Col1 W"&amp;"here Col2 = '""&amp;Personagem!$L$12&amp;""' or Col2 = '""&amp;Personagem!$L$13&amp;""' ""),
if('Time 1'!C4 = ""Irene"", query(IMPORTRANGE(cd_planilha, ""Armas!B3:G""), ""Select Col1 Where Col2 = '""&amp;Personagem!$M$12&amp;""' or Col2 = '""&amp;Personagem!$M$13&amp;""' ""),
if('Time 1"&amp;"'!C4 = ""Karal"", query(IMPORTRANGE(cd_planilha, ""Armas!B3:G""), ""Select Col1 Where Col2 = '""&amp;Personagem!$N$12&amp;""' or Col2 = '""&amp;Personagem!$N$13&amp;""' ""),
if('Time 1'!C4 = ""Kuro Shobi"", query(IMPORTRANGE(cd_planilha, ""Armas!B3:G""), ""Select Col1 Wh"&amp;"ere Col2 = '""&amp;Personagem!$O$12&amp;""' or Col2 = '""&amp;Personagem!$O$13&amp;""'""),
if('Time 1'!C4 = ""Kurul"", query(IMPORTRANGE(cd_planilha, ""Armas!B3:G""), ""Select Col1 Where Col2 = '""&amp;Personagem!$P$12&amp;""' or Col2 = '""&amp;Personagem!$P$13&amp;""' ""),
if('Time 1'!"&amp;"C4 = ""Lancaster"", query(IMPORTRANGE(cd_planilha, ""Armas!B3:G""), ""Select Col1 Where Col2 = '""&amp;Personagem!$Q$12&amp;""' or Col2 = '""&amp;Personagem!$Q$13&amp;""'""),
if('Time 1'!C4 = ""Lorelei"", query(IMPORTRANGE(cd_planilha, ""Armas!B3:G""), ""Select Col1 Wher"&amp;"e Col2 = '""&amp;Personagem!$R$12&amp;""' or Col2 = '""&amp;Personagem!$R$13&amp;""' ""),
if('Time 1'!C4 = ""Louca"", query(IMPORTRANGE(cd_planilha, ""Armas!B3:G""), ""Select Col1 Where Col2 = '""&amp;Personagem!$S$12&amp;""' or Col2 = '""&amp;Personagem!$S$13&amp;""' ""),
if('Time 1'!C"&amp;"4 = ""Melina"", query(IMPORTRANGE(cd_planilha, ""Armas!B3:G""), ""Select Col1 Where Col2 = '""&amp;Personagem!$T$12&amp;""' or Col2 = '""&amp;Personagem!$T$13&amp;""'""),
if('Time 1'!C4 = ""Mila"", query(IMPORTRANGE(cd_planilha, ""Armas!B3:G""), ""Select Col1 Where Col2 "&amp;"= '""&amp;Personagem!$U$12&amp;""' or Col2 = '""&amp;Personagem!$U$13&amp;""' ""),
if('Time 1'!C4 = ""Minh"", query(IMPORTRANGE(cd_planilha, ""Armas!B3:G""), ""Select Col1 Where Col2 = '""&amp;Personagem!$V$12&amp;""' or Col2 = '""&amp;Personagem!$V$13&amp;""' ""),
if('Time 1'!C4 = ""Mo"&amp;"jian"", query(IMPORTRANGE(cd_planilha, ""Armas!B3:G""), ""Select Col1 Where Col2 = '""&amp;Personagem!$W$12&amp;""' or Col2 = '""&amp;Personagem!$W$13&amp;""'""),
if('Time 1'!C4 = ""Nya"", query(IMPORTRANGE(cd_planilha, ""Armas!B3:G""), ""Select Col1 Where Col2 = '""&amp;Per"&amp;"sonagem!$X$12&amp;""' or Col2 = '""&amp;Personagem!$X$13&amp;""' ""),
if('Time 1'!C4 = ""Odette"", query(IMPORTRANGE(cd_planilha, ""Armas!B3:G""), ""Select Col1 Where Col2 = '""&amp;Personagem!$Y$12&amp;""' or Col2 = '""&amp;Personagem!$Y$13&amp;""'""),
if('Time 1'!C4 = ""Oneira"", "&amp;"query(IMPORTRANGE(cd_planilha, ""Armas!B3:G""), ""Select Col1 Where Col2 = '""&amp;Personagem!$Z$12&amp;""' or Col2 = '""&amp;Personagem!$Z$13&amp;""' ""),
if('Time 1'!C4 = ""Palash"", query(IMPORTRANGE(cd_planilha, ""Armas!B3:G""), ""Select Col1 Where Col2 = '""&amp;Persona"&amp;"gem!$AA$12&amp;""' or Col2 = '""&amp;Personagem!$AA$13&amp;""'""),
if('Time 1'!C4 = ""Theor"", query(IMPORTRANGE(cd_planilha, ""Armas!B3:G""), ""Select Col1 Where Col2 = '""&amp;Personagem!$AB$12&amp;""' or Col2 = '""&amp;Personagem!$AB$13&amp;""' ""),
if('Time 1'!C4 = ""Yue"", quer"&amp;"y(IMPORTRANGE(cd_planilha, ""Armas!B3:G""), ""Select Col1 Where Col2 = '""&amp;Personagem!$AC$12&amp;""' or Col2 = '""&amp;Personagem!$AC$13&amp;""'""
)))))))))))))))))))))))))))))"),"Botas da Lua")</f>
        <v>Botas da Lua</v>
      </c>
      <c r="P402" s="241"/>
      <c r="Q402" s="241" t="str">
        <f>IFERROR(__xludf.DUMMYFUNCTION("if('Time 1'!C5 = ""Albert"", query(IMPORTRANGE(cd_planilha, ""Armas!B3:G""), ""Select Col1 Where Col2 = '""&amp;Personagem!$B$12&amp;""' or Col2 = '""&amp;Personagem!$B$13&amp;""'""),     
if('Time 1'!C5 = ""Alicia"", query(IMPORTRANGE(cd_planilha, ""Armas!B3:G""), ""Sel"&amp;"ect Col1 Where Col2 = '""&amp;Personagem!$C$12&amp;""' or Col2 = '""&amp;Personagem!$C$13&amp;""'""),
if('Time 1'!C5 = ""Azula"", query(IMPORTRANGE(cd_planilha, ""Armas!B3:G""), ""Select Col1 Where Col2 = '""&amp;Personagem!$D$12&amp;""' or Col2 = '""&amp;Personagem!$D$13&amp;""' ""),
i"&amp;"f('Time 1'!C5 = ""Charles"", query(IMPORTRANGE(cd_planilha, ""Armas!B3:G""), ""Select Col1 Where Col2 = '""&amp;Personagem!$E$12&amp;""' or Col2 = '""&amp;Personagem!$E$13&amp;""'""),
if('Time 1'!C5 = ""Clovis"", query(IMPORTRANGE(cd_planilha, ""Armas!B3:G""), ""Select C"&amp;"ol1 Where Col2 = '""&amp;Personagem!$F$12&amp;""' or Col2 = '""&amp;Personagem!$F$13&amp;""' ""),
if('Time 1'!C5 = ""Darthos"", query(IMPORTRANGE(cd_planilha, ""Armas!B3:G""), ""Select Col1 Where Col2 = '""&amp;Personagem!$G$12&amp;""' or Col2 = '""&amp;Personagem!$G$13&amp;""'""),
if('"&amp;"Time 1'!C5 = ""Edward"", query(IMPORTRANGE(cd_planilha, ""Armas!B3:G""), ""Select Col1 Where Col2 = '""&amp;Personagem!$H$12&amp;""' or Col2 = '""&amp;Personagem!$H$13&amp;""' ""),
if('Time 1'!C5 = ""Fiora"", query(IMPORTRANGE(cd_planilha, ""Armas!B3:G""), ""Select Col1 "&amp;"Where Col2 = '""&amp;Personagem!$I$12&amp;""' or Col2 = '""&amp;Personagem!$I$13&amp;""' ""),
if('Time 1'!C5 = ""Francesca"", query(IMPORTRANGE(cd_planilha, ""Armas!B3:G""), ""Select Col1 Where Col2 = '""&amp;Personagem!$J$12&amp;""' or Col2 = '""&amp;Personagem!$J$13&amp;""'""),
if('Ti"&amp;"me 1'!C5 = ""Garreth"", query(IMPORTRANGE(cd_planilha, ""Armas!B3:G""), ""Select Col1 Where Col2 = '""&amp;Personagem!$K$12&amp;""' or Col2 = '""&amp;Personagem!$K$13&amp;""'""),
if('Time 1'!C5 = ""Gauvin"", query(IMPORTRANGE(cd_planilha, ""Armas!B3:G""), ""Select Col1 W"&amp;"here Col2 = '""&amp;Personagem!$L$12&amp;""' or Col2 = '""&amp;Personagem!$L$13&amp;""' ""),
if('Time 1'!C5 = ""Irene"", query(IMPORTRANGE(cd_planilha, ""Armas!B3:G""), ""Select Col1 Where Col2 = '""&amp;Personagem!$M$12&amp;""' or Col2 = '""&amp;Personagem!$M$13&amp;""' ""),
if('Time 1"&amp;"'!C5 = ""Karal"", query(IMPORTRANGE(cd_planilha, ""Armas!B3:G""), ""Select Col1 Where Col2 = '""&amp;Personagem!$N$12&amp;""' or Col2 = '""&amp;Personagem!$N$13&amp;""' ""),
if('Time 1'!C5 = ""Kuro Shobi"", query(IMPORTRANGE(cd_planilha, ""Armas!B3:G""), ""Select Col1 Wh"&amp;"ere Col2 = '""&amp;Personagem!$O$12&amp;""' or Col2 = '""&amp;Personagem!$O$13&amp;""'""),
if('Time 1'!C5 = ""Kurul"", query(IMPORTRANGE(cd_planilha, ""Armas!B3:G""), ""Select Col1 Where Col2 = '""&amp;Personagem!$P$12&amp;""' or Col2 = '""&amp;Personagem!$P$13&amp;""' ""),
if('Time 1'!"&amp;"C5 = ""Lancaster"", query(IMPORTRANGE(cd_planilha, ""Armas!B3:G""), ""Select Col1 Where Col2 = '""&amp;Personagem!$Q$12&amp;""' or Col2 = '""&amp;Personagem!$Q$13&amp;""'""),
if('Time 1'!C5 = ""Lorelei"", query(IMPORTRANGE(cd_planilha, ""Armas!B3:G""), ""Select Col1 Wher"&amp;"e Col2 = '""&amp;Personagem!$R$12&amp;""' or Col2 = '""&amp;Personagem!$R$13&amp;""' ""),
if('Time 1'!C5 = ""Louca"", query(IMPORTRANGE(cd_planilha, ""Armas!B3:G""), ""Select Col1 Where Col2 = '""&amp;Personagem!$S$12&amp;""' or Col2 = '""&amp;Personagem!$S$13&amp;""' ""),
if('Time 1'!C"&amp;"5 = ""Melina"", query(IMPORTRANGE(cd_planilha, ""Armas!B3:G""), ""Select Col1 Where Col2 = '""&amp;Personagem!$T$12&amp;""' or Col2 = '""&amp;Personagem!$T$13&amp;""'""),
if('Time 1'!C5 = ""Mila"", query(IMPORTRANGE(cd_planilha, ""Armas!B3:G""), ""Select Col1 Where Col2 "&amp;"= '""&amp;Personagem!$U$12&amp;""' or Col2 = '""&amp;Personagem!$U$13&amp;""' ""),
if('Time 1'!C5 = ""Minh"", query(IMPORTRANGE(cd_planilha, ""Armas!B3:G""), ""Select Col1 Where Col2 = '""&amp;Personagem!$V$12&amp;""' or Col2 = '""&amp;Personagem!$V$13&amp;""' ""),
if('Time 1'!C5 = ""Mo"&amp;"jian"", query(IMPORTRANGE(cd_planilha, ""Armas!B3:G""), ""Select Col1 Where Col2 = '""&amp;Personagem!$W$12&amp;""' or Col2 = '""&amp;Personagem!$W$13&amp;""'""),
if('Time 1'!C5 = ""Nya"", query(IMPORTRANGE(cd_planilha, ""Armas!B3:G""), ""Select Col1 Where Col2 = '""&amp;Per"&amp;"sonagem!$X$12&amp;""' or Col2 = '""&amp;Personagem!$X$13&amp;""' ""),
if('Time 1'!C5 = ""Odette"", query(IMPORTRANGE(cd_planilha, ""Armas!B3:G""), ""Select Col1 Where Col2 = '""&amp;Personagem!$Y$12&amp;""' or Col2 = '""&amp;Personagem!$Y$13&amp;""'""),
if('Time 1'!C5 = ""Oneira"", "&amp;"query(IMPORTRANGE(cd_planilha, ""Armas!B3:G""), ""Select Col1 Where Col2 = '""&amp;Personagem!$Z$12&amp;""' or Col2 = '""&amp;Personagem!$Z$13&amp;""' ""),
if('Time 1'!C5 = ""Palash"", query(IMPORTRANGE(cd_planilha, ""Armas!B3:G""), ""Select Col1 Where Col2 = '""&amp;Persona"&amp;"gem!$AA$12&amp;""' or Col2 = '""&amp;Personagem!$AA$13&amp;""'""),
if('Time 1'!C5 = ""Theor"", query(IMPORTRANGE(cd_planilha, ""Armas!B3:G""), ""Select Col1 Where Col2 = '""&amp;Personagem!$AB$12&amp;""' or Col2 = '""&amp;Personagem!$AB$13&amp;""' ""),
if('Time 1'!C5 = ""Yue"", quer"&amp;"y(IMPORTRANGE(cd_planilha, ""Armas!B3:G""), ""Select Col1 Where Col2 = '""&amp;Personagem!$AC$12&amp;""' or Col2 = '""&amp;Personagem!$AC$13&amp;""'""
)))))))))))))))))))))))))))))"),"Botas da Lua")</f>
        <v>Botas da Lua</v>
      </c>
      <c r="R402" s="241"/>
      <c r="S402" s="241" t="str">
        <f>IFERROR(__xludf.DUMMYFUNCTION("if('Time 1'!C6 = ""Albert"", query(IMPORTRANGE(cd_planilha, ""Armas!B3:G""), ""Select Col1 Where Col2 = '""&amp;Personagem!$B$12&amp;""' or Col2 = '""&amp;Personagem!$B$13&amp;""'""),     
if('Time 1'!C6 = ""Alicia"", query(IMPORTRANGE(cd_planilha, ""Armas!B3:G""), ""Sel"&amp;"ect Col1 Where Col2 = '""&amp;Personagem!$C$12&amp;""' or Col2 = '""&amp;Personagem!$C$13&amp;""'""),
if('Time 1'!C6 = ""Azula"", query(IMPORTRANGE(cd_planilha, ""Armas!B3:G""), ""Select Col1 Where Col2 = '""&amp;Personagem!$D$12&amp;""' or Col2 = '""&amp;Personagem!$D$13&amp;""' ""),
i"&amp;"f('Time 1'!C6 = ""Charles"", query(IMPORTRANGE(cd_planilha, ""Armas!B3:G""), ""Select Col1 Where Col2 = '""&amp;Personagem!$E$12&amp;""' or Col2 = '""&amp;Personagem!$E$13&amp;""'""),
if('Time 1'!C6 = ""Clovis"", query(IMPORTRANGE(cd_planilha, ""Armas!B3:G""), ""Select C"&amp;"ol1 Where Col2 = '""&amp;Personagem!$F$12&amp;""' or Col2 = '""&amp;Personagem!$F$13&amp;""' ""),
if('Time 1'!C6 = ""Darthos"", query(IMPORTRANGE(cd_planilha, ""Armas!B3:G""), ""Select Col1 Where Col2 = '""&amp;Personagem!$G$12&amp;""' or Col2 = '""&amp;Personagem!$G$13&amp;""'""),
if('"&amp;"Time 1'!C6 = ""Edward"", query(IMPORTRANGE(cd_planilha, ""Armas!B3:G""), ""Select Col1 Where Col2 = '""&amp;Personagem!$H$12&amp;""' or Col2 = '""&amp;Personagem!$H$13&amp;""' ""),
if('Time 1'!C6 = ""Fiora"", query(IMPORTRANGE(cd_planilha, ""Armas!B3:G""), ""Select Col1 "&amp;"Where Col2 = '""&amp;Personagem!$I$12&amp;""' or Col2 = '""&amp;Personagem!$I$13&amp;""' ""),
if('Time 1'!C6 = ""Francesca"", query(IMPORTRANGE(cd_planilha, ""Armas!B3:G""), ""Select Col1 Where Col2 = '""&amp;Personagem!$J$12&amp;""' or Col2 = '""&amp;Personagem!$J$13&amp;""'""),
if('Ti"&amp;"me 1'!C6 = ""Garreth"", query(IMPORTRANGE(cd_planilha, ""Armas!B3:G""), ""Select Col1 Where Col2 = '""&amp;Personagem!$K$12&amp;""' or Col2 = '""&amp;Personagem!$K$13&amp;""'""),
if('Time 1'!C6 = ""Gauvin"", query(IMPORTRANGE(cd_planilha, ""Armas!B3:G""), ""Select Col1 W"&amp;"here Col2 = '""&amp;Personagem!$L$12&amp;""' or Col2 = '""&amp;Personagem!$L$13&amp;""' ""),
if('Time 1'!C6 = ""Irene"", query(IMPORTRANGE(cd_planilha, ""Armas!B3:G""), ""Select Col1 Where Col2 = '""&amp;Personagem!$M$12&amp;""' or Col2 = '""&amp;Personagem!$M$13&amp;""' ""),
if('Time 1"&amp;"'!C6 = ""Karal"", query(IMPORTRANGE(cd_planilha, ""Armas!B3:G""), ""Select Col1 Where Col2 = '""&amp;Personagem!$N$12&amp;""' or Col2 = '""&amp;Personagem!$N$13&amp;""' ""),
if('Time 1'!C6 = ""Kuro Shobi"", query(IMPORTRANGE(cd_planilha, ""Armas!B3:G""), ""Select Col1 Wh"&amp;"ere Col2 = '""&amp;Personagem!$O$12&amp;""' or Col2 = '""&amp;Personagem!$O$13&amp;""'""),
if('Time 1'!C6 = ""Kurul"", query(IMPORTRANGE(cd_planilha, ""Armas!B3:G""), ""Select Col1 Where Col2 = '""&amp;Personagem!$P$12&amp;""' or Col2 = '""&amp;Personagem!$P$13&amp;""' ""),
if('Time 1'!"&amp;"C6 = ""Lancaster"", query(IMPORTRANGE(cd_planilha, ""Armas!B3:G""), ""Select Col1 Where Col2 = '""&amp;Personagem!$Q$12&amp;""' or Col2 = '""&amp;Personagem!$Q$13&amp;""'""),
if('Time 1'!C6 = ""Lorelei"", query(IMPORTRANGE(cd_planilha, ""Armas!B3:G""), ""Select Col1 Wher"&amp;"e Col2 = '""&amp;Personagem!$R$12&amp;""' or Col2 = '""&amp;Personagem!$R$13&amp;""' ""),
if('Time 1'!C6 = ""Louca"", query(IMPORTRANGE(cd_planilha, ""Armas!B3:G""), ""Select Col1 Where Col2 = '""&amp;Personagem!$S$12&amp;""' or Col2 = '""&amp;Personagem!$S$13&amp;""' ""),
if('Time 1'!C"&amp;"6 = ""Melina"", query(IMPORTRANGE(cd_planilha, ""Armas!B3:G""), ""Select Col1 Where Col2 = '""&amp;Personagem!$T$12&amp;""' or Col2 = '""&amp;Personagem!$T$13&amp;""'""),
if('Time 1'!C6 = ""Mila"", query(IMPORTRANGE(cd_planilha, ""Armas!B3:G""), ""Select Col1 Where Col2 "&amp;"= '""&amp;Personagem!$U$12&amp;""' or Col2 = '""&amp;Personagem!$U$13&amp;""' ""),
if('Time 1'!C6 = ""Minh"", query(IMPORTRANGE(cd_planilha, ""Armas!B3:G""), ""Select Col1 Where Col2 = '""&amp;Personagem!$V$12&amp;""' or Col2 = '""&amp;Personagem!$V$13&amp;""' ""),
if('Time 1'!C6 = ""Mo"&amp;"jian"", query(IMPORTRANGE(cd_planilha, ""Armas!B3:G""), ""Select Col1 Where Col2 = '""&amp;Personagem!$W$12&amp;""' or Col2 = '""&amp;Personagem!$W$13&amp;""'""),
if('Time 1'!C6 = ""Nya"", query(IMPORTRANGE(cd_planilha, ""Armas!B3:G""), ""Select Col1 Where Col2 = '""&amp;Per"&amp;"sonagem!$X$12&amp;""' or Col2 = '""&amp;Personagem!$X$13&amp;""' ""),
if('Time 1'!C6 = ""Odette"", query(IMPORTRANGE(cd_planilha, ""Armas!B3:G""), ""Select Col1 Where Col2 = '""&amp;Personagem!$Y$12&amp;""' or Col2 = '""&amp;Personagem!$Y$13&amp;""'""),
if('Time 1'!C6 = ""Oneira"", "&amp;"query(IMPORTRANGE(cd_planilha, ""Armas!B3:G""), ""Select Col1 Where Col2 = '""&amp;Personagem!$Z$12&amp;""' or Col2 = '""&amp;Personagem!$Z$13&amp;""' ""),
if('Time 1'!C6 = ""Palash"", query(IMPORTRANGE(cd_planilha, ""Armas!B3:G""), ""Select Col1 Where Col2 = '""&amp;Persona"&amp;"gem!$AA$12&amp;""' or Col2 = '""&amp;Personagem!$AA$13&amp;""'""),
if('Time 1'!C6 = ""Theor"", query(IMPORTRANGE(cd_planilha, ""Armas!B3:G""), ""Select Col1 Where Col2 = '""&amp;Personagem!$AB$12&amp;""' or Col2 = '""&amp;Personagem!$AB$13&amp;""' ""),
if('Time 1'!C6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T402" s="241"/>
      <c r="U402" s="241" t="str">
        <f>IFERROR(__xludf.DUMMYFUNCTION("if('Time 1'!C7 = ""Albert"", query(IMPORTRANGE(cd_planilha, ""Armas!B3:G""), ""Select Col1 Where Col2 = '""&amp;Personagem!$B$12&amp;""' or Col2 = '""&amp;Personagem!$B$13&amp;""'""),     
if('Time 1'!C7 = ""Alicia"", query(IMPORTRANGE(cd_planilha, ""Armas!B3:G""), ""Sel"&amp;"ect Col1 Where Col2 = '""&amp;Personagem!$C$12&amp;""' or Col2 = '""&amp;Personagem!$C$13&amp;""'""),
if('Time 1'!C7 = ""Azula"", query(IMPORTRANGE(cd_planilha, ""Armas!B3:G""), ""Select Col1 Where Col2 = '""&amp;Personagem!$D$12&amp;""' or Col2 = '""&amp;Personagem!$D$13&amp;""' ""),
i"&amp;"f('Time 1'!C7 = ""Charles"", query(IMPORTRANGE(cd_planilha, ""Armas!B3:G""), ""Select Col1 Where Col2 = '""&amp;Personagem!$E$12&amp;""' or Col2 = '""&amp;Personagem!$E$13&amp;""'""),
if('Time 1'!C7 = ""Clovis"", query(IMPORTRANGE(cd_planilha, ""Armas!B3:G""), ""Select C"&amp;"ol1 Where Col2 = '""&amp;Personagem!$F$12&amp;""' or Col2 = '""&amp;Personagem!$F$13&amp;""' ""),
if('Time 1'!C7 = ""Darthos"", query(IMPORTRANGE(cd_planilha, ""Armas!B3:G""), ""Select Col1 Where Col2 = '""&amp;Personagem!$G$12&amp;""' or Col2 = '""&amp;Personagem!$G$13&amp;""'""),
if('"&amp;"Time 1'!C7 = ""Edward"", query(IMPORTRANGE(cd_planilha, ""Armas!B3:G""), ""Select Col1 Where Col2 = '""&amp;Personagem!$H$12&amp;""' or Col2 = '""&amp;Personagem!$H$13&amp;""' ""),
if('Time 1'!C7 = ""Fiora"", query(IMPORTRANGE(cd_planilha, ""Armas!B3:G""), ""Select Col1 "&amp;"Where Col2 = '""&amp;Personagem!$I$12&amp;""' or Col2 = '""&amp;Personagem!$I$13&amp;""' ""),
if('Time 1'!C7 = ""Francesca"", query(IMPORTRANGE(cd_planilha, ""Armas!B3:G""), ""Select Col1 Where Col2 = '""&amp;Personagem!$J$12&amp;""' or Col2 = '""&amp;Personagem!$J$13&amp;""'""),
if('Ti"&amp;"me 1'!C7 = ""Garreth"", query(IMPORTRANGE(cd_planilha, ""Armas!B3:G""), ""Select Col1 Where Col2 = '""&amp;Personagem!$K$12&amp;""' or Col2 = '""&amp;Personagem!$K$13&amp;""'""),
if('Time 1'!C7 = ""Gauvin"", query(IMPORTRANGE(cd_planilha, ""Armas!B3:G""), ""Select Col1 W"&amp;"here Col2 = '""&amp;Personagem!$L$12&amp;""' or Col2 = '""&amp;Personagem!$L$13&amp;""' ""),
if('Time 1'!C7 = ""Irene"", query(IMPORTRANGE(cd_planilha, ""Armas!B3:G""), ""Select Col1 Where Col2 = '""&amp;Personagem!$M$12&amp;""' or Col2 = '""&amp;Personagem!$M$13&amp;""' ""),
if('Time 1"&amp;"'!C7 = ""Karal"", query(IMPORTRANGE(cd_planilha, ""Armas!B3:G""), ""Select Col1 Where Col2 = '""&amp;Personagem!$N$12&amp;""' or Col2 = '""&amp;Personagem!$N$13&amp;""' ""),
if('Time 1'!C7 = ""Kuro Shobi"", query(IMPORTRANGE(cd_planilha, ""Armas!B3:G""), ""Select Col1 Wh"&amp;"ere Col2 = '""&amp;Personagem!$O$12&amp;""' or Col2 = '""&amp;Personagem!$O$13&amp;""'""),
if('Time 1'!C7 = ""Kurul"", query(IMPORTRANGE(cd_planilha, ""Armas!B3:G""), ""Select Col1 Where Col2 = '""&amp;Personagem!$P$12&amp;""' or Col2 = '""&amp;Personagem!$P$13&amp;""' ""),
if('Time 1'!"&amp;"C7 = ""Lancaster"", query(IMPORTRANGE(cd_planilha, ""Armas!B3:G""), ""Select Col1 Where Col2 = '""&amp;Personagem!$Q$12&amp;""' or Col2 = '""&amp;Personagem!$Q$13&amp;""'""),
if('Time 1'!C7 = ""Lorelei"", query(IMPORTRANGE(cd_planilha, ""Armas!B3:G""), ""Select Col1 Wher"&amp;"e Col2 = '""&amp;Personagem!$R$12&amp;""' or Col2 = '""&amp;Personagem!$R$13&amp;""' ""),
if('Time 1'!C7 = ""Louca"", query(IMPORTRANGE(cd_planilha, ""Armas!B3:G""), ""Select Col1 Where Col2 = '""&amp;Personagem!$S$12&amp;""' or Col2 = '""&amp;Personagem!$S$13&amp;""' ""),
if('Time 1'!C"&amp;"7 = ""Melina"", query(IMPORTRANGE(cd_planilha, ""Armas!B3:G""), ""Select Col1 Where Col2 = '""&amp;Personagem!$T$12&amp;""' or Col2 = '""&amp;Personagem!$T$13&amp;""'""),
if('Time 1'!C7 = ""Mila"", query(IMPORTRANGE(cd_planilha, ""Armas!B3:G""), ""Select Col1 Where Col2 "&amp;"= '""&amp;Personagem!$U$12&amp;""' or Col2 = '""&amp;Personagem!$U$13&amp;""' ""),
if('Time 1'!C7 = ""Minh"", query(IMPORTRANGE(cd_planilha, ""Armas!B3:G""), ""Select Col1 Where Col2 = '""&amp;Personagem!$V$12&amp;""' or Col2 = '""&amp;Personagem!$V$13&amp;""' ""),
if('Time 1'!C7 = ""Mo"&amp;"jian"", query(IMPORTRANGE(cd_planilha, ""Armas!B3:G""), ""Select Col1 Where Col2 = '""&amp;Personagem!$W$12&amp;""' or Col2 = '""&amp;Personagem!$W$13&amp;""'""),
if('Time 1'!C7 = ""Nya"", query(IMPORTRANGE(cd_planilha, ""Armas!B3:G""), ""Select Col1 Where Col2 = '""&amp;Per"&amp;"sonagem!$X$12&amp;""' or Col2 = '""&amp;Personagem!$X$13&amp;""' ""),
if('Time 1'!C7 = ""Odette"", query(IMPORTRANGE(cd_planilha, ""Armas!B3:G""), ""Select Col1 Where Col2 = '""&amp;Personagem!$Y$12&amp;""' or Col2 = '""&amp;Personagem!$Y$13&amp;""'""),
if('Time 1'!C7 = ""Oneira"", "&amp;"query(IMPORTRANGE(cd_planilha, ""Armas!B3:G""), ""Select Col1 Where Col2 = '""&amp;Personagem!$Z$12&amp;""' or Col2 = '""&amp;Personagem!$Z$13&amp;""' ""),
if('Time 1'!C7 = ""Palash"", query(IMPORTRANGE(cd_planilha, ""Armas!B3:G""), ""Select Col1 Where Col2 = '""&amp;Persona"&amp;"gem!$AA$12&amp;""' or Col2 = '""&amp;Personagem!$AA$13&amp;""'""),
if('Time 1'!C7 = ""Theor"", query(IMPORTRANGE(cd_planilha, ""Armas!B3:G""), ""Select Col1 Where Col2 = '""&amp;Personagem!$AB$12&amp;""' or Col2 = '""&amp;Personagem!$AB$13&amp;""' ""),
if('Time 1'!C7 = ""Yue"", quer"&amp;"y(IMPORTRANGE(cd_planilha, ""Armas!B3:G""), ""Select Col1 Where Col2 = '""&amp;Personagem!$AC$12&amp;""' or Col2 = '""&amp;Personagem!$AC$13&amp;""'""
)))))))))))))))))))))))))))))"),"Botas da Lua")</f>
        <v>Botas da Lua</v>
      </c>
      <c r="V402" s="241"/>
      <c r="W402" s="241" t="str">
        <f>IFERROR(__xludf.DUMMYFUNCTION("if('Time 1'!C8 = ""Albert"", query(IMPORTRANGE(cd_planilha, ""Armas!B3:G""), ""Select Col1 Where Col2 = '""&amp;Personagem!$B$12&amp;""' or Col2 = '""&amp;Personagem!$B$13&amp;""'""),     
if('Time 1'!C8 = ""Alicia"", query(IMPORTRANGE(cd_planilha, ""Armas!B3:G""), ""Sel"&amp;"ect Col1 Where Col2 = '""&amp;Personagem!$C$12&amp;""' or Col2 = '""&amp;Personagem!$C$13&amp;""'""),
if('Time 1'!C8 = ""Azula"", query(IMPORTRANGE(cd_planilha, ""Armas!B3:G""), ""Select Col1 Where Col2 = '""&amp;Personagem!$D$12&amp;""' or Col2 = '""&amp;Personagem!$D$13&amp;""' ""),
i"&amp;"f('Time 1'!C8 = ""Charles"", query(IMPORTRANGE(cd_planilha, ""Armas!B3:G""), ""Select Col1 Where Col2 = '""&amp;Personagem!$E$12&amp;""' or Col2 = '""&amp;Personagem!$E$13&amp;""'""),
if('Time 1'!C8 = ""Clovis"", query(IMPORTRANGE(cd_planilha, ""Armas!B3:G""), ""Select C"&amp;"ol1 Where Col2 = '""&amp;Personagem!$F$12&amp;""' or Col2 = '""&amp;Personagem!$F$13&amp;""' ""),
if('Time 1'!C8 = ""Darthos"", query(IMPORTRANGE(cd_planilha, ""Armas!B3:G""), ""Select Col1 Where Col2 = '""&amp;Personagem!$G$12&amp;""' or Col2 = '""&amp;Personagem!$G$13&amp;""'""),
if('"&amp;"Time 1'!C8 = ""Edward"", query(IMPORTRANGE(cd_planilha, ""Armas!B3:G""), ""Select Col1 Where Col2 = '""&amp;Personagem!$H$12&amp;""' or Col2 = '""&amp;Personagem!$H$13&amp;""' ""),
if('Time 1'!C8 = ""Fiora"", query(IMPORTRANGE(cd_planilha, ""Armas!B3:G""), ""Select Col1 "&amp;"Where Col2 = '""&amp;Personagem!$I$12&amp;""' or Col2 = '""&amp;Personagem!$I$13&amp;""' ""),
if('Time 1'!C8 = ""Francesca"", query(IMPORTRANGE(cd_planilha, ""Armas!B3:G""), ""Select Col1 Where Col2 = '""&amp;Personagem!$J$12&amp;""' or Col2 = '""&amp;Personagem!$J$13&amp;""'""),
if('Ti"&amp;"me 1'!C8 = ""Garreth"", query(IMPORTRANGE(cd_planilha, ""Armas!B3:G""), ""Select Col1 Where Col2 = '""&amp;Personagem!$K$12&amp;""' or Col2 = '""&amp;Personagem!$K$13&amp;""'""),
if('Time 1'!C8 = ""Gauvin"", query(IMPORTRANGE(cd_planilha, ""Armas!B3:G""), ""Select Col1 W"&amp;"here Col2 = '""&amp;Personagem!$L$12&amp;""' or Col2 = '""&amp;Personagem!$L$13&amp;""' ""),
if('Time 1'!C8 = ""Irene"", query(IMPORTRANGE(cd_planilha, ""Armas!B3:G""), ""Select Col1 Where Col2 = '""&amp;Personagem!$M$12&amp;""' or Col2 = '""&amp;Personagem!$M$13&amp;""' ""),
if('Time 1"&amp;"'!C8 = ""Karal"", query(IMPORTRANGE(cd_planilha, ""Armas!B3:G""), ""Select Col1 Where Col2 = '""&amp;Personagem!$N$12&amp;""' or Col2 = '""&amp;Personagem!$N$13&amp;""' ""),
if('Time 1'!C8 = ""Kuro Shobi"", query(IMPORTRANGE(cd_planilha, ""Armas!B3:G""), ""Select Col1 Wh"&amp;"ere Col2 = '""&amp;Personagem!$O$12&amp;""' or Col2 = '""&amp;Personagem!$O$13&amp;""'""),
if('Time 1'!C8 = ""Kurul"", query(IMPORTRANGE(cd_planilha, ""Armas!B3:G""), ""Select Col1 Where Col2 = '""&amp;Personagem!$P$12&amp;""' or Col2 = '""&amp;Personagem!$P$13&amp;""' ""),
if('Time 1'!"&amp;"C8 = ""Lancaster"", query(IMPORTRANGE(cd_planilha, ""Armas!B3:G""), ""Select Col1 Where Col2 = '""&amp;Personagem!$Q$12&amp;""' or Col2 = '""&amp;Personagem!$Q$13&amp;""'""),
if('Time 1'!C8 = ""Lorelei"", query(IMPORTRANGE(cd_planilha, ""Armas!B3:G""), ""Select Col1 Wher"&amp;"e Col2 = '""&amp;Personagem!$R$12&amp;""' or Col2 = '""&amp;Personagem!$R$13&amp;""' ""),
if('Time 1'!C8 = ""Louca"", query(IMPORTRANGE(cd_planilha, ""Armas!B3:G""), ""Select Col1 Where Col2 = '""&amp;Personagem!$S$12&amp;""' or Col2 = '""&amp;Personagem!$S$13&amp;""' ""),
if('Time 1'!C"&amp;"8 = ""Melina"", query(IMPORTRANGE(cd_planilha, ""Armas!B3:G""), ""Select Col1 Where Col2 = '""&amp;Personagem!$T$12&amp;""' or Col2 = '""&amp;Personagem!$T$13&amp;""'""),
if('Time 1'!C8 = ""Mila"", query(IMPORTRANGE(cd_planilha, ""Armas!B3:G""), ""Select Col1 Where Col2 "&amp;"= '""&amp;Personagem!$U$12&amp;""' or Col2 = '""&amp;Personagem!$U$13&amp;""' ""),
if('Time 1'!C8 = ""Minh"", query(IMPORTRANGE(cd_planilha, ""Armas!B3:G""), ""Select Col1 Where Col2 = '""&amp;Personagem!$V$12&amp;""' or Col2 = '""&amp;Personagem!$V$13&amp;""' ""),
if('Time 1'!C8 = ""Mo"&amp;"jian"", query(IMPORTRANGE(cd_planilha, ""Armas!B3:G""), ""Select Col1 Where Col2 = '""&amp;Personagem!$W$12&amp;""' or Col2 = '""&amp;Personagem!$W$13&amp;""'""),
if('Time 1'!C8 = ""Nya"", query(IMPORTRANGE(cd_planilha, ""Armas!B3:G""), ""Select Col1 Where Col2 = '""&amp;Per"&amp;"sonagem!$X$12&amp;""' or Col2 = '""&amp;Personagem!$X$13&amp;""' ""),
if('Time 1'!C8 = ""Odette"", query(IMPORTRANGE(cd_planilha, ""Armas!B3:G""), ""Select Col1 Where Col2 = '""&amp;Personagem!$Y$12&amp;""' or Col2 = '""&amp;Personagem!$Y$13&amp;""'""),
if('Time 1'!C8 = ""Oneira"", "&amp;"query(IMPORTRANGE(cd_planilha, ""Armas!B3:G""), ""Select Col1 Where Col2 = '""&amp;Personagem!$Z$12&amp;""' or Col2 = '""&amp;Personagem!$Z$13&amp;""' ""),
if('Time 1'!C8 = ""Palash"", query(IMPORTRANGE(cd_planilha, ""Armas!B3:G""), ""Select Col1 Where Col2 = '""&amp;Persona"&amp;"gem!$AA$12&amp;""' or Col2 = '""&amp;Personagem!$AA$13&amp;""'""),
if('Time 1'!C8 = ""Theor"", query(IMPORTRANGE(cd_planilha, ""Armas!B3:G""), ""Select Col1 Where Col2 = '""&amp;Personagem!$AB$12&amp;""' or Col2 = '""&amp;Personagem!$AB$13&amp;""' ""),
if('Time 1'!C8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X402" s="242"/>
      <c r="Y402" s="241" t="str">
        <f>IFERROR(__xludf.DUMMYFUNCTION("if('Time 1'!C3 = ""Albert"", query(IMPORTRANGE(cd_planilha, ""Armas!B3:G""), ""Select Col1 Where Col2 = '""&amp;Personagem!$B$14&amp;""' or Col2 = '""&amp;Personagem!$B$15&amp;""' or Col2 = '""&amp;Personagem!$B$16&amp;""'""),     
if('Time 1'!C3 = ""Alicia"", query(IMPORTRANGE("&amp;"cd_planilha, ""Armas!B3:G""), ""Select Col1 Where Col2 = '""&amp;Personagem!$C$14&amp;""'  or Col2 = '""&amp;Personagem!$C$16&amp;""'""),     
if('Time 1'!C3 = ""Azula"", query(IMPORTRANGE(cd_planilha, ""Armas!B3:G""), ""Select Col1 Where Col2 = '""&amp;Personagem!$D$14&amp;""' "&amp;"or Col2 = '""&amp;Personagem!$D$15&amp;""' or Col2 = '""&amp;Personagem!$D$16&amp;""'""),
if('Time 1'!C3 = ""Charles"", query(IMPORTRANGE(cd_planilha, ""Armas!B3:G""), ""Select Col1 Where Col2 = '""&amp;Personagem!$E$14&amp;""' or Col2 = '""&amp;Personagem!$E$15&amp;""'or Col2 = '""&amp;Per"&amp;"sonagem!$E$16&amp;""'""),
if('Time 1'!C3 = ""Clovis"", query(IMPORTRANGE(cd_planilha, ""Armas!B3:G""), ""Select Col1 Where Col2 = '""&amp;Personagem!$F$14&amp;""' or Col2 = '""&amp;Personagem!$F$15&amp;""' or Col2 = '""&amp;Personagem!$F$16&amp;""'""),
if('Time 1'!C3 = ""Darthos"", "&amp;"query(IMPORTRANGE(cd_planilha, ""Armas!B3:G""), ""Select Col1 Where Col2 = '""&amp;Personagem!$G$14&amp;""' or Col2 = '""&amp;Personagem!$G$15&amp;""'or Col2 = '""&amp;Personagem!$G$16&amp;""'""),
if('Time 1'!C3 = ""Edward"", query(IMPORTRANGE(cd_planilha, ""Armas!B3:G""), ""Sel"&amp;"ect Col1 Where Col2 = '""&amp;Personagem!$H$14&amp;""' or Col2 = '""&amp;Personagem!$H$15&amp;""' or Col2 = '""&amp;Personagem!$H$16&amp;""'""),
if('Time 1'!C3 = ""Fiora"", query(IMPORTRANGE(cd_planilha, ""Armas!B3:G""), ""Select Col1 Where Col2 = '""&amp;Personagem!$I$14&amp;""' or Col"&amp;"2 = '""&amp;Personagem!$I$15&amp;""' or Col2 = '""&amp;Personagem!$I$16&amp;""'""),
if('Time 1'!C3 = ""Francesca"", query(IMPORTRANGE(cd_planilha, ""Armas!B3:G""), ""Select Col1 Where Col2 = '""&amp;Personagem!$J$14&amp;""' or Col2 = '""&amp;Personagem!$J$15&amp;""'or Col2 = '""&amp;Persona"&amp;"gem!$J$16&amp;""'""),
if('Time 1'!C3 = ""Garreth"", query(IMPORTRANGE(cd_planilha, ""Armas!B3:G""), ""Select Col1 Where Col2 = '""&amp;Personagem!$K$14&amp;""' or Col2 = '""&amp;Personagem!$K$15&amp;""'or Col2 = '""&amp;Personagem!$K$16&amp;""'""),
if('Time 1'!C3 = ""Gauvin"", query"&amp;"(IMPORTRANGE(cd_planilha, ""Armas!B3:G""), ""Select Col1 Where Col2 = '""&amp;Personagem!$L$14&amp;""' or Col2 = '""&amp;Personagem!$L$15&amp;""'or Col2 = '""&amp;Personagem!$L$16&amp;""' ""),
if('Time 1'!C3 = ""Irene"", query(IMPORTRANGE(cd_planilha, ""Armas!B3:G""), ""Select C"&amp;"ol1 Where Col2 = '""&amp;Personagem!$M$14&amp;""' or Col2 = '""&amp;Personagem!$M$15&amp;""'or Col2 = '""&amp;Personagem!$M$16&amp;""' ""),
if('Time 1'!C3 = ""Karal"", query(IMPORTRANGE(cd_planilha, ""Armas!B3:G""), ""Select Col1 Where Col2 = '""&amp;Personagem!$N$14&amp;""' or Col2 = '"&amp;"""&amp;Personagem!$N$15&amp;""' or Col2 = '""&amp;Personagem!$N$16&amp;""'""),
if('Time 1'!C3 = ""Kuro Shobi"", query(IMPORTRANGE(cd_planilha, ""Armas!B3:G""), ""Select Col1 Where Col2 = '""&amp;Personagem!$O$14&amp;""' or Col2 = '""&amp;Personagem!$O$15&amp;""'or Col2 = '""&amp;Personagem!"&amp;"$O$16&amp;""'""),
if('Time 1'!C3 = ""Kurul"", query(IMPORTRANGE(cd_planilha, ""Armas!B3:G""), ""Select Col1 Where Col2 = '""&amp;Personagem!$P$14&amp;""' or Col2 = '""&amp;Personagem!$P$15&amp;""' or Col2 = '""&amp;Personagem!$P$16&amp;""'""),
if('Time 1'!C3 = ""Lancaster"", query(I"&amp;"MPORTRANGE(cd_planilha, ""Armas!B3:G""), ""Select Col1 Where Col2 = '""&amp;Personagem!$Q$14&amp;""' or Col2 = '""&amp;Personagem!$Q$15&amp;""'or Col2 = '""&amp;Personagem!$Q$16&amp;""'""),
if('Time 1'!C3 = ""Lorelei"", query(IMPORTRANGE(cd_planilha, ""Armas!B3:G""), ""Select Co"&amp;"l1 Where Col2 = '""&amp;Personagem!$R$14&amp;""' or Col2 = '""&amp;Personagem!$R$15&amp;""' or Col2 = '""&amp;Personagem!$R$16&amp;""'""),
if('Time 1'!C3 = ""Louca"", query(IMPORTRANGE(cd_planilha, ""Armas!B3:G""), ""Select Col1 Where Col2 = '""&amp;Personagem!$S$14&amp;""' or Col2 = '"&amp;"""&amp;Personagem!$S$15&amp;""'or Col2 = '""&amp;Personagem!$S$16&amp;""' ""),
if('Time 1'!C3 = ""Melina"", query(IMPORTRANGE(cd_planilha, ""Armas!B3:G""), ""Select Col1 Where Col2 = '""&amp;Personagem!$T$14&amp;""' or Col2 = '""&amp;Personagem!$T$15&amp;""'or Col2 = '""&amp;Personagem!$T$1"&amp;"6&amp;""'""),
if('Time 1'!C3 = ""Mila"", query(IMPORTRANGE(cd_planilha, ""Armas!B3:G""), ""Select Col1 Where Col2 = '""&amp;Personagem!$U$14&amp;""' or Col2 = '""&amp;Personagem!$U$15&amp;""' or Col2 = '""&amp;Personagem!$U$16&amp;""'""),
if('Time 1'!C3 = ""Minh"", query(IMPORTRANGE"&amp;"(cd_planilha, ""Armas!B3:G""), ""Select Col1 Where Col2 = '""&amp;Personagem!$V$14&amp;""' or Col2 = '""&amp;Personagem!$V$15&amp;""' or Col2 = '""&amp;Personagem!$V$16&amp;""'""),
if('Time 1'!C3 = ""Mojian"", query(IMPORTRANGE(cd_planilha, ""Armas!B3:G""), ""Select Col1 Where C"&amp;"ol2 = '""&amp;Personagem!$W$14&amp;""' or Col2 = '""&amp;Personagem!$W$15&amp;""'or Col2 = '""&amp;Personagem!$W$16&amp;""'""),
if('Time 1'!C3 = ""Nya"", query(IMPORTRANGE(cd_planilha, ""Armas!B3:G""), ""Select Col1 Where Col2 = '""&amp;Personagem!$X$14&amp;""' or Col2 = '""&amp;Personagem!"&amp;"$X$15&amp;""' or Col2 = '""&amp;Personagem!$X$16&amp;""'""),
if('Time 1'!C3 = ""Odette"", query(IMPORTRANGE(cd_planilha, ""Armas!B3:G""), ""Select Col1 Where Col2 = '""&amp;Personagem!$Y$14&amp;""' or Col2 = '""&amp;Personagem!$Y$15&amp;""'or Col2 = '""&amp;Personagem!$YB$16&amp;""'""),
if("&amp;"'Time 1'!C3 = ""Oneira"", query(IMPORTRANGE(cd_planilha, ""Armas!B3:G""), ""Select Col1 Where Col2 = '""&amp;Personagem!$Z$14&amp;""' or Col2 = '""&amp;Personagem!$Z$15&amp;""' or Col2 = '""&amp;Personagem!$Z$16&amp;""'""),
if('Time 1'!C3 = ""Palash"", query(IMPORTRANGE(cd_plani"&amp;"lha, ""Armas!B3:G""), ""Select Col1 Where Col2 = '""&amp;Personagem!$AA$14&amp;""' or Col2 = '""&amp;Personagem!$AA$15&amp;""'or Col2 = '""&amp;Personagem!$AA$16&amp;""'""),
if('Time 1'!C3 = ""Theor"", query(IMPORTRANGE(cd_planilha, ""Armas!B3:G""), ""Select Col1 Where Col2 = '"&amp;"""&amp;Personagem!$AB$14&amp;""' or Col2 = '""&amp;Personagem!$AB$15&amp;""' or Col2 = '""&amp;Personagem!$AB$16&amp;""'""),
if('Time 1'!C3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Z402" s="241"/>
      <c r="AA402" s="241" t="str">
        <f>IFERROR(__xludf.DUMMYFUNCTION("if('Time 1'!C4 = ""Albert"", query(IMPORTRANGE(cd_planilha, ""Armas!B3:G""), ""Select Col1 Where Col2 = '""&amp;Personagem!$B$14&amp;""' or Col2 = '""&amp;Personagem!$B$15&amp;""' or Col2 = '""&amp;Personagem!$B$16&amp;""'""),     
if('Time 1'!C4 = ""Alicia"", query(IMPORTRANGE("&amp;"cd_planilha, ""Armas!B3:G""), ""Select Col1 Where Col2 = '""&amp;Personagem!$C$14&amp;""'  or Col2 = '""&amp;Personagem!$C$16&amp;""'""),     
if('Time 1'!C4 = ""Azula"", query(IMPORTRANGE(cd_planilha, ""Armas!B3:G""), ""Select Col1 Where Col2 = '""&amp;Personagem!$D$14&amp;""' "&amp;"or Col2 = '""&amp;Personagem!$D$15&amp;""' or Col2 = '""&amp;Personagem!$D$16&amp;""'""),
if('Time 1'!C4 = ""Charles"", query(IMPORTRANGE(cd_planilha, ""Armas!B3:G""), ""Select Col1 Where Col2 = '""&amp;Personagem!$E$14&amp;""' or Col2 = '""&amp;Personagem!$E$15&amp;""'or Col2 = '""&amp;Per"&amp;"sonagem!$E$16&amp;""'""),
if('Time 1'!C4 = ""Clovis"", query(IMPORTRANGE(cd_planilha, ""Armas!B3:G""), ""Select Col1 Where Col2 = '""&amp;Personagem!$F$14&amp;""' or Col2 = '""&amp;Personagem!$F$15&amp;""' or Col2 = '""&amp;Personagem!$F$16&amp;""'""),
if('Time 1'!C4 = ""Darthos"", "&amp;"query(IMPORTRANGE(cd_planilha, ""Armas!B3:G""), ""Select Col1 Where Col2 = '""&amp;Personagem!$G$14&amp;""' or Col2 = '""&amp;Personagem!$G$15&amp;""'or Col2 = '""&amp;Personagem!$G$16&amp;""'""),
if('Time 1'!C4 = ""Edward"", query(IMPORTRANGE(cd_planilha, ""Armas!B3:G""), ""Sel"&amp;"ect Col1 Where Col2 = '""&amp;Personagem!$H$14&amp;""' or Col2 = '""&amp;Personagem!$H$15&amp;""' or Col2 = '""&amp;Personagem!$H$16&amp;""'""),
if('Time 1'!C4 = ""Fiora"", query(IMPORTRANGE(cd_planilha, ""Armas!B3:G""), ""Select Col1 Where Col2 = '""&amp;Personagem!$I$14&amp;""' or Col"&amp;"2 = '""&amp;Personagem!$I$15&amp;""' or Col2 = '""&amp;Personagem!$I$16&amp;""'""),
if('Time 1'!C4 = ""Francesca"", query(IMPORTRANGE(cd_planilha, ""Armas!B3:G""), ""Select Col1 Where Col2 = '""&amp;Personagem!$J$14&amp;""' or Col2 = '""&amp;Personagem!$J$15&amp;""'or Col2 = '""&amp;Persona"&amp;"gem!$J$16&amp;""'""),
if('Time 1'!C4 = ""Garreth"", query(IMPORTRANGE(cd_planilha, ""Armas!B3:G""), ""Select Col1 Where Col2 = '""&amp;Personagem!$K$14&amp;""' or Col2 = '""&amp;Personagem!$K$15&amp;""'or Col2 = '""&amp;Personagem!$K$16&amp;""'""),
if('Time 1'!C4 = ""Gauvin"", query"&amp;"(IMPORTRANGE(cd_planilha, ""Armas!B3:G""), ""Select Col1 Where Col2 = '""&amp;Personagem!$L$14&amp;""' or Col2 = '""&amp;Personagem!$L$15&amp;""'or Col2 = '""&amp;Personagem!$L$16&amp;""' ""),
if('Time 1'!C4 = ""Irene"", query(IMPORTRANGE(cd_planilha, ""Armas!B3:G""), ""Select C"&amp;"ol1 Where Col2 = '""&amp;Personagem!$M$14&amp;""' or Col2 = '""&amp;Personagem!$M$15&amp;""'or Col2 = '""&amp;Personagem!$M$16&amp;""' ""),
if('Time 1'!C4 = ""Karal"", query(IMPORTRANGE(cd_planilha, ""Armas!B3:G""), ""Select Col1 Where Col2 = '""&amp;Personagem!$N$14&amp;""' or Col2 = '"&amp;"""&amp;Personagem!$N$15&amp;""' or Col2 = '""&amp;Personagem!$N$16&amp;""'""),
if('Time 1'!C4 = ""Kuro Shobi"", query(IMPORTRANGE(cd_planilha, ""Armas!B3:G""), ""Select Col1 Where Col2 = '""&amp;Personagem!$O$14&amp;""' or Col2 = '""&amp;Personagem!$O$15&amp;""'or Col2 = '""&amp;Personagem!"&amp;"$O$16&amp;""'""),
if('Time 1'!C4 = ""Kurul"", query(IMPORTRANGE(cd_planilha, ""Armas!B3:G""), ""Select Col1 Where Col2 = '""&amp;Personagem!$P$14&amp;""' or Col2 = '""&amp;Personagem!$P$15&amp;""' or Col2 = '""&amp;Personagem!$P$16&amp;""'""),
if('Time 1'!C4 = ""Lancaster"", query(I"&amp;"MPORTRANGE(cd_planilha, ""Armas!B3:G""), ""Select Col1 Where Col2 = '""&amp;Personagem!$Q$14&amp;""' or Col2 = '""&amp;Personagem!$Q$15&amp;""'or Col2 = '""&amp;Personagem!$Q$16&amp;""'""),
if('Time 1'!C4 = ""Lorelei"", query(IMPORTRANGE(cd_planilha, ""Armas!B3:G""), ""Select Co"&amp;"l1 Where Col2 = '""&amp;Personagem!$R$14&amp;""' or Col2 = '""&amp;Personagem!$R$15&amp;""' or Col2 = '""&amp;Personagem!$R$16&amp;""'""),
if('Time 1'!C4 = ""Louca"", query(IMPORTRANGE(cd_planilha, ""Armas!B3:G""), ""Select Col1 Where Col2 = '""&amp;Personagem!$S$14&amp;""' or Col2 = '"&amp;"""&amp;Personagem!$S$15&amp;""'or Col2 = '""&amp;Personagem!$S$16&amp;""' ""),
if('Time 1'!C4 = ""Melina"", query(IMPORTRANGE(cd_planilha, ""Armas!B3:G""), ""Select Col1 Where Col2 = '""&amp;Personagem!$T$14&amp;""' or Col2 = '""&amp;Personagem!$T$15&amp;""'or Col2 = '""&amp;Personagem!$T$1"&amp;"6&amp;""'""),
if('Time 1'!C4 = ""Mila"", query(IMPORTRANGE(cd_planilha, ""Armas!B3:G""), ""Select Col1 Where Col2 = '""&amp;Personagem!$U$14&amp;""' or Col2 = '""&amp;Personagem!$U$15&amp;""' or Col2 = '""&amp;Personagem!$U$16&amp;""'""),
if('Time 1'!C4 = ""Minh"", query(IMPORTRANGE"&amp;"(cd_planilha, ""Armas!B3:G""), ""Select Col1 Where Col2 = '""&amp;Personagem!$V$14&amp;""' or Col2 = '""&amp;Personagem!$V$15&amp;""' or Col2 = '""&amp;Personagem!$V$16&amp;""'""),
if('Time 1'!C4 = ""Mojian"", query(IMPORTRANGE(cd_planilha, ""Armas!B3:G""), ""Select Col1 Where C"&amp;"ol2 = '""&amp;Personagem!$W$14&amp;""' or Col2 = '""&amp;Personagem!$W$15&amp;""'or Col2 = '""&amp;Personagem!$W$16&amp;""'""),
if('Time 1'!C4 = ""Nya"", query(IMPORTRANGE(cd_planilha, ""Armas!B3:G""), ""Select Col1 Where Col2 = '""&amp;Personagem!$X$14&amp;""' or Col2 = '""&amp;Personagem!"&amp;"$X$15&amp;""' or Col2 = '""&amp;Personagem!$X$16&amp;""'""),
if('Time 1'!C4 = ""Odette"", query(IMPORTRANGE(cd_planilha, ""Armas!B3:G""), ""Select Col1 Where Col2 = '""&amp;Personagem!$Y$14&amp;""' or Col2 = '""&amp;Personagem!$Y$15&amp;""'or Col2 = '""&amp;Personagem!$YB$16&amp;""'""),
if("&amp;"'Time 1'!C4 = ""Oneira"", query(IMPORTRANGE(cd_planilha, ""Armas!B3:G""), ""Select Col1 Where Col2 = '""&amp;Personagem!$Z$14&amp;""' or Col2 = '""&amp;Personagem!$Z$15&amp;""' or Col2 = '""&amp;Personagem!$Z$16&amp;""'""),
if('Time 1'!C4 = ""Palash"", query(IMPORTRANGE(cd_plani"&amp;"lha, ""Armas!B3:G""), ""Select Col1 Where Col2 = '""&amp;Personagem!$AA$14&amp;""' or Col2 = '""&amp;Personagem!$AA$15&amp;""'or Col2 = '""&amp;Personagem!$AA$16&amp;""'""),
if('Time 1'!C4 = ""Theor"", query(IMPORTRANGE(cd_planilha, ""Armas!B3:G""), ""Select Col1 Where Col2 = '"&amp;"""&amp;Personagem!$AB$14&amp;""' or Col2 = '""&amp;Personagem!$AB$15&amp;""' or Col2 = '""&amp;Personagem!$AB$16&amp;""'""),
if('Time 1'!C4 = ""Yue"", query(IMPORTRANGE(cd_planilha, ""Armas!B3:G""), ""Select Col1 Where Col2 = '""&amp;Personagem!$AC$14&amp;""' or Col2 = '""&amp;Personagem!$A"&amp;"C$15&amp;""'or Col2 = '""&amp;Personagem!$AC$16&amp;""'""
)))))))))))))))))))))))))))))"),"Feitiço do Vento ")</f>
        <v>Feitiço do Vento </v>
      </c>
      <c r="AB402" s="241"/>
      <c r="AC402" s="241" t="str">
        <f>IFERROR(__xludf.DUMMYFUNCTION("if('Time 1'!C5 = ""Albert"", query(IMPORTRANGE(cd_planilha, ""Armas!B3:G""), ""Select Col1 Where Col2 = '""&amp;Personagem!$B$14&amp;""' or Col2 = '""&amp;Personagem!$B$15&amp;""' or Col2 = '""&amp;Personagem!$B$16&amp;""'""),     
if('Time 1'!C5 = ""Alicia"", query(IMPORTRANGE("&amp;"cd_planilha, ""Armas!B3:G""), ""Select Col1 Where Col2 = '""&amp;Personagem!$C$14&amp;""'  or Col2 = '""&amp;Personagem!$C$16&amp;""'""),     
if('Time 1'!C5 = ""Azula"", query(IMPORTRANGE(cd_planilha, ""Armas!B3:G""), ""Select Col1 Where Col2 = '""&amp;Personagem!$D$14&amp;""' "&amp;"or Col2 = '""&amp;Personagem!$D$15&amp;""' or Col2 = '""&amp;Personagem!$D$16&amp;""'""),
if('Time 1'!C5 = ""Charles"", query(IMPORTRANGE(cd_planilha, ""Armas!B3:G""), ""Select Col1 Where Col2 = '""&amp;Personagem!$E$14&amp;""' or Col2 = '""&amp;Personagem!$E$15&amp;""'or Col2 = '""&amp;Per"&amp;"sonagem!$E$16&amp;""'""),
if('Time 1'!C5 = ""Clovis"", query(IMPORTRANGE(cd_planilha, ""Armas!B3:G""), ""Select Col1 Where Col2 = '""&amp;Personagem!$F$14&amp;""' or Col2 = '""&amp;Personagem!$F$15&amp;""' or Col2 = '""&amp;Personagem!$F$16&amp;""'""),
if('Time 1'!C5 = ""Darthos"", "&amp;"query(IMPORTRANGE(cd_planilha, ""Armas!B3:G""), ""Select Col1 Where Col2 = '""&amp;Personagem!$G$14&amp;""' or Col2 = '""&amp;Personagem!$G$15&amp;""'or Col2 = '""&amp;Personagem!$G$16&amp;""'""),
if('Time 1'!C5 = ""Edward"", query(IMPORTRANGE(cd_planilha, ""Armas!B3:G""), ""Sel"&amp;"ect Col1 Where Col2 = '""&amp;Personagem!$H$14&amp;""' or Col2 = '""&amp;Personagem!$H$15&amp;""' or Col2 = '""&amp;Personagem!$H$16&amp;""'""),
if('Time 1'!C5 = ""Fiora"", query(IMPORTRANGE(cd_planilha, ""Armas!B3:G""), ""Select Col1 Where Col2 = '""&amp;Personagem!$I$14&amp;""' or Col"&amp;"2 = '""&amp;Personagem!$I$15&amp;""' or Col2 = '""&amp;Personagem!$I$16&amp;""'""),
if('Time 1'!C5 = ""Francesca"", query(IMPORTRANGE(cd_planilha, ""Armas!B3:G""), ""Select Col1 Where Col2 = '""&amp;Personagem!$J$14&amp;""' or Col2 = '""&amp;Personagem!$J$15&amp;""'or Col2 = '""&amp;Persona"&amp;"gem!$J$16&amp;""'""),
if('Time 1'!C5 = ""Garreth"", query(IMPORTRANGE(cd_planilha, ""Armas!B3:G""), ""Select Col1 Where Col2 = '""&amp;Personagem!$K$14&amp;""' or Col2 = '""&amp;Personagem!$K$15&amp;""'or Col2 = '""&amp;Personagem!$K$16&amp;""'""),
if('Time 1'!C5 = ""Gauvin"", query"&amp;"(IMPORTRANGE(cd_planilha, ""Armas!B3:G""), ""Select Col1 Where Col2 = '""&amp;Personagem!$L$14&amp;""' or Col2 = '""&amp;Personagem!$L$15&amp;""'or Col2 = '""&amp;Personagem!$L$16&amp;""' ""),
if('Time 1'!C5 = ""Irene"", query(IMPORTRANGE(cd_planilha, ""Armas!B3:G""), ""Select C"&amp;"ol1 Where Col2 = '""&amp;Personagem!$M$14&amp;""' or Col2 = '""&amp;Personagem!$M$15&amp;""'or Col2 = '""&amp;Personagem!$M$16&amp;""' ""),
if('Time 1'!C5 = ""Karal"", query(IMPORTRANGE(cd_planilha, ""Armas!B3:G""), ""Select Col1 Where Col2 = '""&amp;Personagem!$N$14&amp;""' or Col2 = '"&amp;"""&amp;Personagem!$N$15&amp;""' or Col2 = '""&amp;Personagem!$N$16&amp;""'""),
if('Time 1'!C5 = ""Kuro Shobi"", query(IMPORTRANGE(cd_planilha, ""Armas!B3:G""), ""Select Col1 Where Col2 = '""&amp;Personagem!$O$14&amp;""' or Col2 = '""&amp;Personagem!$O$15&amp;""'or Col2 = '""&amp;Personagem!"&amp;"$O$16&amp;""'""),
if('Time 1'!C5 = ""Kurul"", query(IMPORTRANGE(cd_planilha, ""Armas!B3:G""), ""Select Col1 Where Col2 = '""&amp;Personagem!$P$14&amp;""' or Col2 = '""&amp;Personagem!$P$15&amp;""' or Col2 = '""&amp;Personagem!$P$16&amp;""'""),
if('Time 1'!C5 = ""Lancaster"", query(I"&amp;"MPORTRANGE(cd_planilha, ""Armas!B3:G""), ""Select Col1 Where Col2 = '""&amp;Personagem!$Q$14&amp;""' or Col2 = '""&amp;Personagem!$Q$15&amp;""'or Col2 = '""&amp;Personagem!$Q$16&amp;""'""),
if('Time 1'!C5 = ""Lorelei"", query(IMPORTRANGE(cd_planilha, ""Armas!B3:G""), ""Select Co"&amp;"l1 Where Col2 = '""&amp;Personagem!$R$14&amp;""' or Col2 = '""&amp;Personagem!$R$15&amp;""' or Col2 = '""&amp;Personagem!$R$16&amp;""'""),
if('Time 1'!C5 = ""Louca"", query(IMPORTRANGE(cd_planilha, ""Armas!B3:G""), ""Select Col1 Where Col2 = '""&amp;Personagem!$S$14&amp;""' or Col2 = '"&amp;"""&amp;Personagem!$S$15&amp;""'or Col2 = '""&amp;Personagem!$S$16&amp;""' ""),
if('Time 1'!C5 = ""Melina"", query(IMPORTRANGE(cd_planilha, ""Armas!B3:G""), ""Select Col1 Where Col2 = '""&amp;Personagem!$T$14&amp;""' or Col2 = '""&amp;Personagem!$T$15&amp;""'or Col2 = '""&amp;Personagem!$T$1"&amp;"6&amp;""'""),
if('Time 1'!C5 = ""Mila"", query(IMPORTRANGE(cd_planilha, ""Armas!B3:G""), ""Select Col1 Where Col2 = '""&amp;Personagem!$U$14&amp;""' or Col2 = '""&amp;Personagem!$U$15&amp;""' or Col2 = '""&amp;Personagem!$U$16&amp;""'""),
if('Time 1'!C5 = ""Minh"", query(IMPORTRANGE"&amp;"(cd_planilha, ""Armas!B3:G""), ""Select Col1 Where Col2 = '""&amp;Personagem!$V$14&amp;""' or Col2 = '""&amp;Personagem!$V$15&amp;""' or Col2 = '""&amp;Personagem!$V$16&amp;""'""),
if('Time 1'!C5 = ""Mojian"", query(IMPORTRANGE(cd_planilha, ""Armas!B3:G""), ""Select Col1 Where C"&amp;"ol2 = '""&amp;Personagem!$W$14&amp;""' or Col2 = '""&amp;Personagem!$W$15&amp;""'or Col2 = '""&amp;Personagem!$W$16&amp;""'""),
if('Time 1'!C5 = ""Nya"", query(IMPORTRANGE(cd_planilha, ""Armas!B3:G""), ""Select Col1 Where Col2 = '""&amp;Personagem!$X$14&amp;""' or Col2 = '""&amp;Personagem!"&amp;"$X$15&amp;""' or Col2 = '""&amp;Personagem!$X$16&amp;""'""),
if('Time 1'!C5 = ""Odette"", query(IMPORTRANGE(cd_planilha, ""Armas!B3:G""), ""Select Col1 Where Col2 = '""&amp;Personagem!$Y$14&amp;""' or Col2 = '""&amp;Personagem!$Y$15&amp;""'or Col2 = '""&amp;Personagem!$YB$16&amp;""'""),
if("&amp;"'Time 1'!C5 = ""Oneira"", query(IMPORTRANGE(cd_planilha, ""Armas!B3:G""), ""Select Col1 Where Col2 = '""&amp;Personagem!$Z$14&amp;""' or Col2 = '""&amp;Personagem!$Z$15&amp;""' or Col2 = '""&amp;Personagem!$Z$16&amp;""'""),
if('Time 1'!C5 = ""Palash"", query(IMPORTRANGE(cd_plani"&amp;"lha, ""Armas!B3:G""), ""Select Col1 Where Col2 = '""&amp;Personagem!$AA$14&amp;""' or Col2 = '""&amp;Personagem!$AA$15&amp;""'or Col2 = '""&amp;Personagem!$AA$16&amp;""'""),
if('Time 1'!C5 = ""Theor"", query(IMPORTRANGE(cd_planilha, ""Armas!B3:G""), ""Select Col1 Where Col2 = '"&amp;"""&amp;Personagem!$AB$14&amp;""' or Col2 = '""&amp;Personagem!$AB$15&amp;""' or Col2 = '""&amp;Personagem!$AB$16&amp;""'""),
if('Time 1'!C5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D402" s="241"/>
      <c r="AE402" s="241" t="str">
        <f>IFERROR(__xludf.DUMMYFUNCTION("if('Time 1'!C6 = ""Albert"", query(IMPORTRANGE(cd_planilha, ""Armas!B3:G""), ""Select Col1 Where Col2 = '""&amp;Personagem!$B$14&amp;""' or Col2 = '""&amp;Personagem!$B$15&amp;""' or Col2 = '""&amp;Personagem!$B$16&amp;""'""),     
if('Time 1'!C6 = ""Alicia"", query(IMPORTRANGE("&amp;"cd_planilha, ""Armas!B3:G""), ""Select Col1 Where Col2 = '""&amp;Personagem!$C$14&amp;""'  or Col2 = '""&amp;Personagem!$C$16&amp;""'""),     
if('Time 1'!C6 = ""Azula"", query(IMPORTRANGE(cd_planilha, ""Armas!B3:G""), ""Select Col1 Where Col2 = '""&amp;Personagem!$D$14&amp;""' "&amp;"or Col2 = '""&amp;Personagem!$D$15&amp;""' or Col2 = '""&amp;Personagem!$D$16&amp;""'""),
if('Time 1'!C6 = ""Charles"", query(IMPORTRANGE(cd_planilha, ""Armas!B3:G""), ""Select Col1 Where Col2 = '""&amp;Personagem!$E$14&amp;""' or Col2 = '""&amp;Personagem!$E$15&amp;""'or Col2 = '""&amp;Per"&amp;"sonagem!$E$16&amp;""'""),
if('Time 1'!C6 = ""Clovis"", query(IMPORTRANGE(cd_planilha, ""Armas!B3:G""), ""Select Col1 Where Col2 = '""&amp;Personagem!$F$14&amp;""' or Col2 = '""&amp;Personagem!$F$15&amp;""' or Col2 = '""&amp;Personagem!$F$16&amp;""'""),
if('Time 1'!C6 = ""Darthos"", "&amp;"query(IMPORTRANGE(cd_planilha, ""Armas!B3:G""), ""Select Col1 Where Col2 = '""&amp;Personagem!$G$14&amp;""' or Col2 = '""&amp;Personagem!$G$15&amp;""'or Col2 = '""&amp;Personagem!$G$16&amp;""'""),
if('Time 1'!C6 = ""Edward"", query(IMPORTRANGE(cd_planilha, ""Armas!B3:G""), ""Sel"&amp;"ect Col1 Where Col2 = '""&amp;Personagem!$H$14&amp;""' or Col2 = '""&amp;Personagem!$H$15&amp;""' or Col2 = '""&amp;Personagem!$H$16&amp;""'""),
if('Time 1'!C6 = ""Fiora"", query(IMPORTRANGE(cd_planilha, ""Armas!B3:G""), ""Select Col1 Where Col2 = '""&amp;Personagem!$I$14&amp;""' or Col"&amp;"2 = '""&amp;Personagem!$I$15&amp;""' or Col2 = '""&amp;Personagem!$I$16&amp;""'""),
if('Time 1'!C6 = ""Francesca"", query(IMPORTRANGE(cd_planilha, ""Armas!B3:G""), ""Select Col1 Where Col2 = '""&amp;Personagem!$J$14&amp;""' or Col2 = '""&amp;Personagem!$J$15&amp;""'or Col2 = '""&amp;Persona"&amp;"gem!$J$16&amp;""'""),
if('Time 1'!C6 = ""Garreth"", query(IMPORTRANGE(cd_planilha, ""Armas!B3:G""), ""Select Col1 Where Col2 = '""&amp;Personagem!$K$14&amp;""' or Col2 = '""&amp;Personagem!$K$15&amp;""'or Col2 = '""&amp;Personagem!$K$16&amp;""'""),
if('Time 1'!C6 = ""Gauvin"", query"&amp;"(IMPORTRANGE(cd_planilha, ""Armas!B3:G""), ""Select Col1 Where Col2 = '""&amp;Personagem!$L$14&amp;""' or Col2 = '""&amp;Personagem!$L$15&amp;""'or Col2 = '""&amp;Personagem!$L$16&amp;""' ""),
if('Time 1'!C6 = ""Irene"", query(IMPORTRANGE(cd_planilha, ""Armas!B3:G""), ""Select C"&amp;"ol1 Where Col2 = '""&amp;Personagem!$M$14&amp;""' or Col2 = '""&amp;Personagem!$M$15&amp;""'or Col2 = '""&amp;Personagem!$M$16&amp;""' ""),
if('Time 1'!C6 = ""Karal"", query(IMPORTRANGE(cd_planilha, ""Armas!B3:G""), ""Select Col1 Where Col2 = '""&amp;Personagem!$N$14&amp;""' or Col2 = '"&amp;"""&amp;Personagem!$N$15&amp;""' or Col2 = '""&amp;Personagem!$N$16&amp;""'""),
if('Time 1'!C6 = ""Kuro Shobi"", query(IMPORTRANGE(cd_planilha, ""Armas!B3:G""), ""Select Col1 Where Col2 = '""&amp;Personagem!$O$14&amp;""' or Col2 = '""&amp;Personagem!$O$15&amp;""'or Col2 = '""&amp;Personagem!"&amp;"$O$16&amp;""'""),
if('Time 1'!C6 = ""Kurul"", query(IMPORTRANGE(cd_planilha, ""Armas!B3:G""), ""Select Col1 Where Col2 = '""&amp;Personagem!$P$14&amp;""' or Col2 = '""&amp;Personagem!$P$15&amp;""' or Col2 = '""&amp;Personagem!$P$16&amp;""'""),
if('Time 1'!C6 = ""Lancaster"", query(I"&amp;"MPORTRANGE(cd_planilha, ""Armas!B3:G""), ""Select Col1 Where Col2 = '""&amp;Personagem!$Q$14&amp;""' or Col2 = '""&amp;Personagem!$Q$15&amp;""'or Col2 = '""&amp;Personagem!$Q$16&amp;""'""),
if('Time 1'!C6 = ""Lorelei"", query(IMPORTRANGE(cd_planilha, ""Armas!B3:G""), ""Select Co"&amp;"l1 Where Col2 = '""&amp;Personagem!$R$14&amp;""' or Col2 = '""&amp;Personagem!$R$15&amp;""' or Col2 = '""&amp;Personagem!$R$16&amp;""'""),
if('Time 1'!C6 = ""Louca"", query(IMPORTRANGE(cd_planilha, ""Armas!B3:G""), ""Select Col1 Where Col2 = '""&amp;Personagem!$S$14&amp;""' or Col2 = '"&amp;"""&amp;Personagem!$S$15&amp;""'or Col2 = '""&amp;Personagem!$S$16&amp;""' ""),
if('Time 1'!C6 = ""Melina"", query(IMPORTRANGE(cd_planilha, ""Armas!B3:G""), ""Select Col1 Where Col2 = '""&amp;Personagem!$T$14&amp;""' or Col2 = '""&amp;Personagem!$T$15&amp;""'or Col2 = '""&amp;Personagem!$T$1"&amp;"6&amp;""'""),
if('Time 1'!C6 = ""Mila"", query(IMPORTRANGE(cd_planilha, ""Armas!B3:G""), ""Select Col1 Where Col2 = '""&amp;Personagem!$U$14&amp;""' or Col2 = '""&amp;Personagem!$U$15&amp;""' or Col2 = '""&amp;Personagem!$U$16&amp;""'""),
if('Time 1'!C6 = ""Minh"", query(IMPORTRANGE"&amp;"(cd_planilha, ""Armas!B3:G""), ""Select Col1 Where Col2 = '""&amp;Personagem!$V$14&amp;""' or Col2 = '""&amp;Personagem!$V$15&amp;""' or Col2 = '""&amp;Personagem!$V$16&amp;""'""),
if('Time 1'!C6 = ""Mojian"", query(IMPORTRANGE(cd_planilha, ""Armas!B3:G""), ""Select Col1 Where C"&amp;"ol2 = '""&amp;Personagem!$W$14&amp;""' or Col2 = '""&amp;Personagem!$W$15&amp;""'or Col2 = '""&amp;Personagem!$W$16&amp;""'""),
if('Time 1'!C6 = ""Nya"", query(IMPORTRANGE(cd_planilha, ""Armas!B3:G""), ""Select Col1 Where Col2 = '""&amp;Personagem!$X$14&amp;""' or Col2 = '""&amp;Personagem!"&amp;"$X$15&amp;""' or Col2 = '""&amp;Personagem!$X$16&amp;""'""),
if('Time 1'!C6 = ""Odette"", query(IMPORTRANGE(cd_planilha, ""Armas!B3:G""), ""Select Col1 Where Col2 = '""&amp;Personagem!$Y$14&amp;""' or Col2 = '""&amp;Personagem!$Y$15&amp;""'or Col2 = '""&amp;Personagem!$YB$16&amp;""'""),
if("&amp;"'Time 1'!C6 = ""Oneira"", query(IMPORTRANGE(cd_planilha, ""Armas!B3:G""), ""Select Col1 Where Col2 = '""&amp;Personagem!$Z$14&amp;""' or Col2 = '""&amp;Personagem!$Z$15&amp;""' or Col2 = '""&amp;Personagem!$Z$16&amp;""'""),
if('Time 1'!C6 = ""Palash"", query(IMPORTRANGE(cd_plani"&amp;"lha, ""Armas!B3:G""), ""Select Col1 Where Col2 = '""&amp;Personagem!$AA$14&amp;""' or Col2 = '""&amp;Personagem!$AA$15&amp;""'or Col2 = '""&amp;Personagem!$AA$16&amp;""'""),
if('Time 1'!C6 = ""Theor"", query(IMPORTRANGE(cd_planilha, ""Armas!B3:G""), ""Select Col1 Where Col2 = '"&amp;"""&amp;Personagem!$AB$14&amp;""' or Col2 = '""&amp;Personagem!$AB$15&amp;""' or Col2 = '""&amp;Personagem!$AB$16&amp;""'""),
if('Time 1'!C6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F402" s="241"/>
      <c r="AG402" s="241" t="str">
        <f>IFERROR(__xludf.DUMMYFUNCTION("if('Time 1'!C7 = ""Albert"", query(IMPORTRANGE(cd_planilha, ""Armas!B3:G""), ""Select Col1 Where Col2 = '""&amp;Personagem!$B$14&amp;""' or Col2 = '""&amp;Personagem!$B$15&amp;""' or Col2 = '""&amp;Personagem!$B$16&amp;""'""),     
if('Time 1'!C7 = ""Alicia"", query(IMPORTRANGE("&amp;"cd_planilha, ""Armas!B3:G""), ""Select Col1 Where Col2 = '""&amp;Personagem!$C$14&amp;""'  or Col2 = '""&amp;Personagem!$C$16&amp;""'""),     
if('Time 1'!C7 = ""Azula"", query(IMPORTRANGE(cd_planilha, ""Armas!B3:G""), ""Select Col1 Where Col2 = '""&amp;Personagem!$D$14&amp;""' "&amp;"or Col2 = '""&amp;Personagem!$D$15&amp;""' or Col2 = '""&amp;Personagem!$D$16&amp;""'""),
if('Time 1'!C7 = ""Charles"", query(IMPORTRANGE(cd_planilha, ""Armas!B3:G""), ""Select Col1 Where Col2 = '""&amp;Personagem!$E$14&amp;""' or Col2 = '""&amp;Personagem!$E$15&amp;""'or Col2 = '""&amp;Per"&amp;"sonagem!$E$16&amp;""'""),
if('Time 1'!C7 = ""Clovis"", query(IMPORTRANGE(cd_planilha, ""Armas!B3:G""), ""Select Col1 Where Col2 = '""&amp;Personagem!$F$14&amp;""' or Col2 = '""&amp;Personagem!$F$15&amp;""' or Col2 = '""&amp;Personagem!$F$16&amp;""'""),
if('Time 1'!C7 = ""Darthos"", "&amp;"query(IMPORTRANGE(cd_planilha, ""Armas!B3:G""), ""Select Col1 Where Col2 = '""&amp;Personagem!$G$14&amp;""' or Col2 = '""&amp;Personagem!$G$15&amp;""'or Col2 = '""&amp;Personagem!$G$16&amp;""'""),
if('Time 1'!C7 = ""Edward"", query(IMPORTRANGE(cd_planilha, ""Armas!B3:G""), ""Sel"&amp;"ect Col1 Where Col2 = '""&amp;Personagem!$H$14&amp;""' or Col2 = '""&amp;Personagem!$H$15&amp;""' or Col2 = '""&amp;Personagem!$H$16&amp;""'""),
if('Time 1'!C7 = ""Fiora"", query(IMPORTRANGE(cd_planilha, ""Armas!B3:G""), ""Select Col1 Where Col2 = '""&amp;Personagem!$I$14&amp;""' or Col"&amp;"2 = '""&amp;Personagem!$I$15&amp;""' or Col2 = '""&amp;Personagem!$I$16&amp;""'""),
if('Time 1'!C7 = ""Francesca"", query(IMPORTRANGE(cd_planilha, ""Armas!B3:G""), ""Select Col1 Where Col2 = '""&amp;Personagem!$J$14&amp;""' or Col2 = '""&amp;Personagem!$J$15&amp;""'or Col2 = '""&amp;Persona"&amp;"gem!$J$16&amp;""'""),
if('Time 1'!C7 = ""Garreth"", query(IMPORTRANGE(cd_planilha, ""Armas!B3:G""), ""Select Col1 Where Col2 = '""&amp;Personagem!$K$14&amp;""' or Col2 = '""&amp;Personagem!$K$15&amp;""'or Col2 = '""&amp;Personagem!$K$16&amp;""'""),
if('Time 1'!C7 = ""Gauvin"", query"&amp;"(IMPORTRANGE(cd_planilha, ""Armas!B3:G""), ""Select Col1 Where Col2 = '""&amp;Personagem!$L$14&amp;""' or Col2 = '""&amp;Personagem!$L$15&amp;""'or Col2 = '""&amp;Personagem!$L$16&amp;""' ""),
if('Time 1'!C7 = ""Irene"", query(IMPORTRANGE(cd_planilha, ""Armas!B3:G""), ""Select C"&amp;"ol1 Where Col2 = '""&amp;Personagem!$M$14&amp;""' or Col2 = '""&amp;Personagem!$M$15&amp;""'or Col2 = '""&amp;Personagem!$M$16&amp;""' ""),
if('Time 1'!C7 = ""Karal"", query(IMPORTRANGE(cd_planilha, ""Armas!B3:G""), ""Select Col1 Where Col2 = '""&amp;Personagem!$N$14&amp;""' or Col2 = '"&amp;"""&amp;Personagem!$N$15&amp;""' or Col2 = '""&amp;Personagem!$N$16&amp;""'""),
if('Time 1'!C7 = ""Kuro Shobi"", query(IMPORTRANGE(cd_planilha, ""Armas!B3:G""), ""Select Col1 Where Col2 = '""&amp;Personagem!$O$14&amp;""' or Col2 = '""&amp;Personagem!$O$15&amp;""'or Col2 = '""&amp;Personagem!"&amp;"$O$16&amp;""'""),
if('Time 1'!C7 = ""Kurul"", query(IMPORTRANGE(cd_planilha, ""Armas!B3:G""), ""Select Col1 Where Col2 = '""&amp;Personagem!$P$14&amp;""' or Col2 = '""&amp;Personagem!$P$15&amp;""' or Col2 = '""&amp;Personagem!$P$16&amp;""'""),
if('Time 1'!C7 = ""Lancaster"", query(I"&amp;"MPORTRANGE(cd_planilha, ""Armas!B3:G""), ""Select Col1 Where Col2 = '""&amp;Personagem!$Q$14&amp;""' or Col2 = '""&amp;Personagem!$Q$15&amp;""'or Col2 = '""&amp;Personagem!$Q$16&amp;""'""),
if('Time 1'!C7 = ""Lorelei"", query(IMPORTRANGE(cd_planilha, ""Armas!B3:G""), ""Select Co"&amp;"l1 Where Col2 = '""&amp;Personagem!$R$14&amp;""' or Col2 = '""&amp;Personagem!$R$15&amp;""' or Col2 = '""&amp;Personagem!$R$16&amp;""'""),
if('Time 1'!C7 = ""Louca"", query(IMPORTRANGE(cd_planilha, ""Armas!B3:G""), ""Select Col1 Where Col2 = '""&amp;Personagem!$S$14&amp;""' or Col2 = '"&amp;"""&amp;Personagem!$S$15&amp;""'or Col2 = '""&amp;Personagem!$S$16&amp;""' ""),
if('Time 1'!C7 = ""Melina"", query(IMPORTRANGE(cd_planilha, ""Armas!B3:G""), ""Select Col1 Where Col2 = '""&amp;Personagem!$T$14&amp;""' or Col2 = '""&amp;Personagem!$T$15&amp;""'or Col2 = '""&amp;Personagem!$T$1"&amp;"6&amp;""'""),
if('Time 1'!C7 = ""Mila"", query(IMPORTRANGE(cd_planilha, ""Armas!B3:G""), ""Select Col1 Where Col2 = '""&amp;Personagem!$U$14&amp;""' or Col2 = '""&amp;Personagem!$U$15&amp;""' or Col2 = '""&amp;Personagem!$U$16&amp;""'""),
if('Time 1'!C7 = ""Minh"", query(IMPORTRANGE"&amp;"(cd_planilha, ""Armas!B3:G""), ""Select Col1 Where Col2 = '""&amp;Personagem!$V$14&amp;""' or Col2 = '""&amp;Personagem!$V$15&amp;""' or Col2 = '""&amp;Personagem!$V$16&amp;""'""),
if('Time 1'!C7 = ""Mojian"", query(IMPORTRANGE(cd_planilha, ""Armas!B3:G""), ""Select Col1 Where C"&amp;"ol2 = '""&amp;Personagem!$W$14&amp;""' or Col2 = '""&amp;Personagem!$W$15&amp;""'or Col2 = '""&amp;Personagem!$W$16&amp;""'""),
if('Time 1'!C7 = ""Nya"", query(IMPORTRANGE(cd_planilha, ""Armas!B3:G""), ""Select Col1 Where Col2 = '""&amp;Personagem!$X$14&amp;""' or Col2 = '""&amp;Personagem!"&amp;"$X$15&amp;""' or Col2 = '""&amp;Personagem!$X$16&amp;""'""),
if('Time 1'!C7 = ""Odette"", query(IMPORTRANGE(cd_planilha, ""Armas!B3:G""), ""Select Col1 Where Col2 = '""&amp;Personagem!$Y$14&amp;""' or Col2 = '""&amp;Personagem!$Y$15&amp;""'or Col2 = '""&amp;Personagem!$YB$16&amp;""'""),
if("&amp;"'Time 1'!C7 = ""Oneira"", query(IMPORTRANGE(cd_planilha, ""Armas!B3:G""), ""Select Col1 Where Col2 = '""&amp;Personagem!$Z$14&amp;""' or Col2 = '""&amp;Personagem!$Z$15&amp;""' or Col2 = '""&amp;Personagem!$Z$16&amp;""'""),
if('Time 1'!C7 = ""Palash"", query(IMPORTRANGE(cd_plani"&amp;"lha, ""Armas!B3:G""), ""Select Col1 Where Col2 = '""&amp;Personagem!$AA$14&amp;""' or Col2 = '""&amp;Personagem!$AA$15&amp;""'or Col2 = '""&amp;Personagem!$AA$16&amp;""'""),
if('Time 1'!C7 = ""Theor"", query(IMPORTRANGE(cd_planilha, ""Armas!B3:G""), ""Select Col1 Where Col2 = '"&amp;"""&amp;Personagem!$AB$14&amp;""' or Col2 = '""&amp;Personagem!$AB$15&amp;""' or Col2 = '""&amp;Personagem!$AB$16&amp;""'""),
if('Time 1'!C7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H402" s="241"/>
      <c r="AI402" s="241" t="str">
        <f>IFERROR(__xludf.DUMMYFUNCTION("if('Time 1'!C8 = ""Albert"", query(IMPORTRANGE(cd_planilha, ""Armas!B3:G""), ""Select Col1 Where Col2 = '""&amp;Personagem!$B$14&amp;""' or Col2 = '""&amp;Personagem!$B$15&amp;""' or Col2 = '""&amp;Personagem!$B$16&amp;""'""),     
if('Time 1'!C8 = ""Alicia"", query(IMPORTRANGE("&amp;"cd_planilha, ""Armas!B3:G""), ""Select Col1 Where Col2 = '""&amp;Personagem!$C$14&amp;""'  or Col2 = '""&amp;Personagem!$C$16&amp;""'""),     
if('Time 1'!C8 = ""Azula"", query(IMPORTRANGE(cd_planilha, ""Armas!B3:G""), ""Select Col1 Where Col2 = '""&amp;Personagem!$D$14&amp;""' "&amp;"or Col2 = '""&amp;Personagem!$D$15&amp;""' or Col2 = '""&amp;Personagem!$D$16&amp;""'""),
if('Time 1'!C8 = ""Charles"", query(IMPORTRANGE(cd_planilha, ""Armas!B3:G""), ""Select Col1 Where Col2 = '""&amp;Personagem!$E$14&amp;""' or Col2 = '""&amp;Personagem!$E$15&amp;""'or Col2 = '""&amp;Per"&amp;"sonagem!$E$16&amp;""'""),
if('Time 1'!C8 = ""Clovis"", query(IMPORTRANGE(cd_planilha, ""Armas!B3:G""), ""Select Col1 Where Col2 = '""&amp;Personagem!$F$14&amp;""' or Col2 = '""&amp;Personagem!$F$15&amp;""' or Col2 = '""&amp;Personagem!$F$16&amp;""'""),
if('Time 1'!C8 = ""Darthos"", "&amp;"query(IMPORTRANGE(cd_planilha, ""Armas!B3:G""), ""Select Col1 Where Col2 = '""&amp;Personagem!$G$14&amp;""' or Col2 = '""&amp;Personagem!$G$15&amp;""'or Col2 = '""&amp;Personagem!$G$16&amp;""'""),
if('Time 1'!C8 = ""Edward"", query(IMPORTRANGE(cd_planilha, ""Armas!B3:G""), ""Sel"&amp;"ect Col1 Where Col2 = '""&amp;Personagem!$H$14&amp;""' or Col2 = '""&amp;Personagem!$H$15&amp;""' or Col2 = '""&amp;Personagem!$H$16&amp;""'""),
if('Time 1'!C8 = ""Fiora"", query(IMPORTRANGE(cd_planilha, ""Armas!B3:G""), ""Select Col1 Where Col2 = '""&amp;Personagem!$I$14&amp;""' or Col"&amp;"2 = '""&amp;Personagem!$I$15&amp;""' or Col2 = '""&amp;Personagem!$I$16&amp;""'""),
if('Time 1'!C8 = ""Francesca"", query(IMPORTRANGE(cd_planilha, ""Armas!B3:G""), ""Select Col1 Where Col2 = '""&amp;Personagem!$J$14&amp;""' or Col2 = '""&amp;Personagem!$J$15&amp;""'or Col2 = '""&amp;Persona"&amp;"gem!$J$16&amp;""'""),
if('Time 1'!C8 = ""Garreth"", query(IMPORTRANGE(cd_planilha, ""Armas!B3:G""), ""Select Col1 Where Col2 = '""&amp;Personagem!$K$14&amp;""' or Col2 = '""&amp;Personagem!$K$15&amp;""'or Col2 = '""&amp;Personagem!$K$16&amp;""'""),
if('Time 1'!C8 = ""Gauvin"", query"&amp;"(IMPORTRANGE(cd_planilha, ""Armas!B3:G""), ""Select Col1 Where Col2 = '""&amp;Personagem!$L$14&amp;""' or Col2 = '""&amp;Personagem!$L$15&amp;""'or Col2 = '""&amp;Personagem!$L$16&amp;""' ""),
if('Time 1'!C8 = ""Irene"", query(IMPORTRANGE(cd_planilha, ""Armas!B3:G""), ""Select C"&amp;"ol1 Where Col2 = '""&amp;Personagem!$M$14&amp;""' or Col2 = '""&amp;Personagem!$M$15&amp;""'or Col2 = '""&amp;Personagem!$M$16&amp;""' ""),
if('Time 1'!C8 = ""Karal"", query(IMPORTRANGE(cd_planilha, ""Armas!B3:G""), ""Select Col1 Where Col2 = '""&amp;Personagem!$N$14&amp;""' or Col2 = '"&amp;"""&amp;Personagem!$N$15&amp;""' or Col2 = '""&amp;Personagem!$N$16&amp;""'""),
if('Time 1'!C8 = ""Kuro Shobi"", query(IMPORTRANGE(cd_planilha, ""Armas!B3:G""), ""Select Col1 Where Col2 = '""&amp;Personagem!$O$14&amp;""' or Col2 = '""&amp;Personagem!$O$15&amp;""'or Col2 = '""&amp;Personagem!"&amp;"$O$16&amp;""'""),
if('Time 1'!C8 = ""Kurul"", query(IMPORTRANGE(cd_planilha, ""Armas!B3:G""), ""Select Col1 Where Col2 = '""&amp;Personagem!$P$14&amp;""' or Col2 = '""&amp;Personagem!$P$15&amp;""' or Col2 = '""&amp;Personagem!$P$16&amp;""'""),
if('Time 1'!C8 = ""Lancaster"", query(I"&amp;"MPORTRANGE(cd_planilha, ""Armas!B3:G""), ""Select Col1 Where Col2 = '""&amp;Personagem!$Q$14&amp;""' or Col2 = '""&amp;Personagem!$Q$15&amp;""'or Col2 = '""&amp;Personagem!$Q$16&amp;""'""),
if('Time 1'!C8 = ""Lorelei"", query(IMPORTRANGE(cd_planilha, ""Armas!B3:G""), ""Select Co"&amp;"l1 Where Col2 = '""&amp;Personagem!$R$14&amp;""' or Col2 = '""&amp;Personagem!$R$15&amp;""' or Col2 = '""&amp;Personagem!$R$16&amp;""'""),
if('Time 1'!C8 = ""Louca"", query(IMPORTRANGE(cd_planilha, ""Armas!B3:G""), ""Select Col1 Where Col2 = '""&amp;Personagem!$S$14&amp;""' or Col2 = '"&amp;"""&amp;Personagem!$S$15&amp;""'or Col2 = '""&amp;Personagem!$S$16&amp;""' ""),
if('Time 1'!C8 = ""Melina"", query(IMPORTRANGE(cd_planilha, ""Armas!B3:G""), ""Select Col1 Where Col2 = '""&amp;Personagem!$T$14&amp;""' or Col2 = '""&amp;Personagem!$T$15&amp;""'or Col2 = '""&amp;Personagem!$T$1"&amp;"6&amp;""'""),
if('Time 1'!C8 = ""Mila"", query(IMPORTRANGE(cd_planilha, ""Armas!B3:G""), ""Select Col1 Where Col2 = '""&amp;Personagem!$U$14&amp;""' or Col2 = '""&amp;Personagem!$U$15&amp;""' or Col2 = '""&amp;Personagem!$U$16&amp;""'""),
if('Time 1'!C8 = ""Minh"", query(IMPORTRANGE"&amp;"(cd_planilha, ""Armas!B3:G""), ""Select Col1 Where Col2 = '""&amp;Personagem!$V$14&amp;""' or Col2 = '""&amp;Personagem!$V$15&amp;""' or Col2 = '""&amp;Personagem!$V$16&amp;""'""),
if('Time 1'!C8 = ""Mojian"", query(IMPORTRANGE(cd_planilha, ""Armas!B3:G""), ""Select Col1 Where C"&amp;"ol2 = '""&amp;Personagem!$W$14&amp;""' or Col2 = '""&amp;Personagem!$W$15&amp;""'or Col2 = '""&amp;Personagem!$W$16&amp;""'""),
if('Time 1'!C8 = ""Nya"", query(IMPORTRANGE(cd_planilha, ""Armas!B3:G""), ""Select Col1 Where Col2 = '""&amp;Personagem!$X$14&amp;""' or Col2 = '""&amp;Personagem!"&amp;"$X$15&amp;""' or Col2 = '""&amp;Personagem!$X$16&amp;""'""),
if('Time 1'!C8 = ""Odette"", query(IMPORTRANGE(cd_planilha, ""Armas!B3:G""), ""Select Col1 Where Col2 = '""&amp;Personagem!$Y$14&amp;""' or Col2 = '""&amp;Personagem!$Y$15&amp;""'or Col2 = '""&amp;Personagem!$YB$16&amp;""'""),
if("&amp;"'Time 1'!C8 = ""Oneira"", query(IMPORTRANGE(cd_planilha, ""Armas!B3:G""), ""Select Col1 Where Col2 = '""&amp;Personagem!$Z$14&amp;""' or Col2 = '""&amp;Personagem!$Z$15&amp;""' or Col2 = '""&amp;Personagem!$Z$16&amp;""'""),
if('Time 1'!C8 = ""Palash"", query(IMPORTRANGE(cd_plani"&amp;"lha, ""Armas!B3:G""), ""Select Col1 Where Col2 = '""&amp;Personagem!$AA$14&amp;""' or Col2 = '""&amp;Personagem!$AA$15&amp;""'or Col2 = '""&amp;Personagem!$AA$16&amp;""'""),
if('Time 1'!C8 = ""Theor"", query(IMPORTRANGE(cd_planilha, ""Armas!B3:G""), ""Select Col1 Where Col2 = '"&amp;"""&amp;Personagem!$AB$14&amp;""' or Col2 = '""&amp;Personagem!$AB$15&amp;""' or Col2 = '""&amp;Personagem!$AB$16&amp;""'""),
if('Time 1'!C8 = ""Yue"", query(IMPORTRANGE(cd_planilha, ""Armas!B3:G""), ""Select Col1 Where Col2 = '""&amp;Personagem!$AC$14&amp;""' or Col2 = '""&amp;Personagem!$A"&amp;"C$15&amp;""'or Col2 = '""&amp;Personagem!$AC$16&amp;""'""
)))))))))))))))))))))))))))))"),"Flauta de Ferro")</f>
        <v>Flauta de Ferro</v>
      </c>
      <c r="AJ402" s="242"/>
    </row>
    <row r="403" hidden="1">
      <c r="A403" s="229" t="str">
        <f>IFERROR(__xludf.DUMMYFUNCTION("""COMPUTED_VALUE"""),"Gancho mão de metal")</f>
        <v>Gancho mão de metal</v>
      </c>
      <c r="B403" s="241"/>
      <c r="C403" s="241" t="str">
        <f>IFERROR(__xludf.DUMMYFUNCTION("""COMPUTED_VALUE"""),"Gancho mão de metal")</f>
        <v>Gancho mão de metal</v>
      </c>
      <c r="D403" s="241"/>
      <c r="E403" s="241" t="str">
        <f>IFERROR(__xludf.DUMMYFUNCTION("""COMPUTED_VALUE"""),"Gancho mão de metal")</f>
        <v>Gancho mão de metal</v>
      </c>
      <c r="F403" s="241"/>
      <c r="G403" s="241" t="str">
        <f>IFERROR(__xludf.DUMMYFUNCTION("""COMPUTED_VALUE"""),"Guardian Protector")</f>
        <v>Guardian Protector</v>
      </c>
      <c r="H403" s="241"/>
      <c r="I403" s="241" t="str">
        <f>IFERROR(__xludf.DUMMYFUNCTION("""COMPUTED_VALUE"""),"Guardian Protector")</f>
        <v>Guardian Protector</v>
      </c>
      <c r="J403" s="241"/>
      <c r="K403" s="241" t="str">
        <f>IFERROR(__xludf.DUMMYFUNCTION("""COMPUTED_VALUE"""),"Guardian Protector")</f>
        <v>Guardian Protector</v>
      </c>
      <c r="L403" s="242"/>
      <c r="M403" s="229" t="str">
        <f>IFERROR(__xludf.DUMMYFUNCTION("""COMPUTED_VALUE"""),"Botas do leão")</f>
        <v>Botas do leão</v>
      </c>
      <c r="N403" s="241"/>
      <c r="O403" s="241" t="str">
        <f>IFERROR(__xludf.DUMMYFUNCTION("""COMPUTED_VALUE"""),"Botas do leão")</f>
        <v>Botas do leão</v>
      </c>
      <c r="P403" s="241"/>
      <c r="Q403" s="241" t="str">
        <f>IFERROR(__xludf.DUMMYFUNCTION("""COMPUTED_VALUE"""),"Botas do leão")</f>
        <v>Botas do leão</v>
      </c>
      <c r="R403" s="241"/>
      <c r="S403" s="241" t="str">
        <f>IFERROR(__xludf.DUMMYFUNCTION("""COMPUTED_VALUE"""),"Calçado Lunar ")</f>
        <v>Calçado Lunar </v>
      </c>
      <c r="T403" s="241"/>
      <c r="U403" s="241" t="str">
        <f>IFERROR(__xludf.DUMMYFUNCTION("""COMPUTED_VALUE"""),"Botas do leão")</f>
        <v>Botas do leão</v>
      </c>
      <c r="V403" s="241"/>
      <c r="W403" s="241" t="str">
        <f>IFERROR(__xludf.DUMMYFUNCTION("""COMPUTED_VALUE"""),"Calçado Lunar ")</f>
        <v>Calçado Lunar </v>
      </c>
      <c r="X403" s="242"/>
      <c r="Y403" s="229" t="str">
        <f>IFERROR(__xludf.DUMMYFUNCTION("""COMPUTED_VALUE"""),"Contra Fogo")</f>
        <v>Contra Fogo</v>
      </c>
      <c r="Z403" s="241"/>
      <c r="AA403" s="241" t="str">
        <f>IFERROR(__xludf.DUMMYFUNCTION("""COMPUTED_VALUE"""),"Símbolo do Exorcismo")</f>
        <v>Símbolo do Exorcismo</v>
      </c>
      <c r="AB403" s="241"/>
      <c r="AC403" s="241" t="str">
        <f>IFERROR(__xludf.DUMMYFUNCTION("""COMPUTED_VALUE"""),"Contra Fogo")</f>
        <v>Contra Fogo</v>
      </c>
      <c r="AD403" s="241"/>
      <c r="AE403" s="241" t="str">
        <f>IFERROR(__xludf.DUMMYFUNCTION("""COMPUTED_VALUE"""),"Interesseiro")</f>
        <v>Interesseiro</v>
      </c>
      <c r="AF403" s="241"/>
      <c r="AG403" s="241" t="str">
        <f>IFERROR(__xludf.DUMMYFUNCTION("""COMPUTED_VALUE"""),"Interesseiro")</f>
        <v>Interesseiro</v>
      </c>
      <c r="AH403" s="241"/>
      <c r="AI403" s="241" t="str">
        <f>IFERROR(__xludf.DUMMYFUNCTION("""COMPUTED_VALUE"""),"Harpa Congelada")</f>
        <v>Harpa Congelada</v>
      </c>
      <c r="AJ403" s="242"/>
    </row>
    <row r="404" hidden="1">
      <c r="A404" s="229" t="str">
        <f>IFERROR(__xludf.DUMMYFUNCTION("""COMPUTED_VALUE"""),"Garra Gelada")</f>
        <v>Garra Gelada</v>
      </c>
      <c r="B404" s="241"/>
      <c r="C404" s="241" t="str">
        <f>IFERROR(__xludf.DUMMYFUNCTION("""COMPUTED_VALUE"""),"Garra Gelada")</f>
        <v>Garra Gelada</v>
      </c>
      <c r="D404" s="241"/>
      <c r="E404" s="241" t="str">
        <f>IFERROR(__xludf.DUMMYFUNCTION("""COMPUTED_VALUE"""),"Garra Gelada")</f>
        <v>Garra Gelada</v>
      </c>
      <c r="F404" s="241"/>
      <c r="G404" s="241" t="str">
        <f>IFERROR(__xludf.DUMMYFUNCTION("""COMPUTED_VALUE"""),"Luvas do Grão Mestre")</f>
        <v>Luvas do Grão Mestre</v>
      </c>
      <c r="H404" s="241"/>
      <c r="I404" s="241" t="str">
        <f>IFERROR(__xludf.DUMMYFUNCTION("""COMPUTED_VALUE"""),"Luvas do Grão Mestre")</f>
        <v>Luvas do Grão Mestre</v>
      </c>
      <c r="J404" s="241"/>
      <c r="K404" s="241" t="str">
        <f>IFERROR(__xludf.DUMMYFUNCTION("""COMPUTED_VALUE"""),"Luvas do Grão Mestre")</f>
        <v>Luvas do Grão Mestre</v>
      </c>
      <c r="L404" s="242"/>
      <c r="M404" s="229" t="str">
        <f>IFERROR(__xludf.DUMMYFUNCTION("""COMPUTED_VALUE"""),"Botas do Aventureiro")</f>
        <v>Botas do Aventureiro</v>
      </c>
      <c r="N404" s="241"/>
      <c r="O404" s="241" t="str">
        <f>IFERROR(__xludf.DUMMYFUNCTION("""COMPUTED_VALUE"""),"Botas do Aventureiro")</f>
        <v>Botas do Aventureiro</v>
      </c>
      <c r="P404" s="241"/>
      <c r="Q404" s="241" t="str">
        <f>IFERROR(__xludf.DUMMYFUNCTION("""COMPUTED_VALUE"""),"Botas do Aventureiro")</f>
        <v>Botas do Aventureiro</v>
      </c>
      <c r="R404" s="241"/>
      <c r="S404" s="241" t="str">
        <f>IFERROR(__xludf.DUMMYFUNCTION("""COMPUTED_VALUE"""),"Meh-ticulosamente Feito")</f>
        <v>Meh-ticulosamente Feito</v>
      </c>
      <c r="T404" s="241"/>
      <c r="U404" s="241" t="str">
        <f>IFERROR(__xludf.DUMMYFUNCTION("""COMPUTED_VALUE"""),"Botas do Aventureiro")</f>
        <v>Botas do Aventureiro</v>
      </c>
      <c r="V404" s="241"/>
      <c r="W404" s="241" t="str">
        <f>IFERROR(__xludf.DUMMYFUNCTION("""COMPUTED_VALUE"""),"Meh-ticulosamente Feito")</f>
        <v>Meh-ticulosamente Feito</v>
      </c>
      <c r="X404" s="242"/>
      <c r="Y404" s="229" t="str">
        <f>IFERROR(__xludf.DUMMYFUNCTION("""COMPUTED_VALUE"""),"Scarab Shield")</f>
        <v>Scarab Shield</v>
      </c>
      <c r="Z404" s="241"/>
      <c r="AA404" s="241" t="str">
        <f>IFERROR(__xludf.DUMMYFUNCTION("""COMPUTED_VALUE"""),"Proteção defensora")</f>
        <v>Proteção defensora</v>
      </c>
      <c r="AB404" s="241"/>
      <c r="AC404" s="241" t="str">
        <f>IFERROR(__xludf.DUMMYFUNCTION("""COMPUTED_VALUE"""),"Scarab Shield")</f>
        <v>Scarab Shield</v>
      </c>
      <c r="AD404" s="241"/>
      <c r="AE404" s="241" t="str">
        <f>IFERROR(__xludf.DUMMYFUNCTION("""COMPUTED_VALUE"""),"Anel ferradura")</f>
        <v>Anel ferradura</v>
      </c>
      <c r="AF404" s="241"/>
      <c r="AG404" s="241" t="str">
        <f>IFERROR(__xludf.DUMMYFUNCTION("""COMPUTED_VALUE"""),"Anel ferradura")</f>
        <v>Anel ferradura</v>
      </c>
      <c r="AH404" s="241"/>
      <c r="AI404" s="241" t="str">
        <f>IFERROR(__xludf.DUMMYFUNCTION("""COMPUTED_VALUE"""),"Flauta Ygg")</f>
        <v>Flauta Ygg</v>
      </c>
      <c r="AJ404" s="242"/>
    </row>
    <row r="405" hidden="1">
      <c r="A405" s="229" t="str">
        <f>IFERROR(__xludf.DUMMYFUNCTION("""COMPUTED_VALUE"""),"Manoplas do Rei")</f>
        <v>Manoplas do Rei</v>
      </c>
      <c r="B405" s="229"/>
      <c r="C405" s="229" t="str">
        <f>IFERROR(__xludf.DUMMYFUNCTION("""COMPUTED_VALUE"""),"Manoplas do Rei")</f>
        <v>Manoplas do Rei</v>
      </c>
      <c r="D405" s="241"/>
      <c r="E405" s="241" t="str">
        <f>IFERROR(__xludf.DUMMYFUNCTION("""COMPUTED_VALUE"""),"Manoplas do Rei")</f>
        <v>Manoplas do Rei</v>
      </c>
      <c r="F405" s="241"/>
      <c r="G405" s="241" t="str">
        <f>IFERROR(__xludf.DUMMYFUNCTION("""COMPUTED_VALUE"""),"Luvas das Sombras")</f>
        <v>Luvas das Sombras</v>
      </c>
      <c r="H405" s="241"/>
      <c r="I405" s="241" t="str">
        <f>IFERROR(__xludf.DUMMYFUNCTION("""COMPUTED_VALUE"""),"Luvas das Sombras")</f>
        <v>Luvas das Sombras</v>
      </c>
      <c r="J405" s="241"/>
      <c r="K405" s="241" t="str">
        <f>IFERROR(__xludf.DUMMYFUNCTION("""COMPUTED_VALUE"""),"Luvas das Sombras")</f>
        <v>Luvas das Sombras</v>
      </c>
      <c r="L405" s="242"/>
      <c r="M405" s="229" t="str">
        <f>IFERROR(__xludf.DUMMYFUNCTION("""COMPUTED_VALUE"""),"Grevas da chama")</f>
        <v>Grevas da chama</v>
      </c>
      <c r="N405" s="241"/>
      <c r="O405" s="241" t="str">
        <f>IFERROR(__xludf.DUMMYFUNCTION("""COMPUTED_VALUE"""),"Grevas da chama")</f>
        <v>Grevas da chama</v>
      </c>
      <c r="P405" s="229"/>
      <c r="Q405" s="241" t="str">
        <f>IFERROR(__xludf.DUMMYFUNCTION("""COMPUTED_VALUE"""),"Grevas da chama")</f>
        <v>Grevas da chama</v>
      </c>
      <c r="R405" s="241"/>
      <c r="S405" s="241" t="str">
        <f>IFERROR(__xludf.DUMMYFUNCTION("""COMPUTED_VALUE"""),"Sandálias de Asas ")</f>
        <v>Sandálias de Asas </v>
      </c>
      <c r="T405" s="241"/>
      <c r="U405" s="241" t="str">
        <f>IFERROR(__xludf.DUMMYFUNCTION("""COMPUTED_VALUE"""),"Grevas da chama")</f>
        <v>Grevas da chama</v>
      </c>
      <c r="V405" s="241"/>
      <c r="W405" s="241" t="str">
        <f>IFERROR(__xludf.DUMMYFUNCTION("""COMPUTED_VALUE"""),"Sandálias de Asas ")</f>
        <v>Sandálias de Asas </v>
      </c>
      <c r="X405" s="242"/>
      <c r="Y405" s="229" t="str">
        <f>IFERROR(__xludf.DUMMYFUNCTION("""COMPUTED_VALUE"""),"Égide ")</f>
        <v>Égide </v>
      </c>
      <c r="Z405" s="241"/>
      <c r="AA405" s="241" t="str">
        <f>IFERROR(__xludf.DUMMYFUNCTION("""COMPUTED_VALUE"""),"Amuleto Ankh")</f>
        <v>Amuleto Ankh</v>
      </c>
      <c r="AB405" s="241"/>
      <c r="AC405" s="241" t="str">
        <f>IFERROR(__xludf.DUMMYFUNCTION("""COMPUTED_VALUE"""),"Égide ")</f>
        <v>Égide </v>
      </c>
      <c r="AD405" s="241"/>
      <c r="AE405" s="241" t="str">
        <f>IFERROR(__xludf.DUMMYFUNCTION("""COMPUTED_VALUE"""),"Perseguindo a lua")</f>
        <v>Perseguindo a lua</v>
      </c>
      <c r="AF405" s="241"/>
      <c r="AG405" s="241" t="str">
        <f>IFERROR(__xludf.DUMMYFUNCTION("""COMPUTED_VALUE"""),"Perseguindo a lua")</f>
        <v>Perseguindo a lua</v>
      </c>
      <c r="AH405" s="241"/>
      <c r="AI405" s="241" t="str">
        <f>IFERROR(__xludf.DUMMYFUNCTION("""COMPUTED_VALUE"""),"Chifre de Serpente ")</f>
        <v>Chifre de Serpente </v>
      </c>
      <c r="AJ405" s="242"/>
    </row>
    <row r="406" hidden="1">
      <c r="A406" s="229" t="str">
        <f>IFERROR(__xludf.DUMMYFUNCTION("""COMPUTED_VALUE"""),"Chocantes ")</f>
        <v>Chocantes </v>
      </c>
      <c r="B406" s="241"/>
      <c r="C406" s="241" t="str">
        <f>IFERROR(__xludf.DUMMYFUNCTION("""COMPUTED_VALUE"""),"Chocantes ")</f>
        <v>Chocantes </v>
      </c>
      <c r="D406" s="241"/>
      <c r="E406" s="241" t="str">
        <f>IFERROR(__xludf.DUMMYFUNCTION("""COMPUTED_VALUE"""),"Chocantes ")</f>
        <v>Chocantes </v>
      </c>
      <c r="F406" s="241"/>
      <c r="G406" s="241" t="str">
        <f>IFERROR(__xludf.DUMMYFUNCTION("""COMPUTED_VALUE"""),"Braceletes gélidos")</f>
        <v>Braceletes gélidos</v>
      </c>
      <c r="H406" s="241"/>
      <c r="I406" s="241" t="str">
        <f>IFERROR(__xludf.DUMMYFUNCTION("""COMPUTED_VALUE"""),"Braceletes gélidos")</f>
        <v>Braceletes gélidos</v>
      </c>
      <c r="J406" s="241"/>
      <c r="K406" s="241" t="str">
        <f>IFERROR(__xludf.DUMMYFUNCTION("""COMPUTED_VALUE"""),"Braceletes gélidos")</f>
        <v>Braceletes gélidos</v>
      </c>
      <c r="L406" s="242"/>
      <c r="M406" s="229" t="str">
        <f>IFERROR(__xludf.DUMMYFUNCTION("""COMPUTED_VALUE"""),"Calçados mágicos")</f>
        <v>Calçados mágicos</v>
      </c>
      <c r="N406" s="241"/>
      <c r="O406" s="241" t="str">
        <f>IFERROR(__xludf.DUMMYFUNCTION("""COMPUTED_VALUE"""),"Calçados mágicos")</f>
        <v>Calçados mágicos</v>
      </c>
      <c r="P406" s="241"/>
      <c r="Q406" s="241" t="str">
        <f>IFERROR(__xludf.DUMMYFUNCTION("""COMPUTED_VALUE"""),"Calçados mágicos")</f>
        <v>Calçados mágicos</v>
      </c>
      <c r="R406" s="241"/>
      <c r="S406" s="241" t="str">
        <f>IFERROR(__xludf.DUMMYFUNCTION("""COMPUTED_VALUE"""),"Encontra-Caminho")</f>
        <v>Encontra-Caminho</v>
      </c>
      <c r="T406" s="241"/>
      <c r="U406" s="241" t="str">
        <f>IFERROR(__xludf.DUMMYFUNCTION("""COMPUTED_VALUE"""),"Calçados mágicos")</f>
        <v>Calçados mágicos</v>
      </c>
      <c r="V406" s="241"/>
      <c r="W406" s="241" t="str">
        <f>IFERROR(__xludf.DUMMYFUNCTION("""COMPUTED_VALUE"""),"Encontra-Caminho")</f>
        <v>Encontra-Caminho</v>
      </c>
      <c r="X406" s="242"/>
      <c r="Y406" s="229" t="str">
        <f>IFERROR(__xludf.DUMMYFUNCTION("""COMPUTED_VALUE"""),"Escudo Estrelado")</f>
        <v>Escudo Estrelado</v>
      </c>
      <c r="Z406" s="241"/>
      <c r="AA406" s="241" t="str">
        <f>IFERROR(__xludf.DUMMYFUNCTION("""COMPUTED_VALUE"""),"Coração de Lich")</f>
        <v>Coração de Lich</v>
      </c>
      <c r="AB406" s="241"/>
      <c r="AC406" s="241" t="str">
        <f>IFERROR(__xludf.DUMMYFUNCTION("""COMPUTED_VALUE"""),"Escudo Estrelado")</f>
        <v>Escudo Estrelado</v>
      </c>
      <c r="AD406" s="241"/>
      <c r="AE406" s="241" t="str">
        <f>IFERROR(__xludf.DUMMYFUNCTION("""COMPUTED_VALUE"""),"Anel do Cruzado")</f>
        <v>Anel do Cruzado</v>
      </c>
      <c r="AF406" s="241"/>
      <c r="AG406" s="241" t="str">
        <f>IFERROR(__xludf.DUMMYFUNCTION("""COMPUTED_VALUE"""),"Anel do Cruzado")</f>
        <v>Anel do Cruzado</v>
      </c>
      <c r="AH406" s="241"/>
      <c r="AI406" s="241" t="str">
        <f>IFERROR(__xludf.DUMMYFUNCTION("""COMPUTED_VALUE"""),"Gu Zheng")</f>
        <v>Gu Zheng</v>
      </c>
      <c r="AJ406" s="242"/>
    </row>
    <row r="407" hidden="1">
      <c r="A407" s="229" t="str">
        <f>IFERROR(__xludf.DUMMYFUNCTION("""COMPUTED_VALUE"""),"Manopla de escamas de Dragão")</f>
        <v>Manopla de escamas de Dragão</v>
      </c>
      <c r="B407" s="241"/>
      <c r="C407" s="241" t="str">
        <f>IFERROR(__xludf.DUMMYFUNCTION("""COMPUTED_VALUE"""),"Manopla de escamas de Dragão")</f>
        <v>Manopla de escamas de Dragão</v>
      </c>
      <c r="D407" s="241"/>
      <c r="E407" s="241" t="str">
        <f>IFERROR(__xludf.DUMMYFUNCTION("""COMPUTED_VALUE"""),"Manopla de escamas de Dragão")</f>
        <v>Manopla de escamas de Dragão</v>
      </c>
      <c r="F407" s="241"/>
      <c r="G407" s="241" t="str">
        <f>IFERROR(__xludf.DUMMYFUNCTION("""COMPUTED_VALUE"""),"Luvas do espreitador")</f>
        <v>Luvas do espreitador</v>
      </c>
      <c r="H407" s="241"/>
      <c r="I407" s="241" t="str">
        <f>IFERROR(__xludf.DUMMYFUNCTION("""COMPUTED_VALUE"""),"Luvas do espreitador")</f>
        <v>Luvas do espreitador</v>
      </c>
      <c r="J407" s="241"/>
      <c r="K407" s="241" t="str">
        <f>IFERROR(__xludf.DUMMYFUNCTION("""COMPUTED_VALUE"""),"Luvas do espreitador")</f>
        <v>Luvas do espreitador</v>
      </c>
      <c r="L407" s="242"/>
      <c r="M407" s="229" t="str">
        <f>IFERROR(__xludf.DUMMYFUNCTION("""COMPUTED_VALUE"""),"Pisa-em-crânios")</f>
        <v>Pisa-em-crânios</v>
      </c>
      <c r="N407" s="241"/>
      <c r="O407" s="241" t="str">
        <f>IFERROR(__xludf.DUMMYFUNCTION("""COMPUTED_VALUE"""),"Pisa-em-crânios")</f>
        <v>Pisa-em-crânios</v>
      </c>
      <c r="P407" s="241"/>
      <c r="Q407" s="241" t="str">
        <f>IFERROR(__xludf.DUMMYFUNCTION("""COMPUTED_VALUE"""),"Pisa-em-crânios")</f>
        <v>Pisa-em-crânios</v>
      </c>
      <c r="R407" s="241"/>
      <c r="S407" s="241" t="str">
        <f>IFERROR(__xludf.DUMMYFUNCTION("""COMPUTED_VALUE"""),"Botas piratas")</f>
        <v>Botas piratas</v>
      </c>
      <c r="T407" s="241"/>
      <c r="U407" s="241" t="str">
        <f>IFERROR(__xludf.DUMMYFUNCTION("""COMPUTED_VALUE"""),"Pisa-em-crânios")</f>
        <v>Pisa-em-crânios</v>
      </c>
      <c r="V407" s="241"/>
      <c r="W407" s="241" t="str">
        <f>IFERROR(__xludf.DUMMYFUNCTION("""COMPUTED_VALUE"""),"Botas piratas")</f>
        <v>Botas piratas</v>
      </c>
      <c r="X407" s="242"/>
      <c r="Y407" s="229" t="str">
        <f>IFERROR(__xludf.DUMMYFUNCTION("""COMPUTED_VALUE"""),"Escudo de cristal")</f>
        <v>Escudo de cristal</v>
      </c>
      <c r="Z407" s="241"/>
      <c r="AA407" s="241" t="str">
        <f>IFERROR(__xludf.DUMMYFUNCTION("""COMPUTED_VALUE"""),"Amuleto dracônico")</f>
        <v>Amuleto dracônico</v>
      </c>
      <c r="AB407" s="241"/>
      <c r="AC407" s="241" t="str">
        <f>IFERROR(__xludf.DUMMYFUNCTION("""COMPUTED_VALUE"""),"Escudo de cristal")</f>
        <v>Escudo de cristal</v>
      </c>
      <c r="AD407" s="241"/>
      <c r="AE407" s="241" t="str">
        <f>IFERROR(__xludf.DUMMYFUNCTION("""COMPUTED_VALUE"""),"Dragão sinete")</f>
        <v>Dragão sinete</v>
      </c>
      <c r="AF407" s="241"/>
      <c r="AG407" s="241" t="str">
        <f>IFERROR(__xludf.DUMMYFUNCTION("""COMPUTED_VALUE"""),"Dragão sinete")</f>
        <v>Dragão sinete</v>
      </c>
      <c r="AH407" s="241"/>
      <c r="AI407" s="241" t="str">
        <f>IFERROR(__xludf.DUMMYFUNCTION("""COMPUTED_VALUE"""),"Batimento Dracônico ")</f>
        <v>Batimento Dracônico </v>
      </c>
      <c r="AJ407" s="242"/>
    </row>
    <row r="408" hidden="1">
      <c r="A408" s="241" t="str">
        <f>IFERROR(__xludf.DUMMYFUNCTION("""COMPUTED_VALUE"""),"Punhos de Adamantium")</f>
        <v>Punhos de Adamantium</v>
      </c>
      <c r="B408" s="241"/>
      <c r="C408" s="241" t="str">
        <f>IFERROR(__xludf.DUMMYFUNCTION("""COMPUTED_VALUE"""),"Punhos de Adamantium")</f>
        <v>Punhos de Adamantium</v>
      </c>
      <c r="D408" s="241"/>
      <c r="E408" s="241" t="str">
        <f>IFERROR(__xludf.DUMMYFUNCTION("""COMPUTED_VALUE"""),"Punhos de Adamantium")</f>
        <v>Punhos de Adamantium</v>
      </c>
      <c r="F408" s="241"/>
      <c r="G408" s="241" t="str">
        <f>IFERROR(__xludf.DUMMYFUNCTION("""COMPUTED_VALUE"""),"Celtic Bracer")</f>
        <v>Celtic Bracer</v>
      </c>
      <c r="H408" s="241"/>
      <c r="I408" s="241" t="str">
        <f>IFERROR(__xludf.DUMMYFUNCTION("""COMPUTED_VALUE"""),"Celtic Bracer")</f>
        <v>Celtic Bracer</v>
      </c>
      <c r="J408" s="241"/>
      <c r="K408" s="241" t="str">
        <f>IFERROR(__xludf.DUMMYFUNCTION("""COMPUTED_VALUE"""),"Celtic Bracer")</f>
        <v>Celtic Bracer</v>
      </c>
      <c r="L408" s="242"/>
      <c r="M408" s="241" t="str">
        <f>IFERROR(__xludf.DUMMYFUNCTION("""COMPUTED_VALUE"""),"Grevas Dracônicas")</f>
        <v>Grevas Dracônicas</v>
      </c>
      <c r="N408" s="241"/>
      <c r="O408" s="241" t="str">
        <f>IFERROR(__xludf.DUMMYFUNCTION("""COMPUTED_VALUE"""),"Grevas Dracônicas")</f>
        <v>Grevas Dracônicas</v>
      </c>
      <c r="P408" s="241"/>
      <c r="Q408" s="241" t="str">
        <f>IFERROR(__xludf.DUMMYFUNCTION("""COMPUTED_VALUE"""),"Grevas Dracônicas")</f>
        <v>Grevas Dracônicas</v>
      </c>
      <c r="R408" s="241"/>
      <c r="S408" s="241" t="str">
        <f>IFERROR(__xludf.DUMMYFUNCTION("""COMPUTED_VALUE"""),"Anda-em-planos")</f>
        <v>Anda-em-planos</v>
      </c>
      <c r="T408" s="241"/>
      <c r="U408" s="241" t="str">
        <f>IFERROR(__xludf.DUMMYFUNCTION("""COMPUTED_VALUE"""),"Grevas Dracônicas")</f>
        <v>Grevas Dracônicas</v>
      </c>
      <c r="V408" s="241"/>
      <c r="W408" s="241" t="str">
        <f>IFERROR(__xludf.DUMMYFUNCTION("""COMPUTED_VALUE"""),"Anda-em-planos")</f>
        <v>Anda-em-planos</v>
      </c>
      <c r="X408" s="242"/>
      <c r="Y408" s="241" t="str">
        <f>IFERROR(__xludf.DUMMYFUNCTION("""COMPUTED_VALUE"""),"Crânio de Dragão")</f>
        <v>Crânio de Dragão</v>
      </c>
      <c r="Z408" s="241"/>
      <c r="AA408" s="241" t="str">
        <f>IFERROR(__xludf.DUMMYFUNCTION("""COMPUTED_VALUE"""),"Lágrima da Deusa")</f>
        <v>Lágrima da Deusa</v>
      </c>
      <c r="AB408" s="241"/>
      <c r="AC408" s="241" t="str">
        <f>IFERROR(__xludf.DUMMYFUNCTION("""COMPUTED_VALUE"""),"Crânio de Dragão")</f>
        <v>Crânio de Dragão</v>
      </c>
      <c r="AD408" s="241"/>
      <c r="AE408" s="241" t="str">
        <f>IFERROR(__xludf.DUMMYFUNCTION("""COMPUTED_VALUE"""),"Anel de reza")</f>
        <v>Anel de reza</v>
      </c>
      <c r="AF408" s="241"/>
      <c r="AG408" s="241" t="str">
        <f>IFERROR(__xludf.DUMMYFUNCTION("""COMPUTED_VALUE"""),"Anel de reza")</f>
        <v>Anel de reza</v>
      </c>
      <c r="AH408" s="241"/>
      <c r="AI408" s="241" t="str">
        <f>IFERROR(__xludf.DUMMYFUNCTION("""COMPUTED_VALUE"""),"Cordas angelicais")</f>
        <v>Cordas angelicais</v>
      </c>
      <c r="AJ408" s="242"/>
    </row>
    <row r="409" hidden="1">
      <c r="A409" s="241" t="str">
        <f>IFERROR(__xludf.DUMMYFUNCTION("""COMPUTED_VALUE"""),"Manoplas do Berserker")</f>
        <v>Manoplas do Berserker</v>
      </c>
      <c r="B409" s="241"/>
      <c r="C409" s="241" t="str">
        <f>IFERROR(__xludf.DUMMYFUNCTION("""COMPUTED_VALUE"""),"Manoplas do Berserker")</f>
        <v>Manoplas do Berserker</v>
      </c>
      <c r="D409" s="241"/>
      <c r="E409" s="241" t="str">
        <f>IFERROR(__xludf.DUMMYFUNCTION("""COMPUTED_VALUE"""),"Manoplas do Berserker")</f>
        <v>Manoplas do Berserker</v>
      </c>
      <c r="F409" s="241"/>
      <c r="G409" s="241" t="str">
        <f>IFERROR(__xludf.DUMMYFUNCTION("""COMPUTED_VALUE"""),"Garra da morte")</f>
        <v>Garra da morte</v>
      </c>
      <c r="H409" s="241"/>
      <c r="I409" s="241" t="str">
        <f>IFERROR(__xludf.DUMMYFUNCTION("""COMPUTED_VALUE"""),"Garra da morte")</f>
        <v>Garra da morte</v>
      </c>
      <c r="J409" s="241"/>
      <c r="K409" s="241" t="str">
        <f>IFERROR(__xludf.DUMMYFUNCTION("""COMPUTED_VALUE"""),"Garra da morte")</f>
        <v>Garra da morte</v>
      </c>
      <c r="L409" s="242"/>
      <c r="M409" s="241" t="str">
        <f>IFERROR(__xludf.DUMMYFUNCTION("""COMPUTED_VALUE"""),"Os Aflitos da Guerra de Kratos")</f>
        <v>Os Aflitos da Guerra de Kratos</v>
      </c>
      <c r="N409" s="241"/>
      <c r="O409" s="241" t="str">
        <f>IFERROR(__xludf.DUMMYFUNCTION("""COMPUTED_VALUE"""),"Os Aflitos da Guerra de Kratos")</f>
        <v>Os Aflitos da Guerra de Kratos</v>
      </c>
      <c r="P409" s="241"/>
      <c r="Q409" s="241" t="str">
        <f>IFERROR(__xludf.DUMMYFUNCTION("""COMPUTED_VALUE"""),"Os Aflitos da Guerra de Kratos")</f>
        <v>Os Aflitos da Guerra de Kratos</v>
      </c>
      <c r="R409" s="241"/>
      <c r="S409" s="241" t="str">
        <f>IFERROR(__xludf.DUMMYFUNCTION("""COMPUTED_VALUE"""),"Botas dracônicas")</f>
        <v>Botas dracônicas</v>
      </c>
      <c r="T409" s="241"/>
      <c r="U409" s="241" t="str">
        <f>IFERROR(__xludf.DUMMYFUNCTION("""COMPUTED_VALUE"""),"Os Aflitos da Guerra de Kratos")</f>
        <v>Os Aflitos da Guerra de Kratos</v>
      </c>
      <c r="V409" s="241"/>
      <c r="W409" s="241" t="str">
        <f>IFERROR(__xludf.DUMMYFUNCTION("""COMPUTED_VALUE"""),"Botas dracônicas")</f>
        <v>Botas dracônicas</v>
      </c>
      <c r="X409" s="242"/>
      <c r="Y409" s="241" t="str">
        <f>IFERROR(__xludf.DUMMYFUNCTION("""COMPUTED_VALUE"""),"Escudo gigante")</f>
        <v>Escudo gigante</v>
      </c>
      <c r="Z409" s="241"/>
      <c r="AA409" s="241" t="str">
        <f>IFERROR(__xludf.DUMMYFUNCTION("""COMPUTED_VALUE"""),"Coração do Sol")</f>
        <v>Coração do Sol</v>
      </c>
      <c r="AB409" s="241"/>
      <c r="AC409" s="241" t="str">
        <f>IFERROR(__xludf.DUMMYFUNCTION("""COMPUTED_VALUE"""),"Escudo gigante")</f>
        <v>Escudo gigante</v>
      </c>
      <c r="AD409" s="241"/>
      <c r="AE409" s="241" t="str">
        <f>IFERROR(__xludf.DUMMYFUNCTION("""COMPUTED_VALUE"""),"Marca Divina")</f>
        <v>Marca Divina</v>
      </c>
      <c r="AF409" s="241"/>
      <c r="AG409" s="241" t="str">
        <f>IFERROR(__xludf.DUMMYFUNCTION("""COMPUTED_VALUE"""),"Marca Divina")</f>
        <v>Marca Divina</v>
      </c>
      <c r="AH409" s="241"/>
      <c r="AI409" s="241" t="str">
        <f>IFERROR(__xludf.DUMMYFUNCTION("""COMPUTED_VALUE"""),"Ceremonial Er-hu")</f>
        <v>Ceremonial Er-hu</v>
      </c>
      <c r="AJ409" s="242"/>
    </row>
    <row r="410" hidden="1">
      <c r="A410" s="241" t="str">
        <f>IFERROR(__xludf.DUMMYFUNCTION("""COMPUTED_VALUE"""),"Luvas Cibernéticas")</f>
        <v>Luvas Cibernéticas</v>
      </c>
      <c r="B410" s="241"/>
      <c r="C410" s="241" t="str">
        <f>IFERROR(__xludf.DUMMYFUNCTION("""COMPUTED_VALUE"""),"Luvas Cibernéticas")</f>
        <v>Luvas Cibernéticas</v>
      </c>
      <c r="D410" s="241"/>
      <c r="E410" s="241" t="str">
        <f>IFERROR(__xludf.DUMMYFUNCTION("""COMPUTED_VALUE"""),"Luvas Cibernéticas")</f>
        <v>Luvas Cibernéticas</v>
      </c>
      <c r="F410" s="241"/>
      <c r="G410" s="241" t="str">
        <f>IFERROR(__xludf.DUMMYFUNCTION("""COMPUTED_VALUE"""),"Luvas de MIdas")</f>
        <v>Luvas de MIdas</v>
      </c>
      <c r="H410" s="241"/>
      <c r="I410" s="241" t="str">
        <f>IFERROR(__xludf.DUMMYFUNCTION("""COMPUTED_VALUE"""),"Luvas de MIdas")</f>
        <v>Luvas de MIdas</v>
      </c>
      <c r="J410" s="241"/>
      <c r="K410" s="241" t="str">
        <f>IFERROR(__xludf.DUMMYFUNCTION("""COMPUTED_VALUE"""),"Luvas de MIdas")</f>
        <v>Luvas de MIdas</v>
      </c>
      <c r="L410" s="242"/>
      <c r="M410" s="241" t="str">
        <f>IFERROR(__xludf.DUMMYFUNCTION("""COMPUTED_VALUE"""),"Grevas de obsidiana")</f>
        <v>Grevas de obsidiana</v>
      </c>
      <c r="N410" s="241"/>
      <c r="O410" s="241" t="str">
        <f>IFERROR(__xludf.DUMMYFUNCTION("""COMPUTED_VALUE"""),"Grevas de obsidiana")</f>
        <v>Grevas de obsidiana</v>
      </c>
      <c r="P410" s="241"/>
      <c r="Q410" s="241" t="str">
        <f>IFERROR(__xludf.DUMMYFUNCTION("""COMPUTED_VALUE"""),"Grevas de obsidiana")</f>
        <v>Grevas de obsidiana</v>
      </c>
      <c r="R410" s="241"/>
      <c r="S410" s="241" t="str">
        <f>IFERROR(__xludf.DUMMYFUNCTION("""COMPUTED_VALUE"""),"Sapatos do fogo-gelo")</f>
        <v>Sapatos do fogo-gelo</v>
      </c>
      <c r="T410" s="241"/>
      <c r="U410" s="241" t="str">
        <f>IFERROR(__xludf.DUMMYFUNCTION("""COMPUTED_VALUE"""),"Grevas de obsidiana")</f>
        <v>Grevas de obsidiana</v>
      </c>
      <c r="V410" s="241"/>
      <c r="W410" s="241" t="str">
        <f>IFERROR(__xludf.DUMMYFUNCTION("""COMPUTED_VALUE"""),"Sapatos do fogo-gelo")</f>
        <v>Sapatos do fogo-gelo</v>
      </c>
      <c r="X410" s="242"/>
      <c r="Y410" s="241" t="str">
        <f>IFERROR(__xludf.DUMMYFUNCTION("""COMPUTED_VALUE"""),"Escudo do Aventureiro")</f>
        <v>Escudo do Aventureiro</v>
      </c>
      <c r="Z410" s="241"/>
      <c r="AA410" s="241" t="str">
        <f>IFERROR(__xludf.DUMMYFUNCTION("""COMPUTED_VALUE"""),"Herança de Azbandar")</f>
        <v>Herança de Azbandar</v>
      </c>
      <c r="AB410" s="241"/>
      <c r="AC410" s="241" t="str">
        <f>IFERROR(__xludf.DUMMYFUNCTION("""COMPUTED_VALUE"""),"Escudo do Aventureiro")</f>
        <v>Escudo do Aventureiro</v>
      </c>
      <c r="AD410" s="241"/>
      <c r="AE410" s="241" t="str">
        <f>IFERROR(__xludf.DUMMYFUNCTION("""COMPUTED_VALUE"""),"Anel real")</f>
        <v>Anel real</v>
      </c>
      <c r="AF410" s="241"/>
      <c r="AG410" s="241" t="str">
        <f>IFERROR(__xludf.DUMMYFUNCTION("""COMPUTED_VALUE"""),"Anel real")</f>
        <v>Anel real</v>
      </c>
      <c r="AH410" s="241"/>
      <c r="AI410" s="241" t="str">
        <f>IFERROR(__xludf.DUMMYFUNCTION("""COMPUTED_VALUE"""),"Harpa do Fogo Gelo")</f>
        <v>Harpa do Fogo Gelo</v>
      </c>
      <c r="AJ410" s="242"/>
    </row>
    <row r="411" hidden="1">
      <c r="A411" s="241" t="str">
        <f>IFERROR(__xludf.DUMMYFUNCTION("""COMPUTED_VALUE"""),"Esmagadores Vulcânicos")</f>
        <v>Esmagadores Vulcânicos</v>
      </c>
      <c r="B411" s="241"/>
      <c r="C411" s="241" t="str">
        <f>IFERROR(__xludf.DUMMYFUNCTION("""COMPUTED_VALUE"""),"Esmagadores Vulcânicos")</f>
        <v>Esmagadores Vulcânicos</v>
      </c>
      <c r="D411" s="241"/>
      <c r="E411" s="241" t="str">
        <f>IFERROR(__xludf.DUMMYFUNCTION("""COMPUTED_VALUE"""),"Esmagadores Vulcânicos")</f>
        <v>Esmagadores Vulcânicos</v>
      </c>
      <c r="F411" s="241"/>
      <c r="G411" s="241" t="str">
        <f>IFERROR(__xludf.DUMMYFUNCTION("""COMPUTED_VALUE"""),"Luva de fogo gelo")</f>
        <v>Luva de fogo gelo</v>
      </c>
      <c r="H411" s="241"/>
      <c r="I411" s="241" t="str">
        <f>IFERROR(__xludf.DUMMYFUNCTION("""COMPUTED_VALUE"""),"Luva de fogo gelo")</f>
        <v>Luva de fogo gelo</v>
      </c>
      <c r="J411" s="241"/>
      <c r="K411" s="241" t="str">
        <f>IFERROR(__xludf.DUMMYFUNCTION("""COMPUTED_VALUE"""),"Luva de fogo gelo")</f>
        <v>Luva de fogo gelo</v>
      </c>
      <c r="L411" s="242"/>
      <c r="M411" s="241" t="str">
        <f>IFERROR(__xludf.DUMMYFUNCTION("""COMPUTED_VALUE"""),"Pés do titã")</f>
        <v>Pés do titã</v>
      </c>
      <c r="N411" s="241"/>
      <c r="O411" s="241" t="str">
        <f>IFERROR(__xludf.DUMMYFUNCTION("""COMPUTED_VALUE"""),"Pés do titã")</f>
        <v>Pés do titã</v>
      </c>
      <c r="P411" s="241"/>
      <c r="Q411" s="241" t="str">
        <f>IFERROR(__xludf.DUMMYFUNCTION("""COMPUTED_VALUE"""),"Pés do titã")</f>
        <v>Pés do titã</v>
      </c>
      <c r="R411" s="241"/>
      <c r="S411" s="241" t="str">
        <f>IFERROR(__xludf.DUMMYFUNCTION("""COMPUTED_VALUE"""),"Marcha ardente")</f>
        <v>Marcha ardente</v>
      </c>
      <c r="T411" s="241"/>
      <c r="U411" s="241" t="str">
        <f>IFERROR(__xludf.DUMMYFUNCTION("""COMPUTED_VALUE"""),"Pés do titã")</f>
        <v>Pés do titã</v>
      </c>
      <c r="V411" s="241"/>
      <c r="W411" s="241" t="str">
        <f>IFERROR(__xludf.DUMMYFUNCTION("""COMPUTED_VALUE"""),"Marcha ardente")</f>
        <v>Marcha ardente</v>
      </c>
      <c r="X411" s="242"/>
      <c r="Y411" s="241" t="str">
        <f>IFERROR(__xludf.DUMMYFUNCTION("""COMPUTED_VALUE"""),"Shark Bite")</f>
        <v>Shark Bite</v>
      </c>
      <c r="Z411" s="241"/>
      <c r="AA411" s="241" t="str">
        <f>IFERROR(__xludf.DUMMYFUNCTION("""COMPUTED_VALUE"""),"Herança de Família")</f>
        <v>Herança de Família</v>
      </c>
      <c r="AB411" s="241"/>
      <c r="AC411" s="241" t="str">
        <f>IFERROR(__xludf.DUMMYFUNCTION("""COMPUTED_VALUE"""),"Shark Bite")</f>
        <v>Shark Bite</v>
      </c>
      <c r="AD411" s="241"/>
      <c r="AE411" s="241" t="str">
        <f>IFERROR(__xludf.DUMMYFUNCTION("""COMPUTED_VALUE"""),"Oráculo")</f>
        <v>Oráculo</v>
      </c>
      <c r="AF411" s="241"/>
      <c r="AG411" s="241" t="str">
        <f>IFERROR(__xludf.DUMMYFUNCTION("""COMPUTED_VALUE"""),"Oráculo")</f>
        <v>Oráculo</v>
      </c>
      <c r="AH411" s="241"/>
      <c r="AI411" s="241" t="str">
        <f>IFERROR(__xludf.DUMMYFUNCTION("""COMPUTED_VALUE"""),"Flauta de gaia ")</f>
        <v>Flauta de gaia </v>
      </c>
      <c r="AJ411" s="242"/>
    </row>
    <row r="412" hidden="1">
      <c r="A412" s="241" t="str">
        <f>IFERROR(__xludf.DUMMYFUNCTION("""COMPUTED_VALUE"""),"Gauntlet do Chieftain")</f>
        <v>Gauntlet do Chieftain</v>
      </c>
      <c r="B412" s="241"/>
      <c r="C412" s="241" t="str">
        <f>IFERROR(__xludf.DUMMYFUNCTION("""COMPUTED_VALUE"""),"Gauntlet do Chieftain")</f>
        <v>Gauntlet do Chieftain</v>
      </c>
      <c r="D412" s="241"/>
      <c r="E412" s="241" t="str">
        <f>IFERROR(__xludf.DUMMYFUNCTION("""COMPUTED_VALUE"""),"Gauntlet do Chieftain")</f>
        <v>Gauntlet do Chieftain</v>
      </c>
      <c r="F412" s="241"/>
      <c r="G412" s="241" t="str">
        <f>IFERROR(__xludf.DUMMYFUNCTION("""COMPUTED_VALUE"""),"Starry Gloves")</f>
        <v>Starry Gloves</v>
      </c>
      <c r="H412" s="241"/>
      <c r="I412" s="241" t="str">
        <f>IFERROR(__xludf.DUMMYFUNCTION("""COMPUTED_VALUE"""),"Starry Gloves")</f>
        <v>Starry Gloves</v>
      </c>
      <c r="J412" s="241"/>
      <c r="K412" s="241" t="str">
        <f>IFERROR(__xludf.DUMMYFUNCTION("""COMPUTED_VALUE"""),"Starry Gloves")</f>
        <v>Starry Gloves</v>
      </c>
      <c r="L412" s="242"/>
      <c r="M412" s="241" t="str">
        <f>IFERROR(__xludf.DUMMYFUNCTION("""COMPUTED_VALUE"""),"Botas selvagens")</f>
        <v>Botas selvagens</v>
      </c>
      <c r="N412" s="241"/>
      <c r="O412" s="241" t="str">
        <f>IFERROR(__xludf.DUMMYFUNCTION("""COMPUTED_VALUE"""),"Botas selvagens")</f>
        <v>Botas selvagens</v>
      </c>
      <c r="P412" s="241"/>
      <c r="Q412" s="241" t="str">
        <f>IFERROR(__xludf.DUMMYFUNCTION("""COMPUTED_VALUE"""),"Botas selvagens")</f>
        <v>Botas selvagens</v>
      </c>
      <c r="R412" s="241"/>
      <c r="S412" s="241" t="str">
        <f>IFERROR(__xludf.DUMMYFUNCTION("""COMPUTED_VALUE"""),"Ice Walkers")</f>
        <v>Ice Walkers</v>
      </c>
      <c r="T412" s="241"/>
      <c r="U412" s="241" t="str">
        <f>IFERROR(__xludf.DUMMYFUNCTION("""COMPUTED_VALUE"""),"Botas selvagens")</f>
        <v>Botas selvagens</v>
      </c>
      <c r="V412" s="241"/>
      <c r="W412" s="241" t="str">
        <f>IFERROR(__xludf.DUMMYFUNCTION("""COMPUTED_VALUE"""),"Ice Walkers")</f>
        <v>Ice Walkers</v>
      </c>
      <c r="X412" s="242"/>
      <c r="Y412" s="241" t="str">
        <f>IFERROR(__xludf.DUMMYFUNCTION("""COMPUTED_VALUE"""),"Buckler de Atena")</f>
        <v>Buckler de Atena</v>
      </c>
      <c r="Z412" s="241"/>
      <c r="AA412" s="241" t="str">
        <f>IFERROR(__xludf.DUMMYFUNCTION("""COMPUTED_VALUE"""),"Talismã do fogo-gelo")</f>
        <v>Talismã do fogo-gelo</v>
      </c>
      <c r="AB412" s="241"/>
      <c r="AC412" s="241" t="str">
        <f>IFERROR(__xludf.DUMMYFUNCTION("""COMPUTED_VALUE"""),"Buckler de Atena")</f>
        <v>Buckler de Atena</v>
      </c>
      <c r="AD412" s="241"/>
      <c r="AE412" s="241" t="str">
        <f>IFERROR(__xludf.DUMMYFUNCTION("""COMPUTED_VALUE"""),"Anel Místico")</f>
        <v>Anel Místico</v>
      </c>
      <c r="AF412" s="241"/>
      <c r="AG412" s="241" t="str">
        <f>IFERROR(__xludf.DUMMYFUNCTION("""COMPUTED_VALUE"""),"Anel Místico")</f>
        <v>Anel Místico</v>
      </c>
      <c r="AH412" s="241"/>
      <c r="AI412" s="241" t="str">
        <f>IFERROR(__xludf.DUMMYFUNCTION("""COMPUTED_VALUE"""),"Flauta Convocadora")</f>
        <v>Flauta Convocadora</v>
      </c>
      <c r="AJ412" s="242"/>
    </row>
    <row r="413" hidden="1">
      <c r="A413" s="241" t="str">
        <f>IFERROR(__xludf.DUMMYFUNCTION("""COMPUTED_VALUE"""),"Runic Gauntlets")</f>
        <v>Runic Gauntlets</v>
      </c>
      <c r="B413" s="241"/>
      <c r="C413" s="241" t="str">
        <f>IFERROR(__xludf.DUMMYFUNCTION("""COMPUTED_VALUE"""),"Runic Gauntlets")</f>
        <v>Runic Gauntlets</v>
      </c>
      <c r="D413" s="241"/>
      <c r="E413" s="241" t="str">
        <f>IFERROR(__xludf.DUMMYFUNCTION("""COMPUTED_VALUE"""),"Runic Gauntlets")</f>
        <v>Runic Gauntlets</v>
      </c>
      <c r="F413" s="241"/>
      <c r="G413" s="241" t="str">
        <f>IFERROR(__xludf.DUMMYFUNCTION("""COMPUTED_VALUE"""),"Luvas do Arcanjo")</f>
        <v>Luvas do Arcanjo</v>
      </c>
      <c r="H413" s="241"/>
      <c r="I413" s="241" t="str">
        <f>IFERROR(__xludf.DUMMYFUNCTION("""COMPUTED_VALUE"""),"Luvas do Arcanjo")</f>
        <v>Luvas do Arcanjo</v>
      </c>
      <c r="J413" s="241"/>
      <c r="K413" s="241" t="str">
        <f>IFERROR(__xludf.DUMMYFUNCTION("""COMPUTED_VALUE"""),"Luvas do Arcanjo")</f>
        <v>Luvas do Arcanjo</v>
      </c>
      <c r="L413" s="242"/>
      <c r="M413" s="241" t="str">
        <f>IFERROR(__xludf.DUMMYFUNCTION("""COMPUTED_VALUE"""),"Starfrost Skates")</f>
        <v>Starfrost Skates</v>
      </c>
      <c r="N413" s="241"/>
      <c r="O413" s="241" t="str">
        <f>IFERROR(__xludf.DUMMYFUNCTION("""COMPUTED_VALUE"""),"Starfrost Skates")</f>
        <v>Starfrost Skates</v>
      </c>
      <c r="P413" s="241"/>
      <c r="Q413" s="241" t="str">
        <f>IFERROR(__xludf.DUMMYFUNCTION("""COMPUTED_VALUE"""),"Starfrost Skates")</f>
        <v>Starfrost Skates</v>
      </c>
      <c r="R413" s="241"/>
      <c r="S413" s="241" t="str">
        <f>IFERROR(__xludf.DUMMYFUNCTION("""COMPUTED_VALUE"""),"Swimming Fins")</f>
        <v>Swimming Fins</v>
      </c>
      <c r="T413" s="241"/>
      <c r="U413" s="241" t="str">
        <f>IFERROR(__xludf.DUMMYFUNCTION("""COMPUTED_VALUE"""),"Starfrost Skates")</f>
        <v>Starfrost Skates</v>
      </c>
      <c r="V413" s="241"/>
      <c r="W413" s="241" t="str">
        <f>IFERROR(__xludf.DUMMYFUNCTION("""COMPUTED_VALUE"""),"Swimming Fins")</f>
        <v>Swimming Fins</v>
      </c>
      <c r="X413" s="242"/>
      <c r="Y413" s="241" t="str">
        <f>IFERROR(__xludf.DUMMYFUNCTION("""COMPUTED_VALUE"""),"Broquel da Medusa")</f>
        <v>Broquel da Medusa</v>
      </c>
      <c r="Z413" s="241"/>
      <c r="AA413" s="241" t="str">
        <f>IFERROR(__xludf.DUMMYFUNCTION("""COMPUTED_VALUE"""),"Coração de Gaia")</f>
        <v>Coração de Gaia</v>
      </c>
      <c r="AB413" s="241"/>
      <c r="AC413" s="241" t="str">
        <f>IFERROR(__xludf.DUMMYFUNCTION("""COMPUTED_VALUE"""),"Broquel da Medusa")</f>
        <v>Broquel da Medusa</v>
      </c>
      <c r="AD413" s="241"/>
      <c r="AE413" s="241" t="str">
        <f>IFERROR(__xludf.DUMMYFUNCTION("""COMPUTED_VALUE"""),"Anel Grotesco")</f>
        <v>Anel Grotesco</v>
      </c>
      <c r="AF413" s="241"/>
      <c r="AG413" s="241" t="str">
        <f>IFERROR(__xludf.DUMMYFUNCTION("""COMPUTED_VALUE"""),"Anel Grotesco")</f>
        <v>Anel Grotesco</v>
      </c>
      <c r="AH413" s="241"/>
      <c r="AI413" s="241" t="str">
        <f>IFERROR(__xludf.DUMMYFUNCTION("""COMPUTED_VALUE"""),"Feitiço do Vento ")</f>
        <v>Feitiço do Vento </v>
      </c>
      <c r="AJ413" s="242"/>
    </row>
    <row r="414" hidden="1">
      <c r="A414" s="241" t="str">
        <f>IFERROR(__xludf.DUMMYFUNCTION("""COMPUTED_VALUE"""),"Punhos de Zeus")</f>
        <v>Punhos de Zeus</v>
      </c>
      <c r="B414" s="241"/>
      <c r="C414" s="241" t="str">
        <f>IFERROR(__xludf.DUMMYFUNCTION("""COMPUTED_VALUE"""),"Punhos de Zeus")</f>
        <v>Punhos de Zeus</v>
      </c>
      <c r="D414" s="241"/>
      <c r="E414" s="241" t="str">
        <f>IFERROR(__xludf.DUMMYFUNCTION("""COMPUTED_VALUE"""),"Punhos de Zeus")</f>
        <v>Punhos de Zeus</v>
      </c>
      <c r="F414" s="241"/>
      <c r="G414" s="241" t="str">
        <f>IFERROR(__xludf.DUMMYFUNCTION("""COMPUTED_VALUE"""),"Luvas do subterrâneo")</f>
        <v>Luvas do subterrâneo</v>
      </c>
      <c r="H414" s="241"/>
      <c r="I414" s="241" t="str">
        <f>IFERROR(__xludf.DUMMYFUNCTION("""COMPUTED_VALUE"""),"Luvas do subterrâneo")</f>
        <v>Luvas do subterrâneo</v>
      </c>
      <c r="J414" s="241"/>
      <c r="K414" s="241" t="str">
        <f>IFERROR(__xludf.DUMMYFUNCTION("""COMPUTED_VALUE"""),"Luvas do subterrâneo")</f>
        <v>Luvas do subterrâneo</v>
      </c>
      <c r="L414" s="242"/>
      <c r="M414" s="241" t="str">
        <f>IFERROR(__xludf.DUMMYFUNCTION("""COMPUTED_VALUE"""),"Proto-skate")</f>
        <v>Proto-skate</v>
      </c>
      <c r="N414" s="241"/>
      <c r="O414" s="241" t="str">
        <f>IFERROR(__xludf.DUMMYFUNCTION("""COMPUTED_VALUE"""),"Proto-skate")</f>
        <v>Proto-skate</v>
      </c>
      <c r="P414" s="241"/>
      <c r="Q414" s="241" t="str">
        <f>IFERROR(__xludf.DUMMYFUNCTION("""COMPUTED_VALUE"""),"Proto-skate")</f>
        <v>Proto-skate</v>
      </c>
      <c r="R414" s="241"/>
      <c r="S414" s="241" t="str">
        <f>IFERROR(__xludf.DUMMYFUNCTION("""COMPUTED_VALUE"""),"Rodas Celestiais de Fogo")</f>
        <v>Rodas Celestiais de Fogo</v>
      </c>
      <c r="T414" s="241"/>
      <c r="U414" s="241" t="str">
        <f>IFERROR(__xludf.DUMMYFUNCTION("""COMPUTED_VALUE"""),"Proto-skate")</f>
        <v>Proto-skate</v>
      </c>
      <c r="V414" s="241"/>
      <c r="W414" s="241" t="str">
        <f>IFERROR(__xludf.DUMMYFUNCTION("""COMPUTED_VALUE"""),"Rodas Celestiais de Fogo")</f>
        <v>Rodas Celestiais de Fogo</v>
      </c>
      <c r="X414" s="242"/>
      <c r="Y414" s="241" t="str">
        <f>IFERROR(__xludf.DUMMYFUNCTION("""COMPUTED_VALUE"""),"Escudo do oráculo")</f>
        <v>Escudo do oráculo</v>
      </c>
      <c r="Z414" s="241"/>
      <c r="AA414" s="241" t="str">
        <f>IFERROR(__xludf.DUMMYFUNCTION("""COMPUTED_VALUE"""),"Amuleto primordial")</f>
        <v>Amuleto primordial</v>
      </c>
      <c r="AB414" s="241"/>
      <c r="AC414" s="241" t="str">
        <f>IFERROR(__xludf.DUMMYFUNCTION("""COMPUTED_VALUE"""),"Escudo do oráculo")</f>
        <v>Escudo do oráculo</v>
      </c>
      <c r="AD414" s="241"/>
      <c r="AE414" s="241" t="str">
        <f>IFERROR(__xludf.DUMMYFUNCTION("""COMPUTED_VALUE"""),"Anel Azulado")</f>
        <v>Anel Azulado</v>
      </c>
      <c r="AF414" s="241"/>
      <c r="AG414" s="241" t="str">
        <f>IFERROR(__xludf.DUMMYFUNCTION("""COMPUTED_VALUE"""),"Anel Azulado")</f>
        <v>Anel Azulado</v>
      </c>
      <c r="AH414" s="241"/>
      <c r="AI414" s="241" t="str">
        <f>IFERROR(__xludf.DUMMYFUNCTION("""COMPUTED_VALUE"""),"Símbolo do Exorcismo")</f>
        <v>Símbolo do Exorcismo</v>
      </c>
      <c r="AJ414" s="242"/>
    </row>
    <row r="415" hidden="1">
      <c r="A415" s="241"/>
      <c r="B415" s="241"/>
      <c r="C415" s="241"/>
      <c r="D415" s="241"/>
      <c r="E415" s="241"/>
      <c r="F415" s="241"/>
      <c r="G415" s="241" t="str">
        <f>IFERROR(__xludf.DUMMYFUNCTION("""COMPUTED_VALUE"""),"Mummy Hands")</f>
        <v>Mummy Hands</v>
      </c>
      <c r="H415" s="241"/>
      <c r="I415" s="241" t="str">
        <f>IFERROR(__xludf.DUMMYFUNCTION("""COMPUTED_VALUE"""),"Mummy Hands")</f>
        <v>Mummy Hands</v>
      </c>
      <c r="J415" s="241"/>
      <c r="K415" s="241" t="str">
        <f>IFERROR(__xludf.DUMMYFUNCTION("""COMPUTED_VALUE"""),"Mummy Hands")</f>
        <v>Mummy Hands</v>
      </c>
      <c r="L415" s="242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2"/>
      <c r="Y415" s="241" t="str">
        <f>IFERROR(__xludf.DUMMYFUNCTION("""COMPUTED_VALUE"""),"Mãe Natureza")</f>
        <v>Mãe Natureza</v>
      </c>
      <c r="Z415" s="241"/>
      <c r="AA415" s="241" t="str">
        <f>IFERROR(__xludf.DUMMYFUNCTION("""COMPUTED_VALUE"""),"Ominous Charm")</f>
        <v>Ominous Charm</v>
      </c>
      <c r="AB415" s="241"/>
      <c r="AC415" s="241" t="str">
        <f>IFERROR(__xludf.DUMMYFUNCTION("""COMPUTED_VALUE"""),"Mãe Natureza")</f>
        <v>Mãe Natureza</v>
      </c>
      <c r="AD415" s="241"/>
      <c r="AE415" s="241" t="str">
        <f>IFERROR(__xludf.DUMMYFUNCTION("""COMPUTED_VALUE"""),"Anel de casamento")</f>
        <v>Anel de casamento</v>
      </c>
      <c r="AF415" s="241"/>
      <c r="AG415" s="241" t="str">
        <f>IFERROR(__xludf.DUMMYFUNCTION("""COMPUTED_VALUE"""),"Anel de casamento")</f>
        <v>Anel de casamento</v>
      </c>
      <c r="AH415" s="241"/>
      <c r="AI415" s="241" t="str">
        <f>IFERROR(__xludf.DUMMYFUNCTION("""COMPUTED_VALUE"""),"Proteção defensora")</f>
        <v>Proteção defensora</v>
      </c>
      <c r="AJ415" s="242"/>
    </row>
    <row r="416" hidden="1">
      <c r="A416" s="241"/>
      <c r="B416" s="241"/>
      <c r="C416" s="241"/>
      <c r="D416" s="241"/>
      <c r="E416" s="241"/>
      <c r="F416" s="241"/>
      <c r="G416" s="241" t="str">
        <f>IFERROR(__xludf.DUMMYFUNCTION("""COMPUTED_VALUE"""),"Toque de Fluffle")</f>
        <v>Toque de Fluffle</v>
      </c>
      <c r="H416" s="241"/>
      <c r="I416" s="241" t="str">
        <f>IFERROR(__xludf.DUMMYFUNCTION("""COMPUTED_VALUE"""),"Toque de Fluffle")</f>
        <v>Toque de Fluffle</v>
      </c>
      <c r="J416" s="241"/>
      <c r="K416" s="241" t="str">
        <f>IFERROR(__xludf.DUMMYFUNCTION("""COMPUTED_VALUE"""),"Toque de Fluffle")</f>
        <v>Toque de Fluffle</v>
      </c>
      <c r="L416" s="242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2"/>
      <c r="Y416" s="241" t="str">
        <f>IFERROR(__xludf.DUMMYFUNCTION("""COMPUTED_VALUE"""),"Escudo Meia Lua")</f>
        <v>Escudo Meia Lua</v>
      </c>
      <c r="Z416" s="241"/>
      <c r="AA416" s="241"/>
      <c r="AB416" s="241"/>
      <c r="AC416" s="241" t="str">
        <f>IFERROR(__xludf.DUMMYFUNCTION("""COMPUTED_VALUE"""),"Escudo Meia Lua")</f>
        <v>Escudo Meia Lua</v>
      </c>
      <c r="AD416" s="241"/>
      <c r="AE416" s="241" t="str">
        <f>IFERROR(__xludf.DUMMYFUNCTION("""COMPUTED_VALUE"""),"Círculo de antimagia")</f>
        <v>Círculo de antimagia</v>
      </c>
      <c r="AF416" s="241"/>
      <c r="AG416" s="241" t="str">
        <f>IFERROR(__xludf.DUMMYFUNCTION("""COMPUTED_VALUE"""),"Círculo de antimagia")</f>
        <v>Círculo de antimagia</v>
      </c>
      <c r="AH416" s="241"/>
      <c r="AI416" s="241" t="str">
        <f>IFERROR(__xludf.DUMMYFUNCTION("""COMPUTED_VALUE"""),"Amuleto Ankh")</f>
        <v>Amuleto Ankh</v>
      </c>
      <c r="AJ416" s="242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2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2"/>
      <c r="Y417" s="241" t="str">
        <f>IFERROR(__xludf.DUMMYFUNCTION("""COMPUTED_VALUE"""),"Celtic Shield")</f>
        <v>Celtic Shield</v>
      </c>
      <c r="Z417" s="241"/>
      <c r="AA417" s="241"/>
      <c r="AB417" s="241"/>
      <c r="AC417" s="241" t="str">
        <f>IFERROR(__xludf.DUMMYFUNCTION("""COMPUTED_VALUE"""),"Celtic Shield")</f>
        <v>Celtic Shield</v>
      </c>
      <c r="AD417" s="241"/>
      <c r="AE417" s="241" t="str">
        <f>IFERROR(__xludf.DUMMYFUNCTION("""COMPUTED_VALUE"""),"Anel de Midas")</f>
        <v>Anel de Midas</v>
      </c>
      <c r="AF417" s="241"/>
      <c r="AG417" s="241" t="str">
        <f>IFERROR(__xludf.DUMMYFUNCTION("""COMPUTED_VALUE"""),"Anel de Midas")</f>
        <v>Anel de Midas</v>
      </c>
      <c r="AH417" s="241"/>
      <c r="AI417" s="241" t="str">
        <f>IFERROR(__xludf.DUMMYFUNCTION("""COMPUTED_VALUE"""),"Coração de Lich")</f>
        <v>Coração de Lich</v>
      </c>
      <c r="AJ417" s="242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2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2"/>
      <c r="Y418" s="241" t="str">
        <f>IFERROR(__xludf.DUMMYFUNCTION("""COMPUTED_VALUE"""),"Painel Refrator")</f>
        <v>Painel Refrator</v>
      </c>
      <c r="Z418" s="241"/>
      <c r="AA418" s="241"/>
      <c r="AB418" s="241"/>
      <c r="AC418" s="241" t="str">
        <f>IFERROR(__xludf.DUMMYFUNCTION("""COMPUTED_VALUE"""),"Painel Refrator")</f>
        <v>Painel Refrator</v>
      </c>
      <c r="AD418" s="241"/>
      <c r="AE418" s="241" t="str">
        <f>IFERROR(__xludf.DUMMYFUNCTION("""COMPUTED_VALUE"""),"Anel do Conhecimento")</f>
        <v>Anel do Conhecimento</v>
      </c>
      <c r="AF418" s="241"/>
      <c r="AG418" s="241" t="str">
        <f>IFERROR(__xludf.DUMMYFUNCTION("""COMPUTED_VALUE"""),"Anel do Conhecimento")</f>
        <v>Anel do Conhecimento</v>
      </c>
      <c r="AH418" s="241"/>
      <c r="AI418" s="241" t="str">
        <f>IFERROR(__xludf.DUMMYFUNCTION("""COMPUTED_VALUE"""),"Amuleto dracônico")</f>
        <v>Amuleto dracônico</v>
      </c>
      <c r="AJ418" s="242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2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2"/>
      <c r="Y419" s="241" t="str">
        <f>IFERROR(__xludf.DUMMYFUNCTION("""COMPUTED_VALUE"""),"Feitiço do Vento ")</f>
        <v>Feitiço do Vento </v>
      </c>
      <c r="Z419" s="241"/>
      <c r="AA419" s="241"/>
      <c r="AB419" s="241"/>
      <c r="AC419" s="241"/>
      <c r="AD419" s="241"/>
      <c r="AE419" s="241"/>
      <c r="AF419" s="241"/>
      <c r="AG419" s="241" t="str">
        <f>IFERROR(__xludf.DUMMYFUNCTION("""COMPUTED_VALUE"""),"Protetor")</f>
        <v>Protetor</v>
      </c>
      <c r="AH419" s="241"/>
      <c r="AI419" s="241" t="str">
        <f>IFERROR(__xludf.DUMMYFUNCTION("""COMPUTED_VALUE"""),"Lágrima da Deusa")</f>
        <v>Lágrima da Deusa</v>
      </c>
      <c r="AJ419" s="242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2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2"/>
      <c r="Y420" s="241" t="str">
        <f>IFERROR(__xludf.DUMMYFUNCTION("""COMPUTED_VALUE"""),"Símbolo do Exorcismo")</f>
        <v>Símbolo do Exorcismo</v>
      </c>
      <c r="Z420" s="241"/>
      <c r="AA420" s="241"/>
      <c r="AB420" s="241"/>
      <c r="AC420" s="241"/>
      <c r="AD420" s="241"/>
      <c r="AE420" s="241"/>
      <c r="AF420" s="241"/>
      <c r="AG420" s="241" t="str">
        <f>IFERROR(__xludf.DUMMYFUNCTION("""COMPUTED_VALUE"""),"Contra Fogo")</f>
        <v>Contra Fogo</v>
      </c>
      <c r="AH420" s="241"/>
      <c r="AI420" s="241" t="str">
        <f>IFERROR(__xludf.DUMMYFUNCTION("""COMPUTED_VALUE"""),"Coração do Sol")</f>
        <v>Coração do Sol</v>
      </c>
      <c r="AJ420" s="242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2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2"/>
      <c r="Y421" s="241" t="str">
        <f>IFERROR(__xludf.DUMMYFUNCTION("""COMPUTED_VALUE"""),"Proteção defensora")</f>
        <v>Proteção defensora</v>
      </c>
      <c r="Z421" s="241"/>
      <c r="AA421" s="241"/>
      <c r="AB421" s="241"/>
      <c r="AC421" s="241"/>
      <c r="AD421" s="241"/>
      <c r="AE421" s="241"/>
      <c r="AF421" s="241"/>
      <c r="AG421" s="241" t="str">
        <f>IFERROR(__xludf.DUMMYFUNCTION("""COMPUTED_VALUE"""),"Scarab Shield")</f>
        <v>Scarab Shield</v>
      </c>
      <c r="AH421" s="241"/>
      <c r="AI421" s="241" t="str">
        <f>IFERROR(__xludf.DUMMYFUNCTION("""COMPUTED_VALUE"""),"Herança de Azbandar")</f>
        <v>Herança de Azbandar</v>
      </c>
      <c r="AJ421" s="242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2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2"/>
      <c r="Y422" s="241" t="str">
        <f>IFERROR(__xludf.DUMMYFUNCTION("""COMPUTED_VALUE"""),"Amuleto Ankh")</f>
        <v>Amuleto Ankh</v>
      </c>
      <c r="Z422" s="241"/>
      <c r="AA422" s="241"/>
      <c r="AB422" s="241"/>
      <c r="AC422" s="241"/>
      <c r="AD422" s="241"/>
      <c r="AE422" s="241"/>
      <c r="AF422" s="241"/>
      <c r="AG422" s="241" t="str">
        <f>IFERROR(__xludf.DUMMYFUNCTION("""COMPUTED_VALUE"""),"Égide ")</f>
        <v>Égide </v>
      </c>
      <c r="AH422" s="241"/>
      <c r="AI422" s="241" t="str">
        <f>IFERROR(__xludf.DUMMYFUNCTION("""COMPUTED_VALUE"""),"Herança de Família")</f>
        <v>Herança de Família</v>
      </c>
      <c r="AJ422" s="242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2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2"/>
      <c r="Y423" s="241" t="str">
        <f>IFERROR(__xludf.DUMMYFUNCTION("""COMPUTED_VALUE"""),"Coração de Lich")</f>
        <v>Coração de Lich</v>
      </c>
      <c r="Z423" s="241"/>
      <c r="AA423" s="241"/>
      <c r="AB423" s="241"/>
      <c r="AC423" s="241"/>
      <c r="AD423" s="241"/>
      <c r="AE423" s="241"/>
      <c r="AF423" s="241"/>
      <c r="AG423" s="241" t="str">
        <f>IFERROR(__xludf.DUMMYFUNCTION("""COMPUTED_VALUE"""),"Escudo Estrelado")</f>
        <v>Escudo Estrelado</v>
      </c>
      <c r="AH423" s="241"/>
      <c r="AI423" s="241" t="str">
        <f>IFERROR(__xludf.DUMMYFUNCTION("""COMPUTED_VALUE"""),"Talismã do fogo-gelo")</f>
        <v>Talismã do fogo-gelo</v>
      </c>
      <c r="AJ423" s="242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2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2"/>
      <c r="Y424" s="241" t="str">
        <f>IFERROR(__xludf.DUMMYFUNCTION("""COMPUTED_VALUE"""),"Amuleto dracônico")</f>
        <v>Amuleto dracônico</v>
      </c>
      <c r="Z424" s="241"/>
      <c r="AA424" s="241"/>
      <c r="AB424" s="241"/>
      <c r="AC424" s="241"/>
      <c r="AD424" s="241"/>
      <c r="AE424" s="241"/>
      <c r="AF424" s="241"/>
      <c r="AG424" s="241" t="str">
        <f>IFERROR(__xludf.DUMMYFUNCTION("""COMPUTED_VALUE"""),"Escudo de cristal")</f>
        <v>Escudo de cristal</v>
      </c>
      <c r="AH424" s="241"/>
      <c r="AI424" s="241" t="str">
        <f>IFERROR(__xludf.DUMMYFUNCTION("""COMPUTED_VALUE"""),"Coração de Gaia")</f>
        <v>Coração de Gaia</v>
      </c>
      <c r="AJ424" s="242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2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2"/>
      <c r="Y425" s="241" t="str">
        <f>IFERROR(__xludf.DUMMYFUNCTION("""COMPUTED_VALUE"""),"Lágrima da Deusa")</f>
        <v>Lágrima da Deusa</v>
      </c>
      <c r="Z425" s="241"/>
      <c r="AA425" s="241"/>
      <c r="AB425" s="241"/>
      <c r="AC425" s="241"/>
      <c r="AD425" s="241"/>
      <c r="AE425" s="241"/>
      <c r="AF425" s="241"/>
      <c r="AG425" s="241" t="str">
        <f>IFERROR(__xludf.DUMMYFUNCTION("""COMPUTED_VALUE"""),"Crânio de Dragão")</f>
        <v>Crânio de Dragão</v>
      </c>
      <c r="AH425" s="241"/>
      <c r="AI425" s="241" t="str">
        <f>IFERROR(__xludf.DUMMYFUNCTION("""COMPUTED_VALUE"""),"Amuleto primordial")</f>
        <v>Amuleto primordial</v>
      </c>
      <c r="AJ425" s="242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2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2"/>
      <c r="Y426" s="241" t="str">
        <f>IFERROR(__xludf.DUMMYFUNCTION("""COMPUTED_VALUE"""),"Coração do Sol")</f>
        <v>Coração do Sol</v>
      </c>
      <c r="Z426" s="241"/>
      <c r="AA426" s="241"/>
      <c r="AB426" s="241"/>
      <c r="AC426" s="241"/>
      <c r="AD426" s="241"/>
      <c r="AE426" s="241"/>
      <c r="AF426" s="241"/>
      <c r="AG426" s="241" t="str">
        <f>IFERROR(__xludf.DUMMYFUNCTION("""COMPUTED_VALUE"""),"Escudo gigante")</f>
        <v>Escudo gigante</v>
      </c>
      <c r="AH426" s="241"/>
      <c r="AI426" s="241" t="str">
        <f>IFERROR(__xludf.DUMMYFUNCTION("""COMPUTED_VALUE"""),"Ominous Charm")</f>
        <v>Ominous Charm</v>
      </c>
      <c r="AJ426" s="242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2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2"/>
      <c r="Y427" s="241" t="str">
        <f>IFERROR(__xludf.DUMMYFUNCTION("""COMPUTED_VALUE"""),"Herança de Azbandar")</f>
        <v>Herança de Azbandar</v>
      </c>
      <c r="Z427" s="241"/>
      <c r="AA427" s="241"/>
      <c r="AB427" s="241"/>
      <c r="AC427" s="241"/>
      <c r="AD427" s="241"/>
      <c r="AE427" s="241"/>
      <c r="AF427" s="241"/>
      <c r="AG427" s="241" t="str">
        <f>IFERROR(__xludf.DUMMYFUNCTION("""COMPUTED_VALUE"""),"Escudo do Aventureiro")</f>
        <v>Escudo do Aventureiro</v>
      </c>
      <c r="AH427" s="241"/>
      <c r="AI427" s="241"/>
      <c r="AJ427" s="242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2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2"/>
      <c r="Y428" s="241" t="str">
        <f>IFERROR(__xludf.DUMMYFUNCTION("""COMPUTED_VALUE"""),"Herança de Família")</f>
        <v>Herança de Família</v>
      </c>
      <c r="Z428" s="241"/>
      <c r="AA428" s="241"/>
      <c r="AB428" s="241"/>
      <c r="AC428" s="241"/>
      <c r="AD428" s="241"/>
      <c r="AE428" s="241"/>
      <c r="AF428" s="241"/>
      <c r="AG428" s="241" t="str">
        <f>IFERROR(__xludf.DUMMYFUNCTION("""COMPUTED_VALUE"""),"Shark Bite")</f>
        <v>Shark Bite</v>
      </c>
      <c r="AH428" s="241"/>
      <c r="AI428" s="241"/>
      <c r="AJ428" s="242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2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2"/>
      <c r="Y429" s="241" t="str">
        <f>IFERROR(__xludf.DUMMYFUNCTION("""COMPUTED_VALUE"""),"Talismã do fogo-gelo")</f>
        <v>Talismã do fogo-gelo</v>
      </c>
      <c r="Z429" s="241"/>
      <c r="AA429" s="241"/>
      <c r="AB429" s="241"/>
      <c r="AC429" s="241"/>
      <c r="AD429" s="241"/>
      <c r="AE429" s="241"/>
      <c r="AF429" s="241"/>
      <c r="AG429" s="241" t="str">
        <f>IFERROR(__xludf.DUMMYFUNCTION("""COMPUTED_VALUE"""),"Buckler de Atena")</f>
        <v>Buckler de Atena</v>
      </c>
      <c r="AH429" s="241"/>
      <c r="AI429" s="241"/>
      <c r="AJ429" s="242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2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2"/>
      <c r="Y430" s="241" t="str">
        <f>IFERROR(__xludf.DUMMYFUNCTION("""COMPUTED_VALUE"""),"Coração de Gaia")</f>
        <v>Coração de Gaia</v>
      </c>
      <c r="Z430" s="241"/>
      <c r="AA430" s="241"/>
      <c r="AB430" s="241"/>
      <c r="AC430" s="241"/>
      <c r="AD430" s="241"/>
      <c r="AE430" s="241"/>
      <c r="AF430" s="241"/>
      <c r="AG430" s="241" t="str">
        <f>IFERROR(__xludf.DUMMYFUNCTION("""COMPUTED_VALUE"""),"Broquel da Medusa")</f>
        <v>Broquel da Medusa</v>
      </c>
      <c r="AH430" s="241"/>
      <c r="AI430" s="241"/>
      <c r="AJ430" s="242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2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2"/>
      <c r="Y431" s="241" t="str">
        <f>IFERROR(__xludf.DUMMYFUNCTION("""COMPUTED_VALUE"""),"Amuleto primordial")</f>
        <v>Amuleto primordial</v>
      </c>
      <c r="Z431" s="241"/>
      <c r="AA431" s="241"/>
      <c r="AB431" s="241"/>
      <c r="AC431" s="241"/>
      <c r="AD431" s="241"/>
      <c r="AE431" s="241"/>
      <c r="AF431" s="241"/>
      <c r="AG431" s="241" t="str">
        <f>IFERROR(__xludf.DUMMYFUNCTION("""COMPUTED_VALUE"""),"Escudo do oráculo")</f>
        <v>Escudo do oráculo</v>
      </c>
      <c r="AH431" s="241"/>
      <c r="AI431" s="241"/>
      <c r="AJ431" s="242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2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2"/>
      <c r="Y432" s="241" t="str">
        <f>IFERROR(__xludf.DUMMYFUNCTION("""COMPUTED_VALUE"""),"Ominous Charm")</f>
        <v>Ominous Charm</v>
      </c>
      <c r="Z432" s="241"/>
      <c r="AA432" s="241"/>
      <c r="AB432" s="241"/>
      <c r="AC432" s="241"/>
      <c r="AD432" s="241"/>
      <c r="AE432" s="241"/>
      <c r="AF432" s="241"/>
      <c r="AG432" s="241" t="str">
        <f>IFERROR(__xludf.DUMMYFUNCTION("""COMPUTED_VALUE"""),"Mãe Natureza")</f>
        <v>Mãe Natureza</v>
      </c>
      <c r="AH432" s="241"/>
      <c r="AI432" s="241"/>
      <c r="AJ432" s="242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2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2"/>
      <c r="Y433" s="241"/>
      <c r="Z433" s="241"/>
      <c r="AA433" s="241"/>
      <c r="AB433" s="241"/>
      <c r="AC433" s="241"/>
      <c r="AD433" s="241"/>
      <c r="AE433" s="241"/>
      <c r="AF433" s="241"/>
      <c r="AG433" s="241" t="str">
        <f>IFERROR(__xludf.DUMMYFUNCTION("""COMPUTED_VALUE"""),"Escudo Meia Lua")</f>
        <v>Escudo Meia Lua</v>
      </c>
      <c r="AH433" s="241"/>
      <c r="AI433" s="241"/>
      <c r="AJ433" s="242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2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2"/>
      <c r="Y434" s="241"/>
      <c r="Z434" s="241"/>
      <c r="AA434" s="241"/>
      <c r="AB434" s="241"/>
      <c r="AC434" s="241"/>
      <c r="AD434" s="241"/>
      <c r="AE434" s="241"/>
      <c r="AF434" s="241"/>
      <c r="AG434" s="241" t="str">
        <f>IFERROR(__xludf.DUMMYFUNCTION("""COMPUTED_VALUE"""),"Celtic Shield")</f>
        <v>Celtic Shield</v>
      </c>
      <c r="AH434" s="241"/>
      <c r="AI434" s="241"/>
      <c r="AJ434" s="242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2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2"/>
      <c r="Y435" s="241"/>
      <c r="Z435" s="241"/>
      <c r="AA435" s="241"/>
      <c r="AB435" s="241"/>
      <c r="AC435" s="241"/>
      <c r="AD435" s="241"/>
      <c r="AE435" s="241"/>
      <c r="AF435" s="241"/>
      <c r="AG435" s="241" t="str">
        <f>IFERROR(__xludf.DUMMYFUNCTION("""COMPUTED_VALUE"""),"Painel Refrator")</f>
        <v>Painel Refrator</v>
      </c>
      <c r="AH435" s="241"/>
      <c r="AI435" s="241"/>
      <c r="AJ435" s="242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2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2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2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2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2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2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2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2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2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2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2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2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2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2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2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2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2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2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2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2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2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2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2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2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2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2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2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2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2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2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2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2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2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2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2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2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2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2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2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2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2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2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2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2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2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2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2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2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2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2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2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2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2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2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2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2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2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2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2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2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2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2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2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2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2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2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2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2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2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2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2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2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2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2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2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2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2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2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2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2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2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2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2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2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2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2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2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2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2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2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2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2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2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2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2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2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2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2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2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2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2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2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2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2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2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2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2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2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2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2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2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2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2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2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2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2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2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2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2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2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2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2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2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2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2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2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2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2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2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2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2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2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2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2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2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2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2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2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2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2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2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2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2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2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2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2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2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2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2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2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2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2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2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2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2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2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2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2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2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2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2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2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2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2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2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2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2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2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2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2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2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2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2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2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2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2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2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2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2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2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2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2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2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2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2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2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2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2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2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2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2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2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2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2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2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2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2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2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2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2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2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2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2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2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2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2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2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2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2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2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2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2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2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2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2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2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2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2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2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2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2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2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2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2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2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2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2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2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2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2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2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2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2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2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2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2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2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2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2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2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2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2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2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2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2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2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2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2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2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2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2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2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2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2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2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2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2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2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2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2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2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2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2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2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2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2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2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2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2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2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2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2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2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2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2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2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2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2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2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2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2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2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2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2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2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2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2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2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2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2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2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2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2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2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2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2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2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2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2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2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2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2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2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2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2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2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2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2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2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2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2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2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2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2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2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2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2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2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2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2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2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2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2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2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2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2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2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2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2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2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2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2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2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2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2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2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2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2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2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2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2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2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2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2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2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2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2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2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2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2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2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2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2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2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2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2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2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2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2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2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2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2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2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2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2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2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2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2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2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2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2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2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2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2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2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2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2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2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2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2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2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2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2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2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2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2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2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2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2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2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2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2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2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2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2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2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2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2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2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2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2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2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2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2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2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2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2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2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2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2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2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2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2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2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2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2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2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2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2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2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2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2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2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2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2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2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2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2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2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2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2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2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2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2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2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2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2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2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2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2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2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2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2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2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2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2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2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2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2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2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2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2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2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2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2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2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2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2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2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2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2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2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2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2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2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2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2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2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2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2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2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2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2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2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2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2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2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2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2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2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2"/>
    </row>
    <row r="597" hidden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2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2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2"/>
    </row>
    <row r="598" hidden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2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2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2"/>
    </row>
    <row r="599" hidden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2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2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2"/>
    </row>
    <row r="600" hidden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2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2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2"/>
    </row>
    <row r="601" hidden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2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2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2"/>
    </row>
    <row r="602" hidden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2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2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2"/>
    </row>
    <row r="603" hidden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2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2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2"/>
    </row>
    <row r="604" hidden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2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2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2"/>
    </row>
    <row r="605" hidden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2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2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2"/>
    </row>
    <row r="606" hidden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2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2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2"/>
    </row>
    <row r="607" hidden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2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2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2"/>
    </row>
    <row r="608" hidden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2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2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2"/>
    </row>
    <row r="609" hidden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2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2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2"/>
    </row>
    <row r="610" hidden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2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2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2"/>
    </row>
    <row r="611" hidden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2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2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2"/>
    </row>
    <row r="612" hidden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2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2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2"/>
    </row>
    <row r="613" hidden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2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2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2"/>
    </row>
    <row r="614" hidden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2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2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2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2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2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2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2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2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2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2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2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2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2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2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2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2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2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2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2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2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2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2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2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2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2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2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2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2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2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2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2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2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2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2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2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2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2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2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2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2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2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2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2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2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2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2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2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2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2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2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2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2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2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2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2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2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2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2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2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2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2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2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2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2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2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2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2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2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2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2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2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2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2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2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2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2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2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2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2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2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2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2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2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2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2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2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2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2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2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2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2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2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2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2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2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2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2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2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2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2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2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2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2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2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2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2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2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2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2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2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2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2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2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2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2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2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2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2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2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2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2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2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2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2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2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2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2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2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2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2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2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2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2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2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2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2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2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2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2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2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2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2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2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2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2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2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2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2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2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2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2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2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2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2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2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2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2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2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2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2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2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2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2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2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2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2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2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2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2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2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2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2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2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2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2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2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2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2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2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2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2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2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2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2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2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2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2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2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2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2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2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2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2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2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2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2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2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2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2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2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2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2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2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2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2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2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2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2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2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2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2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2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2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2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2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2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2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2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2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2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2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2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2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2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2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2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2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2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2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2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2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2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2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2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2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2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2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2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2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2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2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2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2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2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2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2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2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2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2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2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2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2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2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2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2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2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2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2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2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2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2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2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2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2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2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2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2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2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2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2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2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2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2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2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2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2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2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2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2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2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2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2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2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2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2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2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2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2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2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2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2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2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2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2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2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2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2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2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2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2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2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2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2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2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2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2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2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2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2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2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2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2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2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2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2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2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2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2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2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2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2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2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2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2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2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2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2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2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2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2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2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2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2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2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2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2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2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2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2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2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2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2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2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2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2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2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2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2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2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2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2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2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2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2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2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2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2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2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2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2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2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2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2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2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2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2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2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2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2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2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2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2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2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2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2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2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2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2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2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2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2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2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2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2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2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2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2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2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2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2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2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2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2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2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2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2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2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2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2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2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2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2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2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2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2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2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2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2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2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2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2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2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2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2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2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2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2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2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2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2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2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2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2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2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2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2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2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2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2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2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2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2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2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2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2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2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2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2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2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2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2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2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2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  <c r="AA763" s="242"/>
      <c r="AB763" s="242"/>
      <c r="AC763" s="242"/>
      <c r="AD763" s="242"/>
      <c r="AE763" s="242"/>
      <c r="AF763" s="242"/>
      <c r="AG763" s="242"/>
      <c r="AH763" s="242"/>
      <c r="AI763" s="242"/>
      <c r="AJ763" s="242"/>
    </row>
    <row r="764">
      <c r="A764" s="241" t="str">
        <f>IFERROR(__xludf.DUMMYFUNCTION("if('Time 1'!C3 = ""Albert"", query(IMPORTRANGE(cd_planilha, ""Armas!B3:G""), ""Select Col1 Where Col2 = '""&amp;Personagem!$B$17&amp;""' or Col2 = '""&amp;Personagem!$B$18&amp;""'""),     
if('Time 1'!C3 = ""Alicia"", query(IMPORTRANGE(cd_planilha, ""Armas!B3:G""), ""Sel"&amp;"ect Col1 Where Col2 = '""&amp;Personagem!$C$17&amp;""' or Col2 = '""&amp;Personagem!$C$18&amp;""'""),
if('Time 1'!C3 = ""Azula"", query(IMPORTRANGE(cd_planilha, ""Armas!B3:G""), ""Select Col1 Where Col2 = '""&amp;Personagem!$D$17&amp;""' or Col2 = '""&amp;Personagem!$D$18&amp;""' ""),
i"&amp;"f('Time 1'!C3 = ""Charles"", query(IMPORTRANGE(cd_planilha, ""Armas!B3:G""), ""Select Col1 Where Col2 = '""&amp;Personagem!$E$17&amp;""' or Col2 = '""&amp;Personagem!$E$18&amp;""'""),
if('Time 1'!C3 = ""Clovis"", query(IMPORTRANGE(cd_planilha, ""Armas!B3:G""), ""Select C"&amp;"ol1 Where Col2 = '""&amp;Personagem!$F$17&amp;""' or Col2 = '""&amp;Personagem!$F$18&amp;""' ""),
if('Time 1'!C3 = ""Darthos"", query(IMPORTRANGE(cd_planilha, ""Armas!B3:G""), ""Select Col1 Where Col2 = '""&amp;Personagem!$G$17&amp;""' or Col2 = '""&amp;Personagem!$G$18&amp;""'""),
if('"&amp;"Time 1'!C3 = ""Edward"", query(IMPORTRANGE(cd_planilha, ""Armas!B3:G""), ""Select Col1 Where Col2 = '""&amp;Personagem!$H$17&amp;""' or Col2 = '""&amp;Personagem!$H$18&amp;""' ""),
if('Time 1'!C3 = ""Fiora"", query(IMPORTRANGE(cd_planilha, ""Armas!B3:G""), ""Select Col1 "&amp;"Where Col2 = '""&amp;Personagem!$I$17&amp;""' or Col2 = '""&amp;Personagem!$I$18&amp;""' ""),
if('Time 1'!C3 = ""Francesca"", query(IMPORTRANGE(cd_planilha, ""Armas!B3:G""), ""Select Col1 Where Col2 = '""&amp;Personagem!$J$17&amp;""' or Col2 = '""&amp;Personagem!$J$18&amp;""'""),
if('Ti"&amp;"me 1'!C3 = ""Garreth"", query(IMPORTRANGE(cd_planilha, ""Armas!B3:G""), ""Select Col1 Where Col2 = '""&amp;Personagem!$K$17&amp;""' or Col2 = '""&amp;Personagem!$K$18&amp;""'""),
if('Time 1'!C3 = ""Gauvin"", query(IMPORTRANGE(cd_planilha, ""Armas!B3:G""), ""Select Col1 W"&amp;"here Col2 = '""&amp;Personagem!$L$17&amp;""' or Col2 = '""&amp;Personagem!$L$18&amp;""' ""),
if('Time 1'!C3 = ""Irene"", query(IMPORTRANGE(cd_planilha, ""Armas!B3:G""), ""Select Col1 Where Col2 = '""&amp;Personagem!$M$17&amp;""' or Col2 = '""&amp;Personagem!$M$18&amp;""' ""),
if('Time 1"&amp;"'!C3 = ""Karal"", query(IMPORTRANGE(cd_planilha, ""Armas!B3:G""), ""Select Col1 Where Col2 = '""&amp;Personagem!$N$17&amp;""' or Col2 = '""&amp;Personagem!$N$18&amp;""' ""),
if('Time 1'!C3 = ""Kuro Shobi"", query(IMPORTRANGE(cd_planilha, ""Armas!B3:G""), ""Select Col1 Wh"&amp;"ere Col2 = '""&amp;Personagem!$O$17&amp;""' or Col2 = '""&amp;Personagem!$O$18&amp;""'""),
if('Time 1'!C3 = ""Kurul"", query(IMPORTRANGE(cd_planilha, ""Armas!B3:G""), ""Select Col1 Where Col2 = '""&amp;Personagem!$P$17&amp;""' or Col2 = '""&amp;Personagem!$P$18&amp;""' ""),
if('Time 1'!"&amp;"C3 = ""Lancaster"", query(IMPORTRANGE(cd_planilha, ""Armas!B3:G""), ""Select Col1 Where Col2 = '""&amp;Personagem!$Q$17&amp;""' or Col2 = '""&amp;Personagem!$Q$18&amp;""'""),
if('Time 1'!C3 = ""Lorelei"", query(IMPORTRANGE(cd_planilha, ""Armas!B3:G""), ""Select Col1 Wher"&amp;"e Col2 = '""&amp;Personagem!$R$17&amp;""' or Col2 = '""&amp;Personagem!$R$18&amp;""' ""),
if('Time 1'!C3 = ""Louca"", query(IMPORTRANGE(cd_planilha, ""Armas!B3:G""), ""Select Col1 Where Col2 = '""&amp;Personagem!$S$17&amp;""' or Col2 = '""&amp;Personagem!$S$18&amp;""' ""),
if('Time 1'!C"&amp;"3 = ""Melina"", query(IMPORTRANGE(cd_planilha, ""Armas!B3:G""), ""Select Col1 Where Col2 = '""&amp;Personagem!$T$17&amp;""' or Col2 = '""&amp;Personagem!$T$18&amp;""'""),
if('Time 1'!C3 = ""Mila"", query(IMPORTRANGE(cd_planilha, ""Armas!B3:G""), ""Select Col1 Where Col2 "&amp;"= '""&amp;Personagem!$U$17&amp;""' or Col2 = '""&amp;Personagem!$U$18&amp;""' ""),
if('Time 1'!C3 = ""Minh"", query(IMPORTRANGE(cd_planilha, ""Armas!B3:G""), ""Select Col1 Where Col2 = '""&amp;Personagem!$V$17&amp;""' or Col2 = '""&amp;Personagem!$V$18&amp;""' ""),
if('Time 1'!C3 = ""Mo"&amp;"jian"", query(IMPORTRANGE(cd_planilha, ""Armas!B3:G""), ""Select Col1 Where Col2 = '""&amp;Personagem!$W$17&amp;""' or Col2 = '""&amp;Personagem!$W$18&amp;""'""),
if('Time 1'!C3 = ""Nya"", query(IMPORTRANGE(cd_planilha, ""Armas!B3:G""), ""Select Col1 Where Col2 = '""&amp;Per"&amp;"sonagem!$X$17&amp;""' or Col2 = '""&amp;Personagem!$X$18&amp;""' ""),
if('Time 1'!C3 = ""Odette"", query(IMPORTRANGE(cd_planilha, ""Armas!B3:G""), ""Select Col1 Where Col2 = '""&amp;Personagem!$Y$17&amp;""' or Col2 = '""&amp;Personagem!$Y$18&amp;""'""),
if('Time 1'!C3 = ""Oneira"", "&amp;"query(IMPORTRANGE(cd_planilha, ""Armas!B3:G""), ""Select Col1 Where Col2 = '""&amp;Personagem!$Z$17&amp;""' or Col2 = '""&amp;Personagem!$Z$18&amp;""' ""),
if('Time 1'!C3 = ""Palash"", query(IMPORTRANGE(cd_planilha, ""Armas!B3:G""), ""Select Col1 Where Col2 = '""&amp;Persona"&amp;"gem!$AA$17&amp;""' or Col2 = '""&amp;Personagem!$AA$18&amp;""'""),
if('Time 1'!C3 = ""Theor"", query(IMPORTRANGE(cd_planilha, ""Armas!B3:G""), ""Select Col1 Where Col2 = '""&amp;Personagem!$AB$17&amp;""' or Col2 = '""&amp;Personagem!$AB$18&amp;""' ""),
if('Time 1'!C3 = ""Yue"", quer"&amp;"y(IMPORTRANGE(cd_planilha, ""Armas!B3:G""), ""Select Col1 Where Col2 = '""&amp;Personagem!$AC$17&amp;""' or Col2 = '""&amp;Personagem!$AC$18&amp;""'""
)))))))))))))))))))))))))))))"),"Pó Colorido")</f>
        <v>Pó Colorido</v>
      </c>
      <c r="B764" s="241"/>
      <c r="C764" s="241" t="str">
        <f>IFERROR(__xludf.DUMMYFUNCTION("if('Time 1'!C4 = ""Albert"", query(IMPORTRANGE(cd_planilha, ""Armas!B3:G""), ""Select Col1 Where Col2 = '""&amp;Personagem!$B$17&amp;""' or Col2 = '""&amp;Personagem!$B$18&amp;""'""),     
if('Time 1'!C4 = ""Alicia"", query(IMPORTRANGE(cd_planilha, ""Armas!B3:G""), ""Sel"&amp;"ect Col1 Where Col2 = '""&amp;Personagem!$C$17&amp;""' or Col2 = '""&amp;Personagem!$C$18&amp;""'""),
if('Time 1'!C4 = ""Azula"", query(IMPORTRANGE(cd_planilha, ""Armas!B3:G""), ""Select Col1 Where Col2 = '""&amp;Personagem!$D$17&amp;""' or Col2 = '""&amp;Personagem!$D$18&amp;""' ""),
i"&amp;"f('Time 1'!C4 = ""Charles"", query(IMPORTRANGE(cd_planilha, ""Armas!B3:G""), ""Select Col1 Where Col2 = '""&amp;Personagem!$E$17&amp;""' or Col2 = '""&amp;Personagem!$E$18&amp;""'""),
if('Time 1'!C4 = ""Clovis"", query(IMPORTRANGE(cd_planilha, ""Armas!B3:G""), ""Select C"&amp;"ol1 Where Col2 = '""&amp;Personagem!$F$17&amp;""' or Col2 = '""&amp;Personagem!$F$18&amp;""' ""),
if('Time 1'!C4 = ""Darthos"", query(IMPORTRANGE(cd_planilha, ""Armas!B3:G""), ""Select Col1 Where Col2 = '""&amp;Personagem!$G$17&amp;""' or Col2 = '""&amp;Personagem!$G$18&amp;""'""),
if('"&amp;"Time 1'!C4 = ""Edward"", query(IMPORTRANGE(cd_planilha, ""Armas!B3:G""), ""Select Col1 Where Col2 = '""&amp;Personagem!$H$17&amp;""' or Col2 = '""&amp;Personagem!$H$18&amp;""' ""),
if('Time 1'!C4 = ""Fiora"", query(IMPORTRANGE(cd_planilha, ""Armas!B3:G""), ""Select Col1 "&amp;"Where Col2 = '""&amp;Personagem!$I$17&amp;""' or Col2 = '""&amp;Personagem!$I$18&amp;""' ""),
if('Time 1'!C4 = ""Francesca"", query(IMPORTRANGE(cd_planilha, ""Armas!B3:G""), ""Select Col1 Where Col2 = '""&amp;Personagem!$J$17&amp;""' or Col2 = '""&amp;Personagem!$J$18&amp;""'""),
if('Ti"&amp;"me 1'!C4 = ""Garreth"", query(IMPORTRANGE(cd_planilha, ""Armas!B3:G""), ""Select Col1 Where Col2 = '""&amp;Personagem!$K$17&amp;""' or Col2 = '""&amp;Personagem!$K$18&amp;""'""),
if('Time 1'!C4 = ""Gauvin"", query(IMPORTRANGE(cd_planilha, ""Armas!B3:G""), ""Select Col1 W"&amp;"here Col2 = '""&amp;Personagem!$L$17&amp;""' or Col2 = '""&amp;Personagem!$L$18&amp;""' ""),
if('Time 1'!C4 = ""Irene"", query(IMPORTRANGE(cd_planilha, ""Armas!B3:G""), ""Select Col1 Where Col2 = '""&amp;Personagem!$M$17&amp;""' or Col2 = '""&amp;Personagem!$M$18&amp;""' ""),
if('Time 1"&amp;"'!C4 = ""Karal"", query(IMPORTRANGE(cd_planilha, ""Armas!B3:G""), ""Select Col1 Where Col2 = '""&amp;Personagem!$N$17&amp;""' or Col2 = '""&amp;Personagem!$N$18&amp;""' ""),
if('Time 1'!C4 = ""Kuro Shobi"", query(IMPORTRANGE(cd_planilha, ""Armas!B3:G""), ""Select Col1 Wh"&amp;"ere Col2 = '""&amp;Personagem!$O$17&amp;""' or Col2 = '""&amp;Personagem!$O$18&amp;""'""),
if('Time 1'!C4 = ""Kurul"", query(IMPORTRANGE(cd_planilha, ""Armas!B3:G""), ""Select Col1 Where Col2 = '""&amp;Personagem!$P$17&amp;""' or Col2 = '""&amp;Personagem!$P$18&amp;""' ""),
if('Time 1'!"&amp;"C4 = ""Lancaster"", query(IMPORTRANGE(cd_planilha, ""Armas!B3:G""), ""Select Col1 Where Col2 = '""&amp;Personagem!$Q$17&amp;""' or Col2 = '""&amp;Personagem!$Q$18&amp;""'""),
if('Time 1'!C4 = ""Lorelei"", query(IMPORTRANGE(cd_planilha, ""Armas!B3:G""), ""Select Col1 Wher"&amp;"e Col2 = '""&amp;Personagem!$R$17&amp;""' or Col2 = '""&amp;Personagem!$R$18&amp;""' ""),
if('Time 1'!C4 = ""Louca"", query(IMPORTRANGE(cd_planilha, ""Armas!B3:G""), ""Select Col1 Where Col2 = '""&amp;Personagem!$S$17&amp;""' or Col2 = '""&amp;Personagem!$S$18&amp;""' ""),
if('Time 1'!C"&amp;"4 = ""Melina"", query(IMPORTRANGE(cd_planilha, ""Armas!B3:G""), ""Select Col1 Where Col2 = '""&amp;Personagem!$T$17&amp;""' or Col2 = '""&amp;Personagem!$T$18&amp;""'""),
if('Time 1'!C4 = ""Mila"", query(IMPORTRANGE(cd_planilha, ""Armas!B3:G""), ""Select Col1 Where Col2 "&amp;"= '""&amp;Personagem!$U$17&amp;""' or Col2 = '""&amp;Personagem!$U$18&amp;""' ""),
if('Time 1'!C4 = ""Minh"", query(IMPORTRANGE(cd_planilha, ""Armas!B3:G""), ""Select Col1 Where Col2 = '""&amp;Personagem!$V$17&amp;""' or Col2 = '""&amp;Personagem!$V$18&amp;""' ""),
if('Time 1'!C4 = ""Mo"&amp;"jian"", query(IMPORTRANGE(cd_planilha, ""Armas!B3:G""), ""Select Col1 Where Col2 = '""&amp;Personagem!$W$17&amp;""' or Col2 = '""&amp;Personagem!$W$18&amp;""'""),
if('Time 1'!C4 = ""Nya"", query(IMPORTRANGE(cd_planilha, ""Armas!B3:G""), ""Select Col1 Where Col2 = '""&amp;Per"&amp;"sonagem!$X$17&amp;""' or Col2 = '""&amp;Personagem!$X$18&amp;""' ""),
if('Time 1'!C4 = ""Odette"", query(IMPORTRANGE(cd_planilha, ""Armas!B3:G""), ""Select Col1 Where Col2 = '""&amp;Personagem!$Y$17&amp;""' or Col2 = '""&amp;Personagem!$Y$18&amp;""'""),
if('Time 1'!C4 = ""Oneira"", "&amp;"query(IMPORTRANGE(cd_planilha, ""Armas!B3:G""), ""Select Col1 Where Col2 = '""&amp;Personagem!$Z$17&amp;""' or Col2 = '""&amp;Personagem!$Z$18&amp;""' ""),
if('Time 1'!C4 = ""Palash"", query(IMPORTRANGE(cd_planilha, ""Armas!B3:G""), ""Select Col1 Where Col2 = '""&amp;Persona"&amp;"gem!$AA$17&amp;""' or Col2 = '""&amp;Personagem!$AA$18&amp;""'""),
if('Time 1'!C4 = ""Theor"", query(IMPORTRANGE(cd_planilha, ""Armas!B3:G""), ""Select Col1 Where Col2 = '""&amp;Personagem!$AB$17&amp;""' or Col2 = '""&amp;Personagem!$AB$18&amp;""' ""),
if('Time 1'!C4 = ""Yue"", quer"&amp;"y(IMPORTRANGE(cd_planilha, ""Armas!B3:G""), ""Select Col1 Where Col2 = '""&amp;Personagem!$AC$17&amp;""' or Col2 = '""&amp;Personagem!$AC$18&amp;""'""
)))))))))))))))))))))))))))))"),"Totem da Dor")</f>
        <v>Totem da Dor</v>
      </c>
      <c r="D764" s="241"/>
      <c r="E764" s="241" t="str">
        <f>IFERROR(__xludf.DUMMYFUNCTION("if('Time 1'!C5 = ""Albert"", query(IMPORTRANGE(cd_planilha, ""Armas!B3:G""), ""Select Col1 Where Col2 = '""&amp;Personagem!$B$17&amp;""' or Col2 = '""&amp;Personagem!$B$18&amp;""'""),     
if('Time 1'!C5 = ""Alicia"", query(IMPORTRANGE(cd_planilha, ""Armas!B3:G""), ""Sel"&amp;"ect Col1 Where Col2 = '""&amp;Personagem!$C$17&amp;""' or Col2 = '""&amp;Personagem!$C$18&amp;""'""),
if('Time 1'!C5 = ""Azula"", query(IMPORTRANGE(cd_planilha, ""Armas!B3:G""), ""Select Col1 Where Col2 = '""&amp;Personagem!$D$17&amp;""' or Col2 = '""&amp;Personagem!$D$18&amp;""' ""),
i"&amp;"f('Time 1'!C5 = ""Charles"", query(IMPORTRANGE(cd_planilha, ""Armas!B3:G""), ""Select Col1 Where Col2 = '""&amp;Personagem!$E$17&amp;""' or Col2 = '""&amp;Personagem!$E$18&amp;""'""),
if('Time 1'!C5 = ""Clovis"", query(IMPORTRANGE(cd_planilha, ""Armas!B3:G""), ""Select C"&amp;"ol1 Where Col2 = '""&amp;Personagem!$F$17&amp;""' or Col2 = '""&amp;Personagem!$F$18&amp;""' ""),
if('Time 1'!C5 = ""Darthos"", query(IMPORTRANGE(cd_planilha, ""Armas!B3:G""), ""Select Col1 Where Col2 = '""&amp;Personagem!$G$17&amp;""' or Col2 = '""&amp;Personagem!$G$18&amp;""'""),
if('"&amp;"Time 1'!C5 = ""Edward"", query(IMPORTRANGE(cd_planilha, ""Armas!B3:G""), ""Select Col1 Where Col2 = '""&amp;Personagem!$H$17&amp;""' or Col2 = '""&amp;Personagem!$H$18&amp;""' ""),
if('Time 1'!C5 = ""Fiora"", query(IMPORTRANGE(cd_planilha, ""Armas!B3:G""), ""Select Col1 "&amp;"Where Col2 = '""&amp;Personagem!$I$17&amp;""' or Col2 = '""&amp;Personagem!$I$18&amp;""' ""),
if('Time 1'!C5 = ""Francesca"", query(IMPORTRANGE(cd_planilha, ""Armas!B3:G""), ""Select Col1 Where Col2 = '""&amp;Personagem!$J$17&amp;""' or Col2 = '""&amp;Personagem!$J$18&amp;""'""),
if('Ti"&amp;"me 1'!C5 = ""Garreth"", query(IMPORTRANGE(cd_planilha, ""Armas!B3:G""), ""Select Col1 Where Col2 = '""&amp;Personagem!$K$17&amp;""' or Col2 = '""&amp;Personagem!$K$18&amp;""'""),
if('Time 1'!C5 = ""Gauvin"", query(IMPORTRANGE(cd_planilha, ""Armas!B3:G""), ""Select Col1 W"&amp;"here Col2 = '""&amp;Personagem!$L$17&amp;""' or Col2 = '""&amp;Personagem!$L$18&amp;""' ""),
if('Time 1'!C5 = ""Irene"", query(IMPORTRANGE(cd_planilha, ""Armas!B3:G""), ""Select Col1 Where Col2 = '""&amp;Personagem!$M$17&amp;""' or Col2 = '""&amp;Personagem!$M$18&amp;""' ""),
if('Time 1"&amp;"'!C5 = ""Karal"", query(IMPORTRANGE(cd_planilha, ""Armas!B3:G""), ""Select Col1 Where Col2 = '""&amp;Personagem!$N$17&amp;""' or Col2 = '""&amp;Personagem!$N$18&amp;""' ""),
if('Time 1'!C5 = ""Kuro Shobi"", query(IMPORTRANGE(cd_planilha, ""Armas!B3:G""), ""Select Col1 Wh"&amp;"ere Col2 = '""&amp;Personagem!$O$17&amp;""' or Col2 = '""&amp;Personagem!$O$18&amp;""'""),
if('Time 1'!C5 = ""Kurul"", query(IMPORTRANGE(cd_planilha, ""Armas!B3:G""), ""Select Col1 Where Col2 = '""&amp;Personagem!$P$17&amp;""' or Col2 = '""&amp;Personagem!$P$18&amp;""' ""),
if('Time 1'!"&amp;"C5 = ""Lancaster"", query(IMPORTRANGE(cd_planilha, ""Armas!B3:G""), ""Select Col1 Where Col2 = '""&amp;Personagem!$Q$17&amp;""' or Col2 = '""&amp;Personagem!$Q$18&amp;""'""),
if('Time 1'!C5 = ""Lorelei"", query(IMPORTRANGE(cd_planilha, ""Armas!B3:G""), ""Select Col1 Wher"&amp;"e Col2 = '""&amp;Personagem!$R$17&amp;""' or Col2 = '""&amp;Personagem!$R$18&amp;""' ""),
if('Time 1'!C5 = ""Louca"", query(IMPORTRANGE(cd_planilha, ""Armas!B3:G""), ""Select Col1 Where Col2 = '""&amp;Personagem!$S$17&amp;""' or Col2 = '""&amp;Personagem!$S$18&amp;""' ""),
if('Time 1'!C"&amp;"5 = ""Melina"", query(IMPORTRANGE(cd_planilha, ""Armas!B3:G""), ""Select Col1 Where Col2 = '""&amp;Personagem!$T$17&amp;""' or Col2 = '""&amp;Personagem!$T$18&amp;""'""),
if('Time 1'!C5 = ""Mila"", query(IMPORTRANGE(cd_planilha, ""Armas!B3:G""), ""Select Col1 Where Col2 "&amp;"= '""&amp;Personagem!$U$17&amp;""' or Col2 = '""&amp;Personagem!$U$18&amp;""' ""),
if('Time 1'!C5 = ""Minh"", query(IMPORTRANGE(cd_planilha, ""Armas!B3:G""), ""Select Col1 Where Col2 = '""&amp;Personagem!$V$17&amp;""' or Col2 = '""&amp;Personagem!$V$18&amp;""' ""),
if('Time 1'!C5 = ""Mo"&amp;"jian"", query(IMPORTRANGE(cd_planilha, ""Armas!B3:G""), ""Select Col1 Where Col2 = '""&amp;Personagem!$W$17&amp;""' or Col2 = '""&amp;Personagem!$W$18&amp;""'""),
if('Time 1'!C5 = ""Nya"", query(IMPORTRANGE(cd_planilha, ""Armas!B3:G""), ""Select Col1 Where Col2 = '""&amp;Per"&amp;"sonagem!$X$17&amp;""' or Col2 = '""&amp;Personagem!$X$18&amp;""' ""),
if('Time 1'!C5 = ""Odette"", query(IMPORTRANGE(cd_planilha, ""Armas!B3:G""), ""Select Col1 Where Col2 = '""&amp;Personagem!$Y$17&amp;""' or Col2 = '""&amp;Personagem!$Y$18&amp;""'""),
if('Time 1'!C5 = ""Oneira"", "&amp;"query(IMPORTRANGE(cd_planilha, ""Armas!B3:G""), ""Select Col1 Where Col2 = '""&amp;Personagem!$Z$17&amp;""' or Col2 = '""&amp;Personagem!$Z$18&amp;""' ""),
if('Time 1'!C5 = ""Palash"", query(IMPORTRANGE(cd_planilha, ""Armas!B3:G""), ""Select Col1 Where Col2 = '""&amp;Persona"&amp;"gem!$AA$17&amp;""' or Col2 = '""&amp;Personagem!$AA$18&amp;""'""),
if('Time 1'!C5 = ""Theor"", query(IMPORTRANGE(cd_planilha, ""Armas!B3:G""), ""Select Col1 Where Col2 = '""&amp;Personagem!$AB$17&amp;""' or Col2 = '""&amp;Personagem!$AB$18&amp;""' ""),
if('Time 1'!C5 = ""Yue"", quer"&amp;"y(IMPORTRANGE(cd_planilha, ""Armas!B3:G""), ""Select Col1 Where Col2 = '""&amp;Personagem!$AC$17&amp;""' or Col2 = '""&amp;Personagem!$AC$18&amp;""'""
)))))))))))))))))))))))))))))"),"Totem da Dor")</f>
        <v>Totem da Dor</v>
      </c>
      <c r="F764" s="241"/>
      <c r="G764" s="241" t="str">
        <f>IFERROR(__xludf.DUMMYFUNCTION("if('Time 1'!C6 = ""Albert"", query(IMPORTRANGE(cd_planilha, ""Armas!B3:G""), ""Select Col1 Where Col2 = '""&amp;Personagem!$B$17&amp;""' or Col2 = '""&amp;Personagem!$B$18&amp;""'""),     
if('Time 1'!C6 = ""Alicia"", query(IMPORTRANGE(cd_planilha, ""Armas!B3:G""), ""Sel"&amp;"ect Col1 Where Col2 = '""&amp;Personagem!$C$17&amp;""' or Col2 = '""&amp;Personagem!$C$18&amp;""'""),
if('Time 1'!C6 = ""Azula"", query(IMPORTRANGE(cd_planilha, ""Armas!B3:G""), ""Select Col1 Where Col2 = '""&amp;Personagem!$D$17&amp;""' or Col2 = '""&amp;Personagem!$D$18&amp;""' ""),
i"&amp;"f('Time 1'!C6 = ""Charles"", query(IMPORTRANGE(cd_planilha, ""Armas!B3:G""), ""Select Col1 Where Col2 = '""&amp;Personagem!$E$17&amp;""' or Col2 = '""&amp;Personagem!$E$18&amp;""'""),
if('Time 1'!C6 = ""Clovis"", query(IMPORTRANGE(cd_planilha, ""Armas!B3:G""), ""Select C"&amp;"ol1 Where Col2 = '""&amp;Personagem!$F$17&amp;""' or Col2 = '""&amp;Personagem!$F$18&amp;""' ""),
if('Time 1'!C6 = ""Darthos"", query(IMPORTRANGE(cd_planilha, ""Armas!B3:G""), ""Select Col1 Where Col2 = '""&amp;Personagem!$G$17&amp;""' or Col2 = '""&amp;Personagem!$G$18&amp;""'""),
if('"&amp;"Time 1'!C6 = ""Edward"", query(IMPORTRANGE(cd_planilha, ""Armas!B3:G""), ""Select Col1 Where Col2 = '""&amp;Personagem!$H$17&amp;""' or Col2 = '""&amp;Personagem!$H$18&amp;""' ""),
if('Time 1'!C6 = ""Fiora"", query(IMPORTRANGE(cd_planilha, ""Armas!B3:G""), ""Select Col1 "&amp;"Where Col2 = '""&amp;Personagem!$I$17&amp;""' or Col2 = '""&amp;Personagem!$I$18&amp;""' ""),
if('Time 1'!C6 = ""Francesca"", query(IMPORTRANGE(cd_planilha, ""Armas!B3:G""), ""Select Col1 Where Col2 = '""&amp;Personagem!$J$17&amp;""' or Col2 = '""&amp;Personagem!$J$18&amp;""'""),
if('Ti"&amp;"me 1'!C6 = ""Garreth"", query(IMPORTRANGE(cd_planilha, ""Armas!B3:G""), ""Select Col1 Where Col2 = '""&amp;Personagem!$K$17&amp;""' or Col2 = '""&amp;Personagem!$K$18&amp;""'""),
if('Time 1'!C6 = ""Gauvin"", query(IMPORTRANGE(cd_planilha, ""Armas!B3:G""), ""Select Col1 W"&amp;"here Col2 = '""&amp;Personagem!$L$17&amp;""' or Col2 = '""&amp;Personagem!$L$18&amp;""' ""),
if('Time 1'!C6 = ""Irene"", query(IMPORTRANGE(cd_planilha, ""Armas!B3:G""), ""Select Col1 Where Col2 = '""&amp;Personagem!$M$17&amp;""' or Col2 = '""&amp;Personagem!$M$18&amp;""' ""),
if('Time 1"&amp;"'!C6 = ""Karal"", query(IMPORTRANGE(cd_planilha, ""Armas!B3:G""), ""Select Col1 Where Col2 = '""&amp;Personagem!$N$17&amp;""' or Col2 = '""&amp;Personagem!$N$18&amp;""' ""),
if('Time 1'!C6 = ""Kuro Shobi"", query(IMPORTRANGE(cd_planilha, ""Armas!B3:G""), ""Select Col1 Wh"&amp;"ere Col2 = '""&amp;Personagem!$O$17&amp;""' or Col2 = '""&amp;Personagem!$O$18&amp;""'""),
if('Time 1'!C6 = ""Kurul"", query(IMPORTRANGE(cd_planilha, ""Armas!B3:G""), ""Select Col1 Where Col2 = '""&amp;Personagem!$P$17&amp;""' or Col2 = '""&amp;Personagem!$P$18&amp;""' ""),
if('Time 1'!"&amp;"C6 = ""Lancaster"", query(IMPORTRANGE(cd_planilha, ""Armas!B3:G""), ""Select Col1 Where Col2 = '""&amp;Personagem!$Q$17&amp;""' or Col2 = '""&amp;Personagem!$Q$18&amp;""'""),
if('Time 1'!C6 = ""Lorelei"", query(IMPORTRANGE(cd_planilha, ""Armas!B3:G""), ""Select Col1 Wher"&amp;"e Col2 = '""&amp;Personagem!$R$17&amp;""' or Col2 = '""&amp;Personagem!$R$18&amp;""' ""),
if('Time 1'!C6 = ""Louca"", query(IMPORTRANGE(cd_planilha, ""Armas!B3:G""), ""Select Col1 Where Col2 = '""&amp;Personagem!$S$17&amp;""' or Col2 = '""&amp;Personagem!$S$18&amp;""' ""),
if('Time 1'!C"&amp;"6 = ""Melina"", query(IMPORTRANGE(cd_planilha, ""Armas!B3:G""), ""Select Col1 Where Col2 = '""&amp;Personagem!$T$17&amp;""' or Col2 = '""&amp;Personagem!$T$18&amp;""'""),
if('Time 1'!C6 = ""Mila"", query(IMPORTRANGE(cd_planilha, ""Armas!B3:G""), ""Select Col1 Where Col2 "&amp;"= '""&amp;Personagem!$U$17&amp;""' or Col2 = '""&amp;Personagem!$U$18&amp;""' ""),
if('Time 1'!C6 = ""Minh"", query(IMPORTRANGE(cd_planilha, ""Armas!B3:G""), ""Select Col1 Where Col2 = '""&amp;Personagem!$V$17&amp;""' or Col2 = '""&amp;Personagem!$V$18&amp;""' ""),
if('Time 1'!C6 = ""Mo"&amp;"jian"", query(IMPORTRANGE(cd_planilha, ""Armas!B3:G""), ""Select Col1 Where Col2 = '""&amp;Personagem!$W$17&amp;""' or Col2 = '""&amp;Personagem!$W$18&amp;""'""),
if('Time 1'!C6 = ""Nya"", query(IMPORTRANGE(cd_planilha, ""Armas!B3:G""), ""Select Col1 Where Col2 = '""&amp;Per"&amp;"sonagem!$X$17&amp;""' or Col2 = '""&amp;Personagem!$X$18&amp;""' ""),
if('Time 1'!C6 = ""Odette"", query(IMPORTRANGE(cd_planilha, ""Armas!B3:G""), ""Select Col1 Where Col2 = '""&amp;Personagem!$Y$17&amp;""' or Col2 = '""&amp;Personagem!$Y$18&amp;""'""),
if('Time 1'!C6 = ""Oneira"", "&amp;"query(IMPORTRANGE(cd_planilha, ""Armas!B3:G""), ""Select Col1 Where Col2 = '""&amp;Personagem!$Z$17&amp;""' or Col2 = '""&amp;Personagem!$Z$18&amp;""' ""),
if('Time 1'!C6 = ""Palash"", query(IMPORTRANGE(cd_planilha, ""Armas!B3:G""), ""Select Col1 Where Col2 = '""&amp;Persona"&amp;"gem!$AA$17&amp;""' or Col2 = '""&amp;Personagem!$AA$18&amp;""'""),
if('Time 1'!C6 = ""Theor"", query(IMPORTRANGE(cd_planilha, ""Armas!B3:G""), ""Select Col1 Where Col2 = '""&amp;Personagem!$AB$17&amp;""' or Col2 = '""&amp;Personagem!$AB$18&amp;""' ""),
if('Time 1'!C6 = ""Yue"", quer"&amp;"y(IMPORTRANGE(cd_planilha, ""Armas!B3:G""), ""Select Col1 Where Col2 = '""&amp;Personagem!$AC$17&amp;""' or Col2 = '""&amp;Personagem!$AC$18&amp;""'""
)))))))))))))))))))))))))))))"),"Agulhas Envenenadas")</f>
        <v>Agulhas Envenenadas</v>
      </c>
      <c r="H764" s="241"/>
      <c r="I764" s="241" t="str">
        <f>IFERROR(__xludf.DUMMYFUNCTION("if('Time 1'!C7 = ""Albert"", query(IMPORTRANGE(cd_planilha, ""Armas!B3:G""), ""Select Col1 Where Col2 = '""&amp;Personagem!$B$17&amp;""' or Col2 = '""&amp;Personagem!$B$18&amp;""'""),     
if('Time 1'!C7 = ""Alicia"", query(IMPORTRANGE(cd_planilha, ""Armas!B3:G""), ""Sel"&amp;"ect Col1 Where Col2 = '""&amp;Personagem!$C$17&amp;""' or Col2 = '""&amp;Personagem!$C$18&amp;""'""),
if('Time 1'!C7 = ""Azula"", query(IMPORTRANGE(cd_planilha, ""Armas!B3:G""), ""Select Col1 Where Col2 = '""&amp;Personagem!$D$17&amp;""' or Col2 = '""&amp;Personagem!$D$18&amp;""' ""),
i"&amp;"f('Time 1'!C7 = ""Charles"", query(IMPORTRANGE(cd_planilha, ""Armas!B3:G""), ""Select Col1 Where Col2 = '""&amp;Personagem!$E$17&amp;""' or Col2 = '""&amp;Personagem!$E$18&amp;""'""),
if('Time 1'!C7 = ""Clovis"", query(IMPORTRANGE(cd_planilha, ""Armas!B3:G""), ""Select C"&amp;"ol1 Where Col2 = '""&amp;Personagem!$F$17&amp;""' or Col2 = '""&amp;Personagem!$F$18&amp;""' ""),
if('Time 1'!C7 = ""Darthos"", query(IMPORTRANGE(cd_planilha, ""Armas!B3:G""), ""Select Col1 Where Col2 = '""&amp;Personagem!$G$17&amp;""' or Col2 = '""&amp;Personagem!$G$18&amp;""'""),
if('"&amp;"Time 1'!C7 = ""Edward"", query(IMPORTRANGE(cd_planilha, ""Armas!B3:G""), ""Select Col1 Where Col2 = '""&amp;Personagem!$H$17&amp;""' or Col2 = '""&amp;Personagem!$H$18&amp;""' ""),
if('Time 1'!C7 = ""Fiora"", query(IMPORTRANGE(cd_planilha, ""Armas!B3:G""), ""Select Col1 "&amp;"Where Col2 = '""&amp;Personagem!$I$17&amp;""' or Col2 = '""&amp;Personagem!$I$18&amp;""' ""),
if('Time 1'!C7 = ""Francesca"", query(IMPORTRANGE(cd_planilha, ""Armas!B3:G""), ""Select Col1 Where Col2 = '""&amp;Personagem!$J$17&amp;""' or Col2 = '""&amp;Personagem!$J$18&amp;""'""),
if('Ti"&amp;"me 1'!C7 = ""Garreth"", query(IMPORTRANGE(cd_planilha, ""Armas!B3:G""), ""Select Col1 Where Col2 = '""&amp;Personagem!$K$17&amp;""' or Col2 = '""&amp;Personagem!$K$18&amp;""'""),
if('Time 1'!C7 = ""Gauvin"", query(IMPORTRANGE(cd_planilha, ""Armas!B3:G""), ""Select Col1 W"&amp;"here Col2 = '""&amp;Personagem!$L$17&amp;""' or Col2 = '""&amp;Personagem!$L$18&amp;""' ""),
if('Time 1'!C7 = ""Irene"", query(IMPORTRANGE(cd_planilha, ""Armas!B3:G""), ""Select Col1 Where Col2 = '""&amp;Personagem!$M$17&amp;""' or Col2 = '""&amp;Personagem!$M$18&amp;""' ""),
if('Time 1"&amp;"'!C7 = ""Karal"", query(IMPORTRANGE(cd_planilha, ""Armas!B3:G""), ""Select Col1 Where Col2 = '""&amp;Personagem!$N$17&amp;""' or Col2 = '""&amp;Personagem!$N$18&amp;""' ""),
if('Time 1'!C7 = ""Kuro Shobi"", query(IMPORTRANGE(cd_planilha, ""Armas!B3:G""), ""Select Col1 Wh"&amp;"ere Col2 = '""&amp;Personagem!$O$17&amp;""' or Col2 = '""&amp;Personagem!$O$18&amp;""'""),
if('Time 1'!C7 = ""Kurul"", query(IMPORTRANGE(cd_planilha, ""Armas!B3:G""), ""Select Col1 Where Col2 = '""&amp;Personagem!$P$17&amp;""' or Col2 = '""&amp;Personagem!$P$18&amp;""' ""),
if('Time 1'!"&amp;"C7 = ""Lancaster"", query(IMPORTRANGE(cd_planilha, ""Armas!B3:G""), ""Select Col1 Where Col2 = '""&amp;Personagem!$Q$17&amp;""' or Col2 = '""&amp;Personagem!$Q$18&amp;""'""),
if('Time 1'!C7 = ""Lorelei"", query(IMPORTRANGE(cd_planilha, ""Armas!B3:G""), ""Select Col1 Wher"&amp;"e Col2 = '""&amp;Personagem!$R$17&amp;""' or Col2 = '""&amp;Personagem!$R$18&amp;""' ""),
if('Time 1'!C7 = ""Louca"", query(IMPORTRANGE(cd_planilha, ""Armas!B3:G""), ""Select Col1 Where Col2 = '""&amp;Personagem!$S$17&amp;""' or Col2 = '""&amp;Personagem!$S$18&amp;""' ""),
if('Time 1'!C"&amp;"7 = ""Melina"", query(IMPORTRANGE(cd_planilha, ""Armas!B3:G""), ""Select Col1 Where Col2 = '""&amp;Personagem!$T$17&amp;""' or Col2 = '""&amp;Personagem!$T$18&amp;""'""),
if('Time 1'!C7 = ""Mila"", query(IMPORTRANGE(cd_planilha, ""Armas!B3:G""), ""Select Col1 Where Col2 "&amp;"= '""&amp;Personagem!$U$17&amp;""' or Col2 = '""&amp;Personagem!$U$18&amp;""' ""),
if('Time 1'!C7 = ""Minh"", query(IMPORTRANGE(cd_planilha, ""Armas!B3:G""), ""Select Col1 Where Col2 = '""&amp;Personagem!$V$17&amp;""' or Col2 = '""&amp;Personagem!$V$18&amp;""' ""),
if('Time 1'!C7 = ""Mo"&amp;"jian"", query(IMPORTRANGE(cd_planilha, ""Armas!B3:G""), ""Select Col1 Where Col2 = '""&amp;Personagem!$W$17&amp;""' or Col2 = '""&amp;Personagem!$W$18&amp;""'""),
if('Time 1'!C7 = ""Nya"", query(IMPORTRANGE(cd_planilha, ""Armas!B3:G""), ""Select Col1 Where Col2 = '""&amp;Per"&amp;"sonagem!$X$17&amp;""' or Col2 = '""&amp;Personagem!$X$18&amp;""' ""),
if('Time 1'!C7 = ""Odette"", query(IMPORTRANGE(cd_planilha, ""Armas!B3:G""), ""Select Col1 Where Col2 = '""&amp;Personagem!$Y$17&amp;""' or Col2 = '""&amp;Personagem!$Y$18&amp;""'""),
if('Time 1'!C7 = ""Oneira"", "&amp;"query(IMPORTRANGE(cd_planilha, ""Armas!B3:G""), ""Select Col1 Where Col2 = '""&amp;Personagem!$Z$17&amp;""' or Col2 = '""&amp;Personagem!$Z$18&amp;""' ""),
if('Time 1'!C7 = ""Palash"", query(IMPORTRANGE(cd_planilha, ""Armas!B3:G""), ""Select Col1 Where Col2 = '""&amp;Persona"&amp;"gem!$AA$17&amp;""' or Col2 = '""&amp;Personagem!$AA$18&amp;""'""),
if('Time 1'!C7 = ""Theor"", query(IMPORTRANGE(cd_planilha, ""Armas!B3:G""), ""Select Col1 Where Col2 = '""&amp;Personagem!$AB$17&amp;""' or Col2 = '""&amp;Personagem!$AB$18&amp;""' ""),
if('Time 1'!C7 = ""Yue"", quer"&amp;"y(IMPORTRANGE(cd_planilha, ""Armas!B3:G""), ""Select Col1 Where Col2 = '""&amp;Personagem!$AC$17&amp;""' or Col2 = '""&amp;Personagem!$AC$18&amp;""'""
)))))))))))))))))))))))))))))"),"Gotas de Elíxir")</f>
        <v>Gotas de Elíxir</v>
      </c>
      <c r="J764" s="241"/>
      <c r="K764" s="241" t="str">
        <f>IFERROR(__xludf.DUMMYFUNCTION("if('Time 1'!C8 = ""Albert"", query(IMPORTRANGE(cd_planilha, ""Armas!B3:G""), ""Select Col1 Where Col2 = '""&amp;Personagem!$B$17&amp;""' or Col2 = '""&amp;Personagem!$B$18&amp;""'""),     
if('Time 1'!C8 = ""Alicia"", query(IMPORTRANGE(cd_planilha, ""Armas!B3:G""), ""Sel"&amp;"ect Col1 Where Col2 = '""&amp;Personagem!$C$17&amp;""' or Col2 = '""&amp;Personagem!$C$18&amp;""'""),
if('Time 1'!C8 = ""Azula"", query(IMPORTRANGE(cd_planilha, ""Armas!B3:G""), ""Select Col1 Where Col2 = '""&amp;Personagem!$D$17&amp;""' or Col2 = '""&amp;Personagem!$D$18&amp;""' ""),
i"&amp;"f('Time 1'!C8 = ""Charles"", query(IMPORTRANGE(cd_planilha, ""Armas!B3:G""), ""Select Col1 Where Col2 = '""&amp;Personagem!$E$17&amp;""' or Col2 = '""&amp;Personagem!$E$18&amp;""'""),
if('Time 1'!C8 = ""Clovis"", query(IMPORTRANGE(cd_planilha, ""Armas!B3:G""), ""Select C"&amp;"ol1 Where Col2 = '""&amp;Personagem!$F$17&amp;""' or Col2 = '""&amp;Personagem!$F$18&amp;""' ""),
if('Time 1'!C8 = ""Darthos"", query(IMPORTRANGE(cd_planilha, ""Armas!B3:G""), ""Select Col1 Where Col2 = '""&amp;Personagem!$G$17&amp;""' or Col2 = '""&amp;Personagem!$G$18&amp;""'""),
if('"&amp;"Time 1'!C8 = ""Edward"", query(IMPORTRANGE(cd_planilha, ""Armas!B3:G""), ""Select Col1 Where Col2 = '""&amp;Personagem!$H$17&amp;""' or Col2 = '""&amp;Personagem!$H$18&amp;""' ""),
if('Time 1'!C8 = ""Fiora"", query(IMPORTRANGE(cd_planilha, ""Armas!B3:G""), ""Select Col1 "&amp;"Where Col2 = '""&amp;Personagem!$I$17&amp;""' or Col2 = '""&amp;Personagem!$I$18&amp;""' ""),
if('Time 1'!C8 = ""Francesca"", query(IMPORTRANGE(cd_planilha, ""Armas!B3:G""), ""Select Col1 Where Col2 = '""&amp;Personagem!$J$17&amp;""' or Col2 = '""&amp;Personagem!$J$18&amp;""'""),
if('Ti"&amp;"me 1'!C8 = ""Garreth"", query(IMPORTRANGE(cd_planilha, ""Armas!B3:G""), ""Select Col1 Where Col2 = '""&amp;Personagem!$K$17&amp;""' or Col2 = '""&amp;Personagem!$K$18&amp;""'""),
if('Time 1'!C8 = ""Gauvin"", query(IMPORTRANGE(cd_planilha, ""Armas!B3:G""), ""Select Col1 W"&amp;"here Col2 = '""&amp;Personagem!$L$17&amp;""' or Col2 = '""&amp;Personagem!$L$18&amp;""' ""),
if('Time 1'!C8 = ""Irene"", query(IMPORTRANGE(cd_planilha, ""Armas!B3:G""), ""Select Col1 Where Col2 = '""&amp;Personagem!$M$17&amp;""' or Col2 = '""&amp;Personagem!$M$18&amp;""' ""),
if('Time 1"&amp;"'!C8 = ""Karal"", query(IMPORTRANGE(cd_planilha, ""Armas!B3:G""), ""Select Col1 Where Col2 = '""&amp;Personagem!$N$17&amp;""' or Col2 = '""&amp;Personagem!$N$18&amp;""' ""),
if('Time 1'!C8 = ""Kuro Shobi"", query(IMPORTRANGE(cd_planilha, ""Armas!B3:G""), ""Select Col1 Wh"&amp;"ere Col2 = '""&amp;Personagem!$O$17&amp;""' or Col2 = '""&amp;Personagem!$O$18&amp;""'""),
if('Time 1'!C8 = ""Kurul"", query(IMPORTRANGE(cd_planilha, ""Armas!B3:G""), ""Select Col1 Where Col2 = '""&amp;Personagem!$P$17&amp;""' or Col2 = '""&amp;Personagem!$P$18&amp;""' ""),
if('Time 1'!"&amp;"C8 = ""Lancaster"", query(IMPORTRANGE(cd_planilha, ""Armas!B3:G""), ""Select Col1 Where Col2 = '""&amp;Personagem!$Q$17&amp;""' or Col2 = '""&amp;Personagem!$Q$18&amp;""'""),
if('Time 1'!C8 = ""Lorelei"", query(IMPORTRANGE(cd_planilha, ""Armas!B3:G""), ""Select Col1 Wher"&amp;"e Col2 = '""&amp;Personagem!$R$17&amp;""' or Col2 = '""&amp;Personagem!$R$18&amp;""' ""),
if('Time 1'!C8 = ""Louca"", query(IMPORTRANGE(cd_planilha, ""Armas!B3:G""), ""Select Col1 Where Col2 = '""&amp;Personagem!$S$17&amp;""' or Col2 = '""&amp;Personagem!$S$18&amp;""' ""),
if('Time 1'!C"&amp;"8 = ""Melina"", query(IMPORTRANGE(cd_planilha, ""Armas!B3:G""), ""Select Col1 Where Col2 = '""&amp;Personagem!$T$17&amp;""' or Col2 = '""&amp;Personagem!$T$18&amp;""'""),
if('Time 1'!C8 = ""Mila"", query(IMPORTRANGE(cd_planilha, ""Armas!B3:G""), ""Select Col1 Where Col2 "&amp;"= '""&amp;Personagem!$U$17&amp;""' or Col2 = '""&amp;Personagem!$U$18&amp;""' ""),
if('Time 1'!C8 = ""Minh"", query(IMPORTRANGE(cd_planilha, ""Armas!B3:G""), ""Select Col1 Where Col2 = '""&amp;Personagem!$V$17&amp;""' or Col2 = '""&amp;Personagem!$V$18&amp;""' ""),
if('Time 1'!C8 = ""Mo"&amp;"jian"", query(IMPORTRANGE(cd_planilha, ""Armas!B3:G""), ""Select Col1 Where Col2 = '""&amp;Personagem!$W$17&amp;""' or Col2 = '""&amp;Personagem!$W$18&amp;""'""),
if('Time 1'!C8 = ""Nya"", query(IMPORTRANGE(cd_planilha, ""Armas!B3:G""), ""Select Col1 Where Col2 = '""&amp;Per"&amp;"sonagem!$X$17&amp;""' or Col2 = '""&amp;Personagem!$X$18&amp;""' ""),
if('Time 1'!C8 = ""Odette"", query(IMPORTRANGE(cd_planilha, ""Armas!B3:G""), ""Select Col1 Where Col2 = '""&amp;Personagem!$Y$17&amp;""' or Col2 = '""&amp;Personagem!$Y$18&amp;""'""),
if('Time 1'!C8 = ""Oneira"", "&amp;"query(IMPORTRANGE(cd_planilha, ""Armas!B3:G""), ""Select Col1 Where Col2 = '""&amp;Personagem!$Z$17&amp;""' or Col2 = '""&amp;Personagem!$Z$18&amp;""' ""),
if('Time 1'!C8 = ""Palash"", query(IMPORTRANGE(cd_planilha, ""Armas!B3:G""), ""Select Col1 Where Col2 = '""&amp;Persona"&amp;"gem!$AA$17&amp;""' or Col2 = '""&amp;Personagem!$AA$18&amp;""'""),
if('Time 1'!C8 = ""Theor"", query(IMPORTRANGE(cd_planilha, ""Armas!B3:G""), ""Select Col1 Where Col2 = '""&amp;Personagem!$AB$17&amp;""' or Col2 = '""&amp;Personagem!$AB$18&amp;""' ""),
if('Time 1'!C8 = ""Yue"", quer"&amp;"y(IMPORTRANGE(cd_planilha, ""Armas!B3:G""), ""Select Col1 Where Col2 = '""&amp;Personagem!$AC$17&amp;""' or Col2 = '""&amp;Personagem!$AC$18&amp;""'""
)))))))))))))))))))))))))))))"),"Totem da Dor")</f>
        <v>Totem da Dor</v>
      </c>
      <c r="L764" s="242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</row>
    <row r="765" hidden="1">
      <c r="A765" s="224" t="str">
        <f>IFERROR(__xludf.DUMMYFUNCTION("""COMPUTED_VALUE"""),"Semente Rápida")</f>
        <v>Semente Rápida</v>
      </c>
      <c r="B765" s="241"/>
      <c r="C765" s="224" t="str">
        <f>IFERROR(__xludf.DUMMYFUNCTION("""COMPUTED_VALUE"""),"A arte da guerra")</f>
        <v>A arte da guerra</v>
      </c>
      <c r="D765" s="241"/>
      <c r="E765" s="241" t="str">
        <f>IFERROR(__xludf.DUMMYFUNCTION("""COMPUTED_VALUE"""),"A arte da guerra")</f>
        <v>A arte da guerra</v>
      </c>
      <c r="F765" s="241"/>
      <c r="G765" s="241" t="str">
        <f>IFERROR(__xludf.DUMMYFUNCTION("""COMPUTED_VALUE"""),"Bomba Tóxica")</f>
        <v>Bomba Tóxica</v>
      </c>
      <c r="H765" s="241"/>
      <c r="I765" s="241" t="str">
        <f>IFERROR(__xludf.DUMMYFUNCTION("""COMPUTED_VALUE"""),"Cálice")</f>
        <v>Cálice</v>
      </c>
      <c r="J765" s="241"/>
      <c r="K765" s="241" t="str">
        <f>IFERROR(__xludf.DUMMYFUNCTION("""COMPUTED_VALUE"""),"A arte da guerra")</f>
        <v>A arte da guerra</v>
      </c>
      <c r="L765" s="242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3"/>
      <c r="AI765" s="243"/>
      <c r="AJ765" s="243"/>
    </row>
    <row r="766" hidden="1">
      <c r="A766" s="224" t="str">
        <f>IFERROR(__xludf.DUMMYFUNCTION("""COMPUTED_VALUE"""),"Chá Revitalizador ")</f>
        <v>Chá Revitalizador </v>
      </c>
      <c r="B766" s="241"/>
      <c r="C766" s="224" t="str">
        <f>IFERROR(__xludf.DUMMYFUNCTION("""COMPUTED_VALUE"""),"Ordem Imperial")</f>
        <v>Ordem Imperial</v>
      </c>
      <c r="D766" s="241"/>
      <c r="E766" s="241" t="str">
        <f>IFERROR(__xludf.DUMMYFUNCTION("""COMPUTED_VALUE"""),"Ordem Imperial")</f>
        <v>Ordem Imperial</v>
      </c>
      <c r="F766" s="241"/>
      <c r="G766" s="241" t="str">
        <f>IFERROR(__xludf.DUMMYFUNCTION("""COMPUTED_VALUE"""),"Shuriken Mágico")</f>
        <v>Shuriken Mágico</v>
      </c>
      <c r="H766" s="241"/>
      <c r="I766" s="241" t="str">
        <f>IFERROR(__xludf.DUMMYFUNCTION("""COMPUTED_VALUE"""),"Sangue de Demônio")</f>
        <v>Sangue de Demônio</v>
      </c>
      <c r="J766" s="241"/>
      <c r="K766" s="241" t="str">
        <f>IFERROR(__xludf.DUMMYFUNCTION("""COMPUTED_VALUE"""),"Ordem Imperial")</f>
        <v>Ordem Imperial</v>
      </c>
      <c r="L766" s="242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3"/>
      <c r="AI766" s="243"/>
      <c r="AJ766" s="243"/>
    </row>
    <row r="767" hidden="1">
      <c r="A767" s="224" t="str">
        <f>IFERROR(__xludf.DUMMYFUNCTION("""COMPUTED_VALUE"""),"Semente forte")</f>
        <v>Semente forte</v>
      </c>
      <c r="B767" s="241"/>
      <c r="C767" s="241" t="str">
        <f>IFERROR(__xludf.DUMMYFUNCTION("""COMPUTED_VALUE"""),"Celtic Slate")</f>
        <v>Celtic Slate</v>
      </c>
      <c r="D767" s="241"/>
      <c r="E767" s="241" t="str">
        <f>IFERROR(__xludf.DUMMYFUNCTION("""COMPUTED_VALUE"""),"Celtic Slate")</f>
        <v>Celtic Slate</v>
      </c>
      <c r="F767" s="241"/>
      <c r="G767" s="241" t="str">
        <f>IFERROR(__xludf.DUMMYFUNCTION("""COMPUTED_VALUE"""),"Milho Arco-íris")</f>
        <v>Milho Arco-íris</v>
      </c>
      <c r="H767" s="241"/>
      <c r="I767" s="241" t="str">
        <f>IFERROR(__xludf.DUMMYFUNCTION("""COMPUTED_VALUE"""),"Elven Sunblock")</f>
        <v>Elven Sunblock</v>
      </c>
      <c r="J767" s="241"/>
      <c r="K767" s="241" t="str">
        <f>IFERROR(__xludf.DUMMYFUNCTION("""COMPUTED_VALUE"""),"Celtic Slate")</f>
        <v>Celtic Slate</v>
      </c>
      <c r="L767" s="242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3"/>
      <c r="AI767" s="243"/>
      <c r="AJ767" s="243"/>
    </row>
    <row r="768" hidden="1">
      <c r="A768" s="224" t="str">
        <f>IFERROR(__xludf.DUMMYFUNCTION("""COMPUTED_VALUE"""),"Panaceia")</f>
        <v>Panaceia</v>
      </c>
      <c r="B768" s="241"/>
      <c r="C768" s="241" t="str">
        <f>IFERROR(__xludf.DUMMYFUNCTION("""COMPUTED_VALUE"""),"Codéx Mágico")</f>
        <v>Codéx Mágico</v>
      </c>
      <c r="D768" s="241"/>
      <c r="E768" s="241" t="str">
        <f>IFERROR(__xludf.DUMMYFUNCTION("""COMPUTED_VALUE"""),"Codéx Mágico")</f>
        <v>Codéx Mágico</v>
      </c>
      <c r="F768" s="241"/>
      <c r="G768" s="241" t="str">
        <f>IFERROR(__xludf.DUMMYFUNCTION("""COMPUTED_VALUE"""),"Chakran Cantante")</f>
        <v>Chakran Cantante</v>
      </c>
      <c r="H768" s="241"/>
      <c r="I768" s="241" t="str">
        <f>IFERROR(__xludf.DUMMYFUNCTION("""COMPUTED_VALUE"""),"Elixir ")</f>
        <v>Elixir </v>
      </c>
      <c r="J768" s="241"/>
      <c r="K768" s="241" t="str">
        <f>IFERROR(__xludf.DUMMYFUNCTION("""COMPUTED_VALUE"""),"Codéx Mágico")</f>
        <v>Codéx Mágico</v>
      </c>
      <c r="L768" s="242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3"/>
      <c r="AI768" s="243"/>
      <c r="AJ768" s="243"/>
    </row>
    <row r="769" hidden="1">
      <c r="A769" s="224" t="str">
        <f>IFERROR(__xludf.DUMMYFUNCTION("""COMPUTED_VALUE"""),"Lucky Clover")</f>
        <v>Lucky Clover</v>
      </c>
      <c r="B769" s="241"/>
      <c r="C769" s="241" t="str">
        <f>IFERROR(__xludf.DUMMYFUNCTION("""COMPUTED_VALUE"""),"Selo do Mal")</f>
        <v>Selo do Mal</v>
      </c>
      <c r="D769" s="241"/>
      <c r="E769" s="241" t="str">
        <f>IFERROR(__xludf.DUMMYFUNCTION("""COMPUTED_VALUE"""),"Selo do Mal")</f>
        <v>Selo do Mal</v>
      </c>
      <c r="F769" s="241"/>
      <c r="G769" s="241" t="str">
        <f>IFERROR(__xludf.DUMMYFUNCTION("""COMPUTED_VALUE"""),"Dardos Explosivos")</f>
        <v>Dardos Explosivos</v>
      </c>
      <c r="H769" s="241"/>
      <c r="I769" s="241" t="str">
        <f>IFERROR(__xludf.DUMMYFUNCTION("""COMPUTED_VALUE"""),"Sangue de Dragão ")</f>
        <v>Sangue de Dragão </v>
      </c>
      <c r="J769" s="241"/>
      <c r="K769" s="241" t="str">
        <f>IFERROR(__xludf.DUMMYFUNCTION("""COMPUTED_VALUE"""),"Selo do Mal")</f>
        <v>Selo do Mal</v>
      </c>
      <c r="L769" s="242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3"/>
      <c r="AI769" s="243"/>
      <c r="AJ769" s="243"/>
    </row>
    <row r="770" hidden="1">
      <c r="A770" s="241" t="str">
        <f>IFERROR(__xludf.DUMMYFUNCTION("""COMPUTED_VALUE"""),"Semente mágica")</f>
        <v>Semente mágica</v>
      </c>
      <c r="B770" s="241"/>
      <c r="C770" s="241" t="str">
        <f>IFERROR(__xludf.DUMMYFUNCTION("""COMPUTED_VALUE"""),"Selo de Tigre")</f>
        <v>Selo de Tigre</v>
      </c>
      <c r="D770" s="241"/>
      <c r="E770" s="241" t="str">
        <f>IFERROR(__xludf.DUMMYFUNCTION("""COMPUTED_VALUE"""),"Selo de Tigre")</f>
        <v>Selo de Tigre</v>
      </c>
      <c r="F770" s="241"/>
      <c r="G770" s="241" t="str">
        <f>IFERROR(__xludf.DUMMYFUNCTION("""COMPUTED_VALUE"""),"Fura-Coração")</f>
        <v>Fura-Coração</v>
      </c>
      <c r="H770" s="241"/>
      <c r="I770" s="241" t="str">
        <f>IFERROR(__xludf.DUMMYFUNCTION("""COMPUTED_VALUE"""),"Megalixir ")</f>
        <v>Megalixir </v>
      </c>
      <c r="J770" s="241"/>
      <c r="K770" s="241" t="str">
        <f>IFERROR(__xludf.DUMMYFUNCTION("""COMPUTED_VALUE"""),"Selo de Tigre")</f>
        <v>Selo de Tigre</v>
      </c>
      <c r="L770" s="242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3"/>
      <c r="AI770" s="243"/>
      <c r="AJ770" s="243"/>
    </row>
    <row r="771" hidden="1">
      <c r="A771" s="241" t="str">
        <f>IFERROR(__xludf.DUMMYFUNCTION("""COMPUTED_VALUE"""),"Feijões Mágicos ")</f>
        <v>Feijões Mágicos </v>
      </c>
      <c r="B771" s="241"/>
      <c r="C771" s="241" t="str">
        <f>IFERROR(__xludf.DUMMYFUNCTION("""COMPUTED_VALUE"""),"Compêndio Arcano")</f>
        <v>Compêndio Arcano</v>
      </c>
      <c r="D771" s="241"/>
      <c r="E771" s="241" t="str">
        <f>IFERROR(__xludf.DUMMYFUNCTION("""COMPUTED_VALUE"""),"Compêndio Arcano")</f>
        <v>Compêndio Arcano</v>
      </c>
      <c r="F771" s="241"/>
      <c r="G771" s="241" t="str">
        <f>IFERROR(__xludf.DUMMYFUNCTION("""COMPUTED_VALUE"""),"Estrondo de trovão")</f>
        <v>Estrondo de trovão</v>
      </c>
      <c r="H771" s="241"/>
      <c r="I771" s="241" t="str">
        <f>IFERROR(__xludf.DUMMYFUNCTION("""COMPUTED_VALUE"""),"Elixir of Immortality")</f>
        <v>Elixir of Immortality</v>
      </c>
      <c r="J771" s="241"/>
      <c r="K771" s="241" t="str">
        <f>IFERROR(__xludf.DUMMYFUNCTION("""COMPUTED_VALUE"""),"Compêndio Arcano")</f>
        <v>Compêndio Arcano</v>
      </c>
      <c r="L771" s="242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3"/>
      <c r="AI771" s="243"/>
      <c r="AJ771" s="243"/>
    </row>
    <row r="772" hidden="1">
      <c r="A772" s="241" t="str">
        <f>IFERROR(__xludf.DUMMYFUNCTION("""COMPUTED_VALUE"""),"Pó de demônio")</f>
        <v>Pó de demônio</v>
      </c>
      <c r="B772" s="241"/>
      <c r="C772" s="241" t="str">
        <f>IFERROR(__xludf.DUMMYFUNCTION("""COMPUTED_VALUE"""),"Pergaminho de Retorno")</f>
        <v>Pergaminho de Retorno</v>
      </c>
      <c r="D772" s="241"/>
      <c r="E772" s="241" t="str">
        <f>IFERROR(__xludf.DUMMYFUNCTION("""COMPUTED_VALUE"""),"Pergaminho de Retorno")</f>
        <v>Pergaminho de Retorno</v>
      </c>
      <c r="F772" s="241"/>
      <c r="G772" s="241" t="str">
        <f>IFERROR(__xludf.DUMMYFUNCTION("""COMPUTED_VALUE"""),"Kunai de fogo-gelo")</f>
        <v>Kunai de fogo-gelo</v>
      </c>
      <c r="H772" s="241"/>
      <c r="I772" s="241" t="str">
        <f>IFERROR(__xludf.DUMMYFUNCTION("""COMPUTED_VALUE"""),"Essência de Deus")</f>
        <v>Essência de Deus</v>
      </c>
      <c r="J772" s="241"/>
      <c r="K772" s="241" t="str">
        <f>IFERROR(__xludf.DUMMYFUNCTION("""COMPUTED_VALUE"""),"Pergaminho de Retorno")</f>
        <v>Pergaminho de Retorno</v>
      </c>
      <c r="L772" s="242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  <c r="AH772" s="243"/>
      <c r="AI772" s="243"/>
      <c r="AJ772" s="243"/>
    </row>
    <row r="773" hidden="1">
      <c r="A773" s="241" t="str">
        <f>IFERROR(__xludf.DUMMYFUNCTION("""COMPUTED_VALUE"""),"Chá dragônico")</f>
        <v>Chá dragônico</v>
      </c>
      <c r="B773" s="241"/>
      <c r="C773" s="241" t="str">
        <f>IFERROR(__xludf.DUMMYFUNCTION("""COMPUTED_VALUE"""),"Tomo Divino")</f>
        <v>Tomo Divino</v>
      </c>
      <c r="D773" s="241"/>
      <c r="E773" s="241" t="str">
        <f>IFERROR(__xludf.DUMMYFUNCTION("""COMPUTED_VALUE"""),"Tomo Divino")</f>
        <v>Tomo Divino</v>
      </c>
      <c r="F773" s="241"/>
      <c r="G773" s="241" t="str">
        <f>IFERROR(__xludf.DUMMYFUNCTION("""COMPUTED_VALUE"""),"Eggsplosives")</f>
        <v>Eggsplosives</v>
      </c>
      <c r="H773" s="241"/>
      <c r="I773" s="241" t="str">
        <f>IFERROR(__xludf.DUMMYFUNCTION("""COMPUTED_VALUE"""),"Poção de Obsidiana")</f>
        <v>Poção de Obsidiana</v>
      </c>
      <c r="J773" s="241"/>
      <c r="K773" s="241" t="str">
        <f>IFERROR(__xludf.DUMMYFUNCTION("""COMPUTED_VALUE"""),"Tomo Divino")</f>
        <v>Tomo Divino</v>
      </c>
      <c r="L773" s="242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  <c r="AH773" s="243"/>
      <c r="AI773" s="243"/>
      <c r="AJ773" s="243"/>
    </row>
    <row r="774" hidden="1">
      <c r="A774" s="241" t="str">
        <f>IFERROR(__xludf.DUMMYFUNCTION("""COMPUTED_VALUE"""),"Seed of Power")</f>
        <v>Seed of Power</v>
      </c>
      <c r="B774" s="241"/>
      <c r="C774" s="241" t="str">
        <f>IFERROR(__xludf.DUMMYFUNCTION("""COMPUTED_VALUE"""),"Pergaminho Assombrado")</f>
        <v>Pergaminho Assombrado</v>
      </c>
      <c r="D774" s="241"/>
      <c r="E774" s="241" t="str">
        <f>IFERROR(__xludf.DUMMYFUNCTION("""COMPUTED_VALUE"""),"Pergaminho Assombrado")</f>
        <v>Pergaminho Assombrado</v>
      </c>
      <c r="F774" s="241"/>
      <c r="G774" s="241" t="str">
        <f>IFERROR(__xludf.DUMMYFUNCTION("""COMPUTED_VALUE"""),"Bomba do Inferno")</f>
        <v>Bomba do Inferno</v>
      </c>
      <c r="H774" s="241"/>
      <c r="I774" s="241" t="str">
        <f>IFERROR(__xludf.DUMMYFUNCTION("""COMPUTED_VALUE"""),"Pirate's Brew")</f>
        <v>Pirate's Brew</v>
      </c>
      <c r="J774" s="241"/>
      <c r="K774" s="241" t="str">
        <f>IFERROR(__xludf.DUMMYFUNCTION("""COMPUTED_VALUE"""),"Pergaminho Assombrado")</f>
        <v>Pergaminho Assombrado</v>
      </c>
      <c r="L774" s="242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  <c r="AH774" s="243"/>
      <c r="AI774" s="243"/>
      <c r="AJ774" s="243"/>
    </row>
    <row r="775" hidden="1">
      <c r="A775" s="241" t="str">
        <f>IFERROR(__xludf.DUMMYFUNCTION("""COMPUTED_VALUE"""),"Sacred Mooncake")</f>
        <v>Sacred Mooncake</v>
      </c>
      <c r="B775" s="241"/>
      <c r="C775" s="241" t="str">
        <f>IFERROR(__xludf.DUMMYFUNCTION("""COMPUTED_VALUE"""),"Guardian Seal")</f>
        <v>Guardian Seal</v>
      </c>
      <c r="D775" s="241"/>
      <c r="E775" s="241" t="str">
        <f>IFERROR(__xludf.DUMMYFUNCTION("""COMPUTED_VALUE"""),"Guardian Seal")</f>
        <v>Guardian Seal</v>
      </c>
      <c r="F775" s="241"/>
      <c r="G775" s="241" t="str">
        <f>IFERROR(__xludf.DUMMYFUNCTION("""COMPUTED_VALUE"""),"Flying Guillotine")</f>
        <v>Flying Guillotine</v>
      </c>
      <c r="H775" s="241"/>
      <c r="I775" s="241" t="str">
        <f>IFERROR(__xludf.DUMMYFUNCTION("""COMPUTED_VALUE"""),"Poção Fogo de Dragão")</f>
        <v>Poção Fogo de Dragão</v>
      </c>
      <c r="J775" s="241"/>
      <c r="K775" s="241" t="str">
        <f>IFERROR(__xludf.DUMMYFUNCTION("""COMPUTED_VALUE"""),"Guardian Seal")</f>
        <v>Guardian Seal</v>
      </c>
      <c r="L775" s="242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</row>
    <row r="776" hidden="1">
      <c r="A776" s="241"/>
      <c r="B776" s="241"/>
      <c r="C776" s="241" t="str">
        <f>IFERROR(__xludf.DUMMYFUNCTION("""COMPUTED_VALUE"""),"Pergaminho de sangue")</f>
        <v>Pergaminho de sangue</v>
      </c>
      <c r="D776" s="241"/>
      <c r="E776" s="241" t="str">
        <f>IFERROR(__xludf.DUMMYFUNCTION("""COMPUTED_VALUE"""),"Pergaminho de sangue")</f>
        <v>Pergaminho de sangue</v>
      </c>
      <c r="F776" s="241"/>
      <c r="G776" s="241" t="str">
        <f>IFERROR(__xludf.DUMMYFUNCTION("""COMPUTED_VALUE"""),"Quicksilver")</f>
        <v>Quicksilver</v>
      </c>
      <c r="H776" s="241"/>
      <c r="I776" s="241" t="str">
        <f>IFERROR(__xludf.DUMMYFUNCTION("""COMPUTED_VALUE"""),"Gaia's Essence")</f>
        <v>Gaia's Essence</v>
      </c>
      <c r="J776" s="241"/>
      <c r="K776" s="241" t="str">
        <f>IFERROR(__xludf.DUMMYFUNCTION("""COMPUTED_VALUE"""),"Pergaminho de sangue")</f>
        <v>Pergaminho de sangue</v>
      </c>
      <c r="L776" s="242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</row>
    <row r="777" hidden="1">
      <c r="A777" s="241"/>
      <c r="B777" s="241"/>
      <c r="C777" s="241" t="str">
        <f>IFERROR(__xludf.DUMMYFUNCTION("""COMPUTED_VALUE"""),"Gotas de Elíxir")</f>
        <v>Gotas de Elíxir</v>
      </c>
      <c r="D777" s="241"/>
      <c r="E777" s="241" t="str">
        <f>IFERROR(__xludf.DUMMYFUNCTION("""COMPUTED_VALUE"""),"Gotas de Elíxir")</f>
        <v>Gotas de Elíxir</v>
      </c>
      <c r="F777" s="241"/>
      <c r="G777" s="241"/>
      <c r="H777" s="241"/>
      <c r="I777" s="241" t="str">
        <f>IFERROR(__xludf.DUMMYFUNCTION("""COMPUTED_VALUE"""),"Unholy Potion")</f>
        <v>Unholy Potion</v>
      </c>
      <c r="J777" s="241"/>
      <c r="K777" s="241" t="str">
        <f>IFERROR(__xludf.DUMMYFUNCTION("""COMPUTED_VALUE"""),"Gotas de Elíxir")</f>
        <v>Gotas de Elíxir</v>
      </c>
      <c r="L777" s="242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</row>
    <row r="778" hidden="1">
      <c r="A778" s="241"/>
      <c r="B778" s="241"/>
      <c r="C778" s="241" t="str">
        <f>IFERROR(__xludf.DUMMYFUNCTION("""COMPUTED_VALUE"""),"Cálice")</f>
        <v>Cálice</v>
      </c>
      <c r="D778" s="241"/>
      <c r="E778" s="241" t="str">
        <f>IFERROR(__xludf.DUMMYFUNCTION("""COMPUTED_VALUE"""),"Cálice")</f>
        <v>Cálice</v>
      </c>
      <c r="F778" s="241"/>
      <c r="G778" s="241"/>
      <c r="H778" s="241"/>
      <c r="I778" s="241" t="str">
        <f>IFERROR(__xludf.DUMMYFUNCTION("""COMPUTED_VALUE"""),"Agulhas Envenenadas")</f>
        <v>Agulhas Envenenadas</v>
      </c>
      <c r="J778" s="241"/>
      <c r="K778" s="241" t="str">
        <f>IFERROR(__xludf.DUMMYFUNCTION("""COMPUTED_VALUE"""),"Cálice")</f>
        <v>Cálice</v>
      </c>
      <c r="L778" s="242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3"/>
      <c r="AI778" s="243"/>
      <c r="AJ778" s="243"/>
    </row>
    <row r="779" hidden="1">
      <c r="A779" s="241"/>
      <c r="B779" s="241"/>
      <c r="C779" s="241" t="str">
        <f>IFERROR(__xludf.DUMMYFUNCTION("""COMPUTED_VALUE"""),"Sangue de Demônio")</f>
        <v>Sangue de Demônio</v>
      </c>
      <c r="D779" s="241"/>
      <c r="E779" s="241" t="str">
        <f>IFERROR(__xludf.DUMMYFUNCTION("""COMPUTED_VALUE"""),"Sangue de Demônio")</f>
        <v>Sangue de Demônio</v>
      </c>
      <c r="F779" s="241"/>
      <c r="G779" s="241"/>
      <c r="H779" s="241"/>
      <c r="I779" s="241" t="str">
        <f>IFERROR(__xludf.DUMMYFUNCTION("""COMPUTED_VALUE"""),"Bomba Tóxica")</f>
        <v>Bomba Tóxica</v>
      </c>
      <c r="J779" s="241"/>
      <c r="K779" s="241" t="str">
        <f>IFERROR(__xludf.DUMMYFUNCTION("""COMPUTED_VALUE"""),"Sangue de Demônio")</f>
        <v>Sangue de Demônio</v>
      </c>
      <c r="L779" s="242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  <c r="AH779" s="243"/>
      <c r="AI779" s="243"/>
      <c r="AJ779" s="243"/>
    </row>
    <row r="780" hidden="1">
      <c r="A780" s="241"/>
      <c r="B780" s="241"/>
      <c r="C780" s="241" t="str">
        <f>IFERROR(__xludf.DUMMYFUNCTION("""COMPUTED_VALUE"""),"Elven Sunblock")</f>
        <v>Elven Sunblock</v>
      </c>
      <c r="D780" s="241"/>
      <c r="E780" s="241" t="str">
        <f>IFERROR(__xludf.DUMMYFUNCTION("""COMPUTED_VALUE"""),"Elven Sunblock")</f>
        <v>Elven Sunblock</v>
      </c>
      <c r="F780" s="241"/>
      <c r="G780" s="241"/>
      <c r="H780" s="241"/>
      <c r="I780" s="241" t="str">
        <f>IFERROR(__xludf.DUMMYFUNCTION("""COMPUTED_VALUE"""),"Shuriken Mágico")</f>
        <v>Shuriken Mágico</v>
      </c>
      <c r="J780" s="241"/>
      <c r="K780" s="241" t="str">
        <f>IFERROR(__xludf.DUMMYFUNCTION("""COMPUTED_VALUE"""),"Elven Sunblock")</f>
        <v>Elven Sunblock</v>
      </c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  <c r="AH780" s="243"/>
      <c r="AI780" s="243"/>
      <c r="AJ780" s="243"/>
    </row>
    <row r="781" hidden="1">
      <c r="A781" s="241"/>
      <c r="B781" s="241"/>
      <c r="C781" s="241" t="str">
        <f>IFERROR(__xludf.DUMMYFUNCTION("""COMPUTED_VALUE"""),"Elixir ")</f>
        <v>Elixir </v>
      </c>
      <c r="D781" s="241"/>
      <c r="E781" s="241" t="str">
        <f>IFERROR(__xludf.DUMMYFUNCTION("""COMPUTED_VALUE"""),"Elixir ")</f>
        <v>Elixir </v>
      </c>
      <c r="F781" s="241"/>
      <c r="G781" s="241"/>
      <c r="H781" s="241"/>
      <c r="I781" s="241" t="str">
        <f>IFERROR(__xludf.DUMMYFUNCTION("""COMPUTED_VALUE"""),"Milho Arco-íris")</f>
        <v>Milho Arco-íris</v>
      </c>
      <c r="J781" s="241"/>
      <c r="K781" s="241" t="str">
        <f>IFERROR(__xludf.DUMMYFUNCTION("""COMPUTED_VALUE"""),"Elixir ")</f>
        <v>Elixir </v>
      </c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  <c r="AH781" s="243"/>
      <c r="AI781" s="243"/>
      <c r="AJ781" s="243"/>
    </row>
    <row r="782" hidden="1">
      <c r="A782" s="241"/>
      <c r="B782" s="241"/>
      <c r="C782" s="241" t="str">
        <f>IFERROR(__xludf.DUMMYFUNCTION("""COMPUTED_VALUE"""),"Sangue de Dragão ")</f>
        <v>Sangue de Dragão </v>
      </c>
      <c r="D782" s="241"/>
      <c r="E782" s="241" t="str">
        <f>IFERROR(__xludf.DUMMYFUNCTION("""COMPUTED_VALUE"""),"Sangue de Dragão ")</f>
        <v>Sangue de Dragão </v>
      </c>
      <c r="F782" s="241"/>
      <c r="G782" s="241"/>
      <c r="H782" s="241"/>
      <c r="I782" s="241" t="str">
        <f>IFERROR(__xludf.DUMMYFUNCTION("""COMPUTED_VALUE"""),"Chakran Cantante")</f>
        <v>Chakran Cantante</v>
      </c>
      <c r="J782" s="241"/>
      <c r="K782" s="241" t="str">
        <f>IFERROR(__xludf.DUMMYFUNCTION("""COMPUTED_VALUE"""),"Sangue de Dragão ")</f>
        <v>Sangue de Dragão </v>
      </c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3"/>
      <c r="AI782" s="243"/>
      <c r="AJ782" s="243"/>
    </row>
    <row r="783" hidden="1">
      <c r="A783" s="241"/>
      <c r="B783" s="241"/>
      <c r="C783" s="241" t="str">
        <f>IFERROR(__xludf.DUMMYFUNCTION("""COMPUTED_VALUE"""),"Megalixir ")</f>
        <v>Megalixir </v>
      </c>
      <c r="D783" s="241"/>
      <c r="E783" s="241" t="str">
        <f>IFERROR(__xludf.DUMMYFUNCTION("""COMPUTED_VALUE"""),"Megalixir ")</f>
        <v>Megalixir </v>
      </c>
      <c r="F783" s="241"/>
      <c r="G783" s="241"/>
      <c r="H783" s="241"/>
      <c r="I783" s="241" t="str">
        <f>IFERROR(__xludf.DUMMYFUNCTION("""COMPUTED_VALUE"""),"Dardos Explosivos")</f>
        <v>Dardos Explosivos</v>
      </c>
      <c r="J783" s="241"/>
      <c r="K783" s="241" t="str">
        <f>IFERROR(__xludf.DUMMYFUNCTION("""COMPUTED_VALUE"""),"Megalixir ")</f>
        <v>Megalixir </v>
      </c>
      <c r="L783" s="242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3"/>
      <c r="AI783" s="243"/>
      <c r="AJ783" s="243"/>
    </row>
    <row r="784" hidden="1">
      <c r="A784" s="241"/>
      <c r="B784" s="241"/>
      <c r="C784" s="241" t="str">
        <f>IFERROR(__xludf.DUMMYFUNCTION("""COMPUTED_VALUE"""),"Elixir of Immortality")</f>
        <v>Elixir of Immortality</v>
      </c>
      <c r="D784" s="241"/>
      <c r="E784" s="241" t="str">
        <f>IFERROR(__xludf.DUMMYFUNCTION("""COMPUTED_VALUE"""),"Elixir of Immortality")</f>
        <v>Elixir of Immortality</v>
      </c>
      <c r="F784" s="241"/>
      <c r="G784" s="241"/>
      <c r="H784" s="241"/>
      <c r="I784" s="241" t="str">
        <f>IFERROR(__xludf.DUMMYFUNCTION("""COMPUTED_VALUE"""),"Fura-Coração")</f>
        <v>Fura-Coração</v>
      </c>
      <c r="J784" s="241"/>
      <c r="K784" s="241" t="str">
        <f>IFERROR(__xludf.DUMMYFUNCTION("""COMPUTED_VALUE"""),"Elixir of Immortality")</f>
        <v>Elixir of Immortality</v>
      </c>
      <c r="L784" s="242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  <c r="AH784" s="243"/>
      <c r="AI784" s="243"/>
      <c r="AJ784" s="243"/>
    </row>
    <row r="785" hidden="1">
      <c r="A785" s="241"/>
      <c r="B785" s="241"/>
      <c r="C785" s="241" t="str">
        <f>IFERROR(__xludf.DUMMYFUNCTION("""COMPUTED_VALUE"""),"Essência de Deus")</f>
        <v>Essência de Deus</v>
      </c>
      <c r="D785" s="241"/>
      <c r="E785" s="241" t="str">
        <f>IFERROR(__xludf.DUMMYFUNCTION("""COMPUTED_VALUE"""),"Essência de Deus")</f>
        <v>Essência de Deus</v>
      </c>
      <c r="F785" s="241"/>
      <c r="G785" s="241"/>
      <c r="H785" s="241"/>
      <c r="I785" s="241" t="str">
        <f>IFERROR(__xludf.DUMMYFUNCTION("""COMPUTED_VALUE"""),"Estrondo de trovão")</f>
        <v>Estrondo de trovão</v>
      </c>
      <c r="J785" s="241"/>
      <c r="K785" s="241" t="str">
        <f>IFERROR(__xludf.DUMMYFUNCTION("""COMPUTED_VALUE"""),"Essência de Deus")</f>
        <v>Essência de Deus</v>
      </c>
      <c r="L785" s="242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  <c r="AH785" s="243"/>
      <c r="AI785" s="243"/>
      <c r="AJ785" s="243"/>
    </row>
    <row r="786" hidden="1">
      <c r="A786" s="241"/>
      <c r="B786" s="241"/>
      <c r="C786" s="241" t="str">
        <f>IFERROR(__xludf.DUMMYFUNCTION("""COMPUTED_VALUE"""),"Poção de Obsidiana")</f>
        <v>Poção de Obsidiana</v>
      </c>
      <c r="D786" s="241"/>
      <c r="E786" s="241" t="str">
        <f>IFERROR(__xludf.DUMMYFUNCTION("""COMPUTED_VALUE"""),"Poção de Obsidiana")</f>
        <v>Poção de Obsidiana</v>
      </c>
      <c r="F786" s="241"/>
      <c r="G786" s="241"/>
      <c r="H786" s="241"/>
      <c r="I786" s="241" t="str">
        <f>IFERROR(__xludf.DUMMYFUNCTION("""COMPUTED_VALUE"""),"Kunai de fogo-gelo")</f>
        <v>Kunai de fogo-gelo</v>
      </c>
      <c r="J786" s="241"/>
      <c r="K786" s="241" t="str">
        <f>IFERROR(__xludf.DUMMYFUNCTION("""COMPUTED_VALUE"""),"Poção de Obsidiana")</f>
        <v>Poção de Obsidiana</v>
      </c>
      <c r="L786" s="242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  <c r="AH786" s="243"/>
      <c r="AI786" s="243"/>
      <c r="AJ786" s="243"/>
    </row>
    <row r="787" hidden="1">
      <c r="A787" s="241"/>
      <c r="B787" s="241"/>
      <c r="C787" s="241" t="str">
        <f>IFERROR(__xludf.DUMMYFUNCTION("""COMPUTED_VALUE"""),"Pirate's Brew")</f>
        <v>Pirate's Brew</v>
      </c>
      <c r="D787" s="241"/>
      <c r="E787" s="241" t="str">
        <f>IFERROR(__xludf.DUMMYFUNCTION("""COMPUTED_VALUE"""),"Pirate's Brew")</f>
        <v>Pirate's Brew</v>
      </c>
      <c r="F787" s="241"/>
      <c r="G787" s="241"/>
      <c r="H787" s="241"/>
      <c r="I787" s="241" t="str">
        <f>IFERROR(__xludf.DUMMYFUNCTION("""COMPUTED_VALUE"""),"Eggsplosives")</f>
        <v>Eggsplosives</v>
      </c>
      <c r="J787" s="241"/>
      <c r="K787" s="241" t="str">
        <f>IFERROR(__xludf.DUMMYFUNCTION("""COMPUTED_VALUE"""),"Pirate's Brew")</f>
        <v>Pirate's Brew</v>
      </c>
      <c r="L787" s="242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  <c r="AH787" s="243"/>
      <c r="AI787" s="243"/>
      <c r="AJ787" s="243"/>
    </row>
    <row r="788" hidden="1">
      <c r="A788" s="241"/>
      <c r="B788" s="241"/>
      <c r="C788" s="241" t="str">
        <f>IFERROR(__xludf.DUMMYFUNCTION("""COMPUTED_VALUE"""),"Poção Fogo de Dragão")</f>
        <v>Poção Fogo de Dragão</v>
      </c>
      <c r="D788" s="241"/>
      <c r="E788" s="241" t="str">
        <f>IFERROR(__xludf.DUMMYFUNCTION("""COMPUTED_VALUE"""),"Poção Fogo de Dragão")</f>
        <v>Poção Fogo de Dragão</v>
      </c>
      <c r="F788" s="241"/>
      <c r="G788" s="241"/>
      <c r="H788" s="241"/>
      <c r="I788" s="241" t="str">
        <f>IFERROR(__xludf.DUMMYFUNCTION("""COMPUTED_VALUE"""),"Bomba do Inferno")</f>
        <v>Bomba do Inferno</v>
      </c>
      <c r="J788" s="241"/>
      <c r="K788" s="241" t="str">
        <f>IFERROR(__xludf.DUMMYFUNCTION("""COMPUTED_VALUE"""),"Poção Fogo de Dragão")</f>
        <v>Poção Fogo de Dragão</v>
      </c>
      <c r="L788" s="242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  <c r="AH788" s="243"/>
      <c r="AI788" s="243"/>
      <c r="AJ788" s="243"/>
    </row>
    <row r="789" hidden="1">
      <c r="A789" s="241"/>
      <c r="B789" s="241"/>
      <c r="C789" s="241" t="str">
        <f>IFERROR(__xludf.DUMMYFUNCTION("""COMPUTED_VALUE"""),"Gaia's Essence")</f>
        <v>Gaia's Essence</v>
      </c>
      <c r="D789" s="241"/>
      <c r="E789" s="241" t="str">
        <f>IFERROR(__xludf.DUMMYFUNCTION("""COMPUTED_VALUE"""),"Gaia's Essence")</f>
        <v>Gaia's Essence</v>
      </c>
      <c r="F789" s="241"/>
      <c r="G789" s="241"/>
      <c r="H789" s="241"/>
      <c r="I789" s="241" t="str">
        <f>IFERROR(__xludf.DUMMYFUNCTION("""COMPUTED_VALUE"""),"Flying Guillotine")</f>
        <v>Flying Guillotine</v>
      </c>
      <c r="J789" s="241"/>
      <c r="K789" s="241" t="str">
        <f>IFERROR(__xludf.DUMMYFUNCTION("""COMPUTED_VALUE"""),"Gaia's Essence")</f>
        <v>Gaia's Essence</v>
      </c>
      <c r="L789" s="242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  <c r="AH789" s="243"/>
      <c r="AI789" s="243"/>
      <c r="AJ789" s="243"/>
    </row>
    <row r="790" hidden="1">
      <c r="A790" s="241"/>
      <c r="B790" s="241"/>
      <c r="C790" s="241" t="str">
        <f>IFERROR(__xludf.DUMMYFUNCTION("""COMPUTED_VALUE"""),"Unholy Potion")</f>
        <v>Unholy Potion</v>
      </c>
      <c r="D790" s="241"/>
      <c r="E790" s="241" t="str">
        <f>IFERROR(__xludf.DUMMYFUNCTION("""COMPUTED_VALUE"""),"Unholy Potion")</f>
        <v>Unholy Potion</v>
      </c>
      <c r="F790" s="241"/>
      <c r="G790" s="241"/>
      <c r="H790" s="241"/>
      <c r="I790" s="241" t="str">
        <f>IFERROR(__xludf.DUMMYFUNCTION("""COMPUTED_VALUE"""),"Quicksilver")</f>
        <v>Quicksilver</v>
      </c>
      <c r="J790" s="241"/>
      <c r="K790" s="241" t="str">
        <f>IFERROR(__xludf.DUMMYFUNCTION("""COMPUTED_VALUE"""),"Unholy Potion")</f>
        <v>Unholy Potion</v>
      </c>
      <c r="L790" s="242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3"/>
      <c r="AI790" s="243"/>
      <c r="AJ790" s="243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2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3"/>
      <c r="AI791" s="243"/>
      <c r="AJ791" s="243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2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3"/>
      <c r="AI792" s="243"/>
      <c r="AJ792" s="243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2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3"/>
      <c r="AI793" s="243"/>
      <c r="AJ793" s="243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2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2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2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3"/>
      <c r="AI796" s="243"/>
      <c r="AJ796" s="243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2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3"/>
      <c r="AI797" s="243"/>
      <c r="AJ797" s="243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2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3"/>
      <c r="AI798" s="243"/>
      <c r="AJ798" s="243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2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3"/>
      <c r="AI799" s="243"/>
      <c r="AJ799" s="243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2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3"/>
      <c r="AI800" s="243"/>
      <c r="AJ800" s="243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2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3"/>
      <c r="AI801" s="243"/>
      <c r="AJ801" s="243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2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3"/>
      <c r="AI802" s="243"/>
      <c r="AJ802" s="243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2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3"/>
      <c r="AI803" s="243"/>
      <c r="AJ803" s="243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2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3"/>
      <c r="AI804" s="243"/>
      <c r="AJ804" s="243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2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3"/>
      <c r="AI805" s="243"/>
      <c r="AJ805" s="243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2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  <c r="AH806" s="243"/>
      <c r="AI806" s="243"/>
      <c r="AJ806" s="243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2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  <c r="AH807" s="243"/>
      <c r="AI807" s="243"/>
      <c r="AJ807" s="243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2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  <c r="AH808" s="243"/>
      <c r="AI808" s="243"/>
      <c r="AJ808" s="243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2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3"/>
      <c r="AI809" s="243"/>
      <c r="AJ809" s="243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2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3"/>
      <c r="AI810" s="243"/>
      <c r="AJ810" s="243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2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3"/>
      <c r="AI811" s="243"/>
      <c r="AJ811" s="243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2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3"/>
      <c r="AI812" s="243"/>
      <c r="AJ812" s="243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2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  <c r="AH813" s="243"/>
      <c r="AI813" s="243"/>
      <c r="AJ813" s="243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2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  <c r="AH814" s="243"/>
      <c r="AI814" s="243"/>
      <c r="AJ814" s="243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2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3"/>
      <c r="AI815" s="243"/>
      <c r="AJ815" s="243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2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3"/>
      <c r="AI816" s="243"/>
      <c r="AJ816" s="243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2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3"/>
      <c r="AI817" s="243"/>
      <c r="AJ817" s="243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2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  <c r="AH818" s="243"/>
      <c r="AI818" s="243"/>
      <c r="AJ818" s="243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2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  <c r="AH819" s="243"/>
      <c r="AI819" s="243"/>
      <c r="AJ819" s="243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2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3"/>
      <c r="AI820" s="243"/>
      <c r="AJ820" s="243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2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3"/>
      <c r="AI821" s="243"/>
      <c r="AJ821" s="243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2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3"/>
      <c r="AI822" s="243"/>
      <c r="AJ822" s="243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2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  <c r="AH823" s="243"/>
      <c r="AI823" s="243"/>
      <c r="AJ823" s="243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2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  <c r="AH824" s="243"/>
      <c r="AI824" s="243"/>
      <c r="AJ824" s="243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2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3"/>
      <c r="AI825" s="243"/>
      <c r="AJ825" s="243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2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3"/>
      <c r="AI826" s="243"/>
      <c r="AJ826" s="243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2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3"/>
      <c r="AI827" s="243"/>
      <c r="AJ827" s="243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2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  <c r="AH828" s="243"/>
      <c r="AI828" s="243"/>
      <c r="AJ828" s="243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2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  <c r="AH829" s="243"/>
      <c r="AI829" s="243"/>
      <c r="AJ829" s="243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2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3"/>
      <c r="AI830" s="243"/>
      <c r="AJ830" s="243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2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3"/>
      <c r="AI831" s="243"/>
      <c r="AJ831" s="243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2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3"/>
      <c r="AI832" s="243"/>
      <c r="AJ832" s="243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2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  <c r="AH833" s="243"/>
      <c r="AI833" s="243"/>
      <c r="AJ833" s="243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2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  <c r="AH834" s="243"/>
      <c r="AI834" s="243"/>
      <c r="AJ834" s="243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2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3"/>
      <c r="AI835" s="243"/>
      <c r="AJ835" s="243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2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3"/>
      <c r="AI836" s="243"/>
      <c r="AJ836" s="243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2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3"/>
      <c r="AI837" s="243"/>
      <c r="AJ837" s="243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2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3"/>
      <c r="AI838" s="243"/>
      <c r="AJ838" s="243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2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3"/>
      <c r="AI839" s="243"/>
      <c r="AJ839" s="243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2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2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2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2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3"/>
      <c r="AI843" s="243"/>
      <c r="AJ843" s="243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2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3"/>
      <c r="AI844" s="243"/>
      <c r="AJ844" s="243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2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2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2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2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3"/>
      <c r="AI848" s="243"/>
      <c r="AJ848" s="243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2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3"/>
      <c r="AI849" s="243"/>
      <c r="AJ849" s="243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2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  <c r="AH850" s="243"/>
      <c r="AI850" s="243"/>
      <c r="AJ850" s="243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2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  <c r="AH851" s="243"/>
      <c r="AI851" s="243"/>
      <c r="AJ851" s="243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2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  <c r="AH852" s="243"/>
      <c r="AI852" s="243"/>
      <c r="AJ852" s="243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2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3"/>
      <c r="AI853" s="243"/>
      <c r="AJ853" s="243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2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3"/>
      <c r="AI854" s="243"/>
      <c r="AJ854" s="243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2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3"/>
      <c r="AI855" s="243"/>
      <c r="AJ855" s="243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2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3"/>
      <c r="AI856" s="243"/>
      <c r="AJ856" s="243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2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3"/>
      <c r="AI857" s="243"/>
      <c r="AJ857" s="243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2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3"/>
      <c r="AI858" s="243"/>
      <c r="AJ858" s="243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2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3"/>
      <c r="AI859" s="243"/>
      <c r="AJ859" s="243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2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3"/>
      <c r="AI860" s="243"/>
      <c r="AJ860" s="243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2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3"/>
      <c r="AI861" s="243"/>
      <c r="AJ861" s="243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2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3"/>
      <c r="AI862" s="243"/>
      <c r="AJ862" s="243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2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3"/>
      <c r="AI863" s="243"/>
      <c r="AJ863" s="243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2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3"/>
      <c r="AI864" s="243"/>
      <c r="AJ864" s="243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2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3"/>
      <c r="AI865" s="243"/>
      <c r="AJ865" s="243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2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3"/>
      <c r="AI866" s="243"/>
      <c r="AJ866" s="243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2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3"/>
      <c r="AI867" s="243"/>
      <c r="AJ867" s="243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2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3"/>
      <c r="AI868" s="243"/>
      <c r="AJ868" s="243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2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3"/>
      <c r="AI869" s="243"/>
      <c r="AJ869" s="243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2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  <c r="AH870" s="243"/>
      <c r="AI870" s="243"/>
      <c r="AJ870" s="243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2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2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  <c r="AH872" s="243"/>
      <c r="AI872" s="243"/>
      <c r="AJ872" s="243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2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  <c r="AH873" s="243"/>
      <c r="AI873" s="243"/>
      <c r="AJ873" s="243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2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  <c r="AH874" s="243"/>
      <c r="AI874" s="243"/>
      <c r="AJ874" s="243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2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3"/>
      <c r="AI875" s="243"/>
      <c r="AJ875" s="243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2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3"/>
      <c r="AI876" s="243"/>
      <c r="AJ876" s="243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2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3"/>
      <c r="AI877" s="243"/>
      <c r="AJ877" s="243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2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  <c r="AH878" s="243"/>
      <c r="AI878" s="243"/>
      <c r="AJ878" s="243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2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  <c r="AH879" s="243"/>
      <c r="AI879" s="243"/>
      <c r="AJ879" s="243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2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  <c r="AH880" s="243"/>
      <c r="AI880" s="243"/>
      <c r="AJ880" s="243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2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  <c r="AH881" s="243"/>
      <c r="AI881" s="243"/>
      <c r="AJ881" s="243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2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  <c r="AH882" s="243"/>
      <c r="AI882" s="243"/>
      <c r="AJ882" s="243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2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  <c r="AH883" s="243"/>
      <c r="AI883" s="243"/>
      <c r="AJ883" s="243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2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  <c r="AH884" s="243"/>
      <c r="AI884" s="243"/>
      <c r="AJ884" s="243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2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  <c r="AH885" s="243"/>
      <c r="AI885" s="243"/>
      <c r="AJ885" s="243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2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3"/>
      <c r="AI886" s="243"/>
      <c r="AJ886" s="243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2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  <c r="AH887" s="243"/>
      <c r="AI887" s="243"/>
      <c r="AJ887" s="243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2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  <c r="AH888" s="243"/>
      <c r="AI888" s="243"/>
      <c r="AJ888" s="243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2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  <c r="AH889" s="243"/>
      <c r="AI889" s="243"/>
      <c r="AJ889" s="243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2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  <c r="AH890" s="243"/>
      <c r="AI890" s="243"/>
      <c r="AJ890" s="243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2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  <c r="AH891" s="243"/>
      <c r="AI891" s="243"/>
      <c r="AJ891" s="243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2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  <c r="AH892" s="243"/>
      <c r="AI892" s="243"/>
      <c r="AJ892" s="243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2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  <c r="AH893" s="243"/>
      <c r="AI893" s="243"/>
      <c r="AJ893" s="243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2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  <c r="AH894" s="243"/>
      <c r="AI894" s="243"/>
      <c r="AJ894" s="243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2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  <c r="AH895" s="243"/>
      <c r="AI895" s="243"/>
      <c r="AJ895" s="243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2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  <c r="AH896" s="243"/>
      <c r="AI896" s="243"/>
      <c r="AJ896" s="243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2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  <c r="AH897" s="243"/>
      <c r="AI897" s="243"/>
      <c r="AJ897" s="243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2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  <c r="AH898" s="243"/>
      <c r="AI898" s="243"/>
      <c r="AJ898" s="243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2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  <c r="AH899" s="243"/>
      <c r="AI899" s="243"/>
      <c r="AJ899" s="243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2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  <c r="AH900" s="243"/>
      <c r="AI900" s="243"/>
      <c r="AJ900" s="243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2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  <c r="AH901" s="243"/>
      <c r="AI901" s="243"/>
      <c r="AJ901" s="243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2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  <c r="AH902" s="243"/>
      <c r="AI902" s="243"/>
      <c r="AJ902" s="243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2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  <c r="AH903" s="243"/>
      <c r="AI903" s="243"/>
      <c r="AJ903" s="243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2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  <c r="AH904" s="243"/>
      <c r="AI904" s="243"/>
      <c r="AJ904" s="243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2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3"/>
      <c r="AI905" s="243"/>
      <c r="AJ905" s="243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2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3"/>
      <c r="AI906" s="243"/>
      <c r="AJ906" s="243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2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3"/>
      <c r="AI907" s="243"/>
      <c r="AJ907" s="243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2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3"/>
      <c r="AI908" s="243"/>
      <c r="AJ908" s="243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2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  <c r="AH909" s="243"/>
      <c r="AI909" s="243"/>
      <c r="AJ909" s="243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2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  <c r="AH910" s="243"/>
      <c r="AI910" s="243"/>
      <c r="AJ910" s="243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2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  <c r="AH911" s="243"/>
      <c r="AI911" s="243"/>
      <c r="AJ911" s="243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2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  <c r="AH912" s="243"/>
      <c r="AI912" s="243"/>
      <c r="AJ912" s="243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2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  <c r="AH913" s="243"/>
      <c r="AI913" s="243"/>
      <c r="AJ913" s="243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2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  <c r="AH914" s="243"/>
      <c r="AI914" s="243"/>
      <c r="AJ914" s="243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2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  <c r="AH915" s="243"/>
      <c r="AI915" s="243"/>
      <c r="AJ915" s="243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2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  <c r="AH916" s="243"/>
      <c r="AI916" s="243"/>
      <c r="AJ916" s="243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2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  <c r="AH917" s="243"/>
      <c r="AI917" s="243"/>
      <c r="AJ917" s="243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2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  <c r="AH918" s="243"/>
      <c r="AI918" s="243"/>
      <c r="AJ918" s="243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2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  <c r="AH919" s="243"/>
      <c r="AI919" s="243"/>
      <c r="AJ919" s="243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2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  <c r="AH920" s="243"/>
      <c r="AI920" s="243"/>
      <c r="AJ920" s="243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2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  <c r="AH921" s="243"/>
      <c r="AI921" s="243"/>
      <c r="AJ921" s="243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2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  <c r="AH922" s="243"/>
      <c r="AI922" s="243"/>
      <c r="AJ922" s="243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2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  <c r="AH923" s="243"/>
      <c r="AI923" s="243"/>
      <c r="AJ923" s="243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2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  <c r="AH924" s="243"/>
      <c r="AI924" s="243"/>
      <c r="AJ924" s="243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2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  <c r="AH925" s="243"/>
      <c r="AI925" s="243"/>
      <c r="AJ925" s="243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2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  <c r="AH926" s="243"/>
      <c r="AI926" s="243"/>
      <c r="AJ926" s="243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2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3"/>
      <c r="AI927" s="243"/>
      <c r="AJ927" s="243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2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3"/>
      <c r="AI928" s="243"/>
      <c r="AJ928" s="243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2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3"/>
      <c r="AI929" s="243"/>
      <c r="AJ929" s="243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2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2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2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2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2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3"/>
      <c r="AJ934" s="243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2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3"/>
      <c r="AJ935" s="243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2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2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2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2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3"/>
      <c r="AI939" s="243"/>
      <c r="AJ939" s="243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2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3"/>
      <c r="AI940" s="243"/>
      <c r="AJ940" s="243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2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3"/>
      <c r="AI941" s="243"/>
      <c r="AJ941" s="243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2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3"/>
      <c r="AJ942" s="243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2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3"/>
      <c r="AJ943" s="243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2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3"/>
      <c r="AJ944" s="243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2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3"/>
      <c r="AJ945" s="243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2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3"/>
      <c r="AI946" s="243"/>
      <c r="AJ946" s="243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2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3"/>
      <c r="AI947" s="243"/>
      <c r="AJ947" s="243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2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2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2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2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3"/>
      <c r="AJ951" s="243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2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3"/>
      <c r="AJ952" s="243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2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2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2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2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3"/>
      <c r="AJ956" s="243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2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3"/>
      <c r="AJ957" s="243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2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3"/>
      <c r="AJ958" s="243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2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3"/>
      <c r="AJ959" s="243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2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3"/>
      <c r="AJ960" s="243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2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3"/>
      <c r="AI961" s="243"/>
      <c r="AJ961" s="243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2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3"/>
      <c r="AI962" s="243"/>
      <c r="AJ962" s="243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2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3"/>
      <c r="AJ963" s="243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2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3"/>
      <c r="AJ964" s="243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2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3"/>
      <c r="AJ965" s="243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2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3"/>
      <c r="AI966" s="243"/>
      <c r="AJ966" s="243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2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3"/>
      <c r="AI967" s="243"/>
      <c r="AJ967" s="243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2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3"/>
      <c r="AJ968" s="243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2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3"/>
      <c r="AJ969" s="243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2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3"/>
      <c r="AJ970" s="243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2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3"/>
      <c r="AI971" s="243"/>
      <c r="AJ971" s="243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2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3"/>
      <c r="AI972" s="243"/>
      <c r="AJ972" s="243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2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3"/>
      <c r="AI973" s="243"/>
      <c r="AJ973" s="243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2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3"/>
      <c r="AI974" s="243"/>
      <c r="AJ974" s="243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2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3"/>
      <c r="AI975" s="243"/>
      <c r="AJ975" s="243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2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3"/>
      <c r="AI976" s="243"/>
      <c r="AJ976" s="243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2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3"/>
      <c r="AJ977" s="243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2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3"/>
      <c r="AJ978" s="243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2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3"/>
      <c r="AJ979" s="243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2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3"/>
      <c r="AJ980" s="243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2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3"/>
      <c r="AJ981" s="243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2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3"/>
      <c r="AJ982" s="243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2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3"/>
      <c r="AJ983" s="243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2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3"/>
      <c r="AJ984" s="243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2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3"/>
      <c r="AJ985" s="243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2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3"/>
      <c r="AJ986" s="243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2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3"/>
      <c r="AJ987" s="243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2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3"/>
      <c r="AJ988" s="243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2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3"/>
      <c r="AJ989" s="243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2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3"/>
      <c r="AJ990" s="243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2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2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2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2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2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2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2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2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  <c r="AH998" s="243"/>
      <c r="AI998" s="243"/>
      <c r="AJ998" s="243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2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3"/>
      <c r="Y999" s="243"/>
      <c r="Z999" s="243"/>
      <c r="AA999" s="243"/>
      <c r="AB999" s="243"/>
      <c r="AC999" s="243"/>
      <c r="AD999" s="243"/>
      <c r="AE999" s="243"/>
      <c r="AF999" s="243"/>
      <c r="AG999" s="243"/>
      <c r="AH999" s="243"/>
      <c r="AI999" s="243"/>
      <c r="AJ999" s="243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2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3"/>
      <c r="Y1000" s="243"/>
      <c r="Z1000" s="243"/>
      <c r="AA1000" s="243"/>
      <c r="AB1000" s="243"/>
      <c r="AC1000" s="243"/>
      <c r="AD1000" s="243"/>
      <c r="AE1000" s="243"/>
      <c r="AF1000" s="243"/>
      <c r="AG1000" s="243"/>
      <c r="AH1000" s="243"/>
      <c r="AI1000" s="243"/>
      <c r="AJ1000" s="243"/>
    </row>
    <row r="1001" hidden="1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2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3"/>
      <c r="Y1001" s="243"/>
      <c r="Z1001" s="243"/>
      <c r="AA1001" s="243"/>
      <c r="AB1001" s="243"/>
      <c r="AC1001" s="243"/>
      <c r="AD1001" s="243"/>
      <c r="AE1001" s="243"/>
      <c r="AF1001" s="243"/>
      <c r="AG1001" s="243"/>
      <c r="AH1001" s="243"/>
      <c r="AI1001" s="243"/>
      <c r="AJ1001" s="243"/>
    </row>
    <row r="1002" hidden="1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2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3"/>
      <c r="Y1002" s="243"/>
      <c r="Z1002" s="243"/>
      <c r="AA1002" s="243"/>
      <c r="AB1002" s="243"/>
      <c r="AC1002" s="243"/>
      <c r="AD1002" s="243"/>
      <c r="AE1002" s="243"/>
      <c r="AF1002" s="243"/>
      <c r="AG1002" s="243"/>
      <c r="AH1002" s="243"/>
      <c r="AI1002" s="243"/>
      <c r="AJ1002" s="243"/>
    </row>
    <row r="1003" hidden="1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2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3"/>
      <c r="Y1003" s="243"/>
      <c r="Z1003" s="243"/>
      <c r="AA1003" s="243"/>
      <c r="AB1003" s="243"/>
      <c r="AC1003" s="243"/>
      <c r="AD1003" s="243"/>
      <c r="AE1003" s="243"/>
      <c r="AF1003" s="243"/>
      <c r="AG1003" s="243"/>
      <c r="AH1003" s="243"/>
      <c r="AI1003" s="243"/>
      <c r="AJ1003" s="243"/>
    </row>
    <row r="1004" hidden="1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2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3"/>
      <c r="Y1004" s="243"/>
      <c r="Z1004" s="243"/>
      <c r="AA1004" s="243"/>
      <c r="AB1004" s="243"/>
      <c r="AC1004" s="243"/>
      <c r="AD1004" s="243"/>
      <c r="AE1004" s="243"/>
      <c r="AF1004" s="243"/>
      <c r="AG1004" s="243"/>
      <c r="AH1004" s="243"/>
      <c r="AI1004" s="243"/>
      <c r="AJ1004" s="243"/>
    </row>
    <row r="1005" hidden="1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2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3"/>
      <c r="Y1005" s="243"/>
      <c r="Z1005" s="243"/>
      <c r="AA1005" s="243"/>
      <c r="AB1005" s="243"/>
      <c r="AC1005" s="243"/>
      <c r="AD1005" s="243"/>
      <c r="AE1005" s="243"/>
      <c r="AF1005" s="243"/>
      <c r="AG1005" s="243"/>
      <c r="AH1005" s="243"/>
      <c r="AI1005" s="243"/>
      <c r="AJ1005" s="243"/>
    </row>
    <row r="1006" hidden="1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2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3"/>
      <c r="Y1006" s="243"/>
      <c r="Z1006" s="243"/>
      <c r="AA1006" s="243"/>
      <c r="AB1006" s="243"/>
      <c r="AC1006" s="243"/>
      <c r="AD1006" s="243"/>
      <c r="AE1006" s="243"/>
      <c r="AF1006" s="243"/>
      <c r="AG1006" s="243"/>
      <c r="AH1006" s="243"/>
      <c r="AI1006" s="243"/>
      <c r="AJ1006" s="243"/>
    </row>
    <row r="1007" hidden="1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2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3"/>
      <c r="Y1007" s="243"/>
      <c r="Z1007" s="243"/>
      <c r="AA1007" s="243"/>
      <c r="AB1007" s="243"/>
      <c r="AC1007" s="243"/>
      <c r="AD1007" s="243"/>
      <c r="AE1007" s="243"/>
      <c r="AF1007" s="243"/>
      <c r="AG1007" s="243"/>
      <c r="AH1007" s="243"/>
      <c r="AI1007" s="243"/>
      <c r="AJ1007" s="243"/>
    </row>
    <row r="1008" hidden="1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2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3"/>
      <c r="Y1008" s="243"/>
      <c r="Z1008" s="243"/>
      <c r="AA1008" s="243"/>
      <c r="AB1008" s="243"/>
      <c r="AC1008" s="243"/>
      <c r="AD1008" s="243"/>
      <c r="AE1008" s="243"/>
      <c r="AF1008" s="243"/>
      <c r="AG1008" s="243"/>
      <c r="AH1008" s="243"/>
      <c r="AI1008" s="243"/>
      <c r="AJ1008" s="243"/>
    </row>
    <row r="1009" hidden="1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2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3"/>
      <c r="Y1009" s="243"/>
      <c r="Z1009" s="243"/>
      <c r="AA1009" s="243"/>
      <c r="AB1009" s="243"/>
      <c r="AC1009" s="243"/>
      <c r="AD1009" s="243"/>
      <c r="AE1009" s="243"/>
      <c r="AF1009" s="243"/>
      <c r="AG1009" s="243"/>
      <c r="AH1009" s="243"/>
      <c r="AI1009" s="243"/>
      <c r="AJ1009" s="243"/>
    </row>
    <row r="1010" hidden="1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2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3"/>
      <c r="Y1010" s="243"/>
      <c r="Z1010" s="243"/>
      <c r="AA1010" s="243"/>
      <c r="AB1010" s="243"/>
      <c r="AC1010" s="243"/>
      <c r="AD1010" s="243"/>
      <c r="AE1010" s="243"/>
      <c r="AF1010" s="243"/>
      <c r="AG1010" s="243"/>
      <c r="AH1010" s="243"/>
      <c r="AI1010" s="243"/>
      <c r="AJ1010" s="243"/>
    </row>
    <row r="1011" hidden="1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2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3"/>
      <c r="Y1011" s="243"/>
      <c r="Z1011" s="243"/>
      <c r="AA1011" s="243"/>
      <c r="AB1011" s="243"/>
      <c r="AC1011" s="243"/>
      <c r="AD1011" s="243"/>
      <c r="AE1011" s="243"/>
      <c r="AF1011" s="243"/>
      <c r="AG1011" s="243"/>
      <c r="AH1011" s="243"/>
      <c r="AI1011" s="243"/>
      <c r="AJ1011" s="243"/>
    </row>
    <row r="1012" hidden="1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2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3"/>
      <c r="Y1012" s="243"/>
      <c r="Z1012" s="243"/>
      <c r="AA1012" s="243"/>
      <c r="AB1012" s="243"/>
      <c r="AC1012" s="243"/>
      <c r="AD1012" s="243"/>
      <c r="AE1012" s="243"/>
      <c r="AF1012" s="243"/>
      <c r="AG1012" s="243"/>
      <c r="AH1012" s="243"/>
      <c r="AI1012" s="243"/>
      <c r="AJ1012" s="243"/>
    </row>
    <row r="1013" hidden="1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2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3"/>
      <c r="Y1013" s="243"/>
      <c r="Z1013" s="243"/>
      <c r="AA1013" s="243"/>
      <c r="AB1013" s="243"/>
      <c r="AC1013" s="243"/>
      <c r="AD1013" s="243"/>
      <c r="AE1013" s="243"/>
      <c r="AF1013" s="243"/>
      <c r="AG1013" s="243"/>
      <c r="AH1013" s="243"/>
      <c r="AI1013" s="243"/>
      <c r="AJ1013" s="243"/>
    </row>
    <row r="1014" hidden="1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2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3"/>
      <c r="Y1014" s="243"/>
      <c r="Z1014" s="243"/>
      <c r="AA1014" s="243"/>
      <c r="AB1014" s="243"/>
      <c r="AC1014" s="243"/>
      <c r="AD1014" s="243"/>
      <c r="AE1014" s="243"/>
      <c r="AF1014" s="243"/>
      <c r="AG1014" s="243"/>
      <c r="AH1014" s="243"/>
      <c r="AI1014" s="243"/>
      <c r="AJ1014" s="243"/>
    </row>
    <row r="1015" hidden="1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2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3"/>
      <c r="Y1015" s="243"/>
      <c r="Z1015" s="243"/>
      <c r="AA1015" s="243"/>
      <c r="AB1015" s="243"/>
      <c r="AC1015" s="243"/>
      <c r="AD1015" s="243"/>
      <c r="AE1015" s="243"/>
      <c r="AF1015" s="243"/>
      <c r="AG1015" s="243"/>
      <c r="AH1015" s="243"/>
      <c r="AI1015" s="243"/>
      <c r="AJ1015" s="243"/>
    </row>
    <row r="1016" hidden="1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2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3"/>
      <c r="Y1016" s="243"/>
      <c r="Z1016" s="243"/>
      <c r="AA1016" s="243"/>
      <c r="AB1016" s="243"/>
      <c r="AC1016" s="243"/>
      <c r="AD1016" s="243"/>
      <c r="AE1016" s="243"/>
      <c r="AF1016" s="243"/>
      <c r="AG1016" s="243"/>
      <c r="AH1016" s="243"/>
      <c r="AI1016" s="243"/>
      <c r="AJ1016" s="243"/>
    </row>
    <row r="1017" hidden="1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2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3"/>
      <c r="Y1017" s="243"/>
      <c r="Z1017" s="243"/>
      <c r="AA1017" s="243"/>
      <c r="AB1017" s="243"/>
      <c r="AC1017" s="243"/>
      <c r="AD1017" s="243"/>
      <c r="AE1017" s="243"/>
      <c r="AF1017" s="243"/>
      <c r="AG1017" s="243"/>
      <c r="AH1017" s="243"/>
      <c r="AI1017" s="243"/>
      <c r="AJ1017" s="243"/>
    </row>
    <row r="1018" hidden="1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2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3"/>
      <c r="Y1018" s="243"/>
      <c r="Z1018" s="243"/>
      <c r="AA1018" s="243"/>
      <c r="AB1018" s="243"/>
      <c r="AC1018" s="243"/>
      <c r="AD1018" s="243"/>
      <c r="AE1018" s="243"/>
      <c r="AF1018" s="243"/>
      <c r="AG1018" s="243"/>
      <c r="AH1018" s="243"/>
      <c r="AI1018" s="243"/>
      <c r="AJ1018" s="243"/>
    </row>
    <row r="1019" hidden="1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2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3"/>
      <c r="Y1019" s="243"/>
      <c r="Z1019" s="243"/>
      <c r="AA1019" s="243"/>
      <c r="AB1019" s="243"/>
      <c r="AC1019" s="243"/>
      <c r="AD1019" s="243"/>
      <c r="AE1019" s="243"/>
      <c r="AF1019" s="243"/>
      <c r="AG1019" s="243"/>
      <c r="AH1019" s="243"/>
      <c r="AI1019" s="243"/>
      <c r="AJ1019" s="243"/>
    </row>
    <row r="1020" hidden="1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2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3"/>
      <c r="Y1020" s="243"/>
      <c r="Z1020" s="243"/>
      <c r="AA1020" s="243"/>
      <c r="AB1020" s="243"/>
      <c r="AC1020" s="243"/>
      <c r="AD1020" s="243"/>
      <c r="AE1020" s="243"/>
      <c r="AF1020" s="243"/>
      <c r="AG1020" s="243"/>
      <c r="AH1020" s="243"/>
      <c r="AI1020" s="243"/>
      <c r="AJ1020" s="243"/>
    </row>
    <row r="1021" hidden="1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2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3"/>
      <c r="Y1021" s="243"/>
      <c r="Z1021" s="243"/>
      <c r="AA1021" s="243"/>
      <c r="AB1021" s="243"/>
      <c r="AC1021" s="243"/>
      <c r="AD1021" s="243"/>
      <c r="AE1021" s="243"/>
      <c r="AF1021" s="243"/>
      <c r="AG1021" s="243"/>
      <c r="AH1021" s="243"/>
      <c r="AI1021" s="243"/>
      <c r="AJ1021" s="243"/>
    </row>
    <row r="1022" hidden="1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2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3"/>
      <c r="Y1022" s="243"/>
      <c r="Z1022" s="243"/>
      <c r="AA1022" s="243"/>
      <c r="AB1022" s="243"/>
      <c r="AC1022" s="243"/>
      <c r="AD1022" s="243"/>
      <c r="AE1022" s="243"/>
      <c r="AF1022" s="243"/>
      <c r="AG1022" s="243"/>
      <c r="AH1022" s="243"/>
      <c r="AI1022" s="243"/>
      <c r="AJ1022" s="243"/>
    </row>
    <row r="1023" hidden="1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2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3"/>
      <c r="Y1023" s="243"/>
      <c r="Z1023" s="243"/>
      <c r="AA1023" s="243"/>
      <c r="AB1023" s="243"/>
      <c r="AC1023" s="243"/>
      <c r="AD1023" s="243"/>
      <c r="AE1023" s="243"/>
      <c r="AF1023" s="243"/>
      <c r="AG1023" s="243"/>
      <c r="AH1023" s="243"/>
      <c r="AI1023" s="243"/>
      <c r="AJ1023" s="243"/>
    </row>
    <row r="1024" hidden="1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2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3"/>
      <c r="Y1024" s="243"/>
      <c r="Z1024" s="243"/>
      <c r="AA1024" s="243"/>
      <c r="AB1024" s="243"/>
      <c r="AC1024" s="243"/>
      <c r="AD1024" s="243"/>
      <c r="AE1024" s="243"/>
      <c r="AF1024" s="243"/>
      <c r="AG1024" s="243"/>
      <c r="AH1024" s="243"/>
      <c r="AI1024" s="243"/>
      <c r="AJ1024" s="243"/>
    </row>
    <row r="1025" hidden="1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2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3"/>
      <c r="Y1025" s="243"/>
      <c r="Z1025" s="243"/>
      <c r="AA1025" s="243"/>
      <c r="AB1025" s="243"/>
      <c r="AC1025" s="243"/>
      <c r="AD1025" s="243"/>
      <c r="AE1025" s="243"/>
      <c r="AF1025" s="243"/>
      <c r="AG1025" s="243"/>
      <c r="AH1025" s="243"/>
      <c r="AI1025" s="243"/>
      <c r="AJ1025" s="243"/>
    </row>
    <row r="1026" hidden="1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2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3"/>
      <c r="Y1026" s="243"/>
      <c r="Z1026" s="243"/>
      <c r="AA1026" s="243"/>
      <c r="AB1026" s="243"/>
      <c r="AC1026" s="243"/>
      <c r="AD1026" s="243"/>
      <c r="AE1026" s="243"/>
      <c r="AF1026" s="243"/>
      <c r="AG1026" s="243"/>
      <c r="AH1026" s="243"/>
      <c r="AI1026" s="243"/>
      <c r="AJ1026" s="243"/>
    </row>
    <row r="1027" hidden="1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2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3"/>
      <c r="Y1027" s="243"/>
      <c r="Z1027" s="243"/>
      <c r="AA1027" s="243"/>
      <c r="AB1027" s="243"/>
      <c r="AC1027" s="243"/>
      <c r="AD1027" s="243"/>
      <c r="AE1027" s="243"/>
      <c r="AF1027" s="243"/>
      <c r="AG1027" s="243"/>
      <c r="AH1027" s="243"/>
      <c r="AI1027" s="243"/>
      <c r="AJ1027" s="243"/>
    </row>
    <row r="1028" hidden="1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2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3"/>
      <c r="Y1028" s="243"/>
      <c r="Z1028" s="243"/>
      <c r="AA1028" s="243"/>
      <c r="AB1028" s="243"/>
      <c r="AC1028" s="243"/>
      <c r="AD1028" s="243"/>
      <c r="AE1028" s="243"/>
      <c r="AF1028" s="243"/>
      <c r="AG1028" s="243"/>
      <c r="AH1028" s="243"/>
      <c r="AI1028" s="243"/>
      <c r="AJ1028" s="243"/>
    </row>
    <row r="1029" hidden="1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2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3"/>
      <c r="Y1029" s="243"/>
      <c r="Z1029" s="243"/>
      <c r="AA1029" s="243"/>
      <c r="AB1029" s="243"/>
      <c r="AC1029" s="243"/>
      <c r="AD1029" s="243"/>
      <c r="AE1029" s="243"/>
      <c r="AF1029" s="243"/>
      <c r="AG1029" s="243"/>
      <c r="AH1029" s="243"/>
      <c r="AI1029" s="243"/>
      <c r="AJ1029" s="243"/>
    </row>
    <row r="1030" hidden="1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2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3"/>
      <c r="Y1030" s="243"/>
      <c r="Z1030" s="243"/>
      <c r="AA1030" s="243"/>
      <c r="AB1030" s="243"/>
      <c r="AC1030" s="243"/>
      <c r="AD1030" s="243"/>
      <c r="AE1030" s="243"/>
      <c r="AF1030" s="243"/>
      <c r="AG1030" s="243"/>
      <c r="AH1030" s="243"/>
      <c r="AI1030" s="243"/>
      <c r="AJ1030" s="243"/>
    </row>
    <row r="1031" hidden="1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2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3"/>
      <c r="Y1031" s="243"/>
      <c r="Z1031" s="243"/>
      <c r="AA1031" s="243"/>
      <c r="AB1031" s="243"/>
      <c r="AC1031" s="243"/>
      <c r="AD1031" s="243"/>
      <c r="AE1031" s="243"/>
      <c r="AF1031" s="243"/>
      <c r="AG1031" s="243"/>
      <c r="AH1031" s="243"/>
      <c r="AI1031" s="243"/>
      <c r="AJ1031" s="243"/>
    </row>
    <row r="1032" hidden="1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2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3"/>
      <c r="Y1032" s="243"/>
      <c r="Z1032" s="243"/>
      <c r="AA1032" s="243"/>
      <c r="AB1032" s="243"/>
      <c r="AC1032" s="243"/>
      <c r="AD1032" s="243"/>
      <c r="AE1032" s="243"/>
      <c r="AF1032" s="243"/>
      <c r="AG1032" s="243"/>
      <c r="AH1032" s="243"/>
      <c r="AI1032" s="243"/>
      <c r="AJ1032" s="243"/>
    </row>
    <row r="1033" hidden="1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2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3"/>
      <c r="Y1033" s="243"/>
      <c r="Z1033" s="243"/>
      <c r="AA1033" s="243"/>
      <c r="AB1033" s="243"/>
      <c r="AC1033" s="243"/>
      <c r="AD1033" s="243"/>
      <c r="AE1033" s="243"/>
      <c r="AF1033" s="243"/>
      <c r="AG1033" s="243"/>
      <c r="AH1033" s="243"/>
      <c r="AI1033" s="243"/>
      <c r="AJ1033" s="243"/>
    </row>
    <row r="1034" hidden="1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2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3"/>
      <c r="Y1034" s="243"/>
      <c r="Z1034" s="243"/>
      <c r="AA1034" s="243"/>
      <c r="AB1034" s="243"/>
      <c r="AC1034" s="243"/>
      <c r="AD1034" s="243"/>
      <c r="AE1034" s="243"/>
      <c r="AF1034" s="243"/>
      <c r="AG1034" s="243"/>
      <c r="AH1034" s="243"/>
      <c r="AI1034" s="243"/>
      <c r="AJ1034" s="243"/>
    </row>
    <row r="1035" hidden="1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2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3"/>
      <c r="Y1035" s="243"/>
      <c r="Z1035" s="243"/>
      <c r="AA1035" s="243"/>
      <c r="AB1035" s="243"/>
      <c r="AC1035" s="243"/>
      <c r="AD1035" s="243"/>
      <c r="AE1035" s="243"/>
      <c r="AF1035" s="243"/>
      <c r="AG1035" s="243"/>
      <c r="AH1035" s="243"/>
      <c r="AI1035" s="243"/>
      <c r="AJ1035" s="243"/>
    </row>
    <row r="1036" hidden="1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2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3"/>
      <c r="Y1036" s="243"/>
      <c r="Z1036" s="243"/>
      <c r="AA1036" s="243"/>
      <c r="AB1036" s="243"/>
      <c r="AC1036" s="243"/>
      <c r="AD1036" s="243"/>
      <c r="AE1036" s="243"/>
      <c r="AF1036" s="243"/>
      <c r="AG1036" s="243"/>
      <c r="AH1036" s="243"/>
      <c r="AI1036" s="243"/>
      <c r="AJ1036" s="243"/>
    </row>
    <row r="1037" hidden="1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2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3"/>
      <c r="Y1037" s="243"/>
      <c r="Z1037" s="243"/>
      <c r="AA1037" s="243"/>
      <c r="AB1037" s="243"/>
      <c r="AC1037" s="243"/>
      <c r="AD1037" s="243"/>
      <c r="AE1037" s="243"/>
      <c r="AF1037" s="243"/>
      <c r="AG1037" s="243"/>
      <c r="AH1037" s="243"/>
      <c r="AI1037" s="243"/>
      <c r="AJ1037" s="243"/>
    </row>
    <row r="1038" hidden="1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2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3"/>
      <c r="Y1038" s="243"/>
      <c r="Z1038" s="243"/>
      <c r="AA1038" s="243"/>
      <c r="AB1038" s="243"/>
      <c r="AC1038" s="243"/>
      <c r="AD1038" s="243"/>
      <c r="AE1038" s="243"/>
      <c r="AF1038" s="243"/>
      <c r="AG1038" s="243"/>
      <c r="AH1038" s="243"/>
      <c r="AI1038" s="243"/>
      <c r="AJ1038" s="243"/>
    </row>
    <row r="1039" hidden="1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2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3"/>
      <c r="Y1039" s="243"/>
      <c r="Z1039" s="243"/>
      <c r="AA1039" s="243"/>
      <c r="AB1039" s="243"/>
      <c r="AC1039" s="243"/>
      <c r="AD1039" s="243"/>
      <c r="AE1039" s="243"/>
      <c r="AF1039" s="243"/>
      <c r="AG1039" s="243"/>
      <c r="AH1039" s="243"/>
      <c r="AI1039" s="243"/>
      <c r="AJ1039" s="243"/>
    </row>
    <row r="1040" hidden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2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3"/>
      <c r="Y1040" s="243"/>
      <c r="Z1040" s="243"/>
      <c r="AA1040" s="243"/>
      <c r="AB1040" s="243"/>
      <c r="AC1040" s="243"/>
      <c r="AD1040" s="243"/>
      <c r="AE1040" s="243"/>
      <c r="AF1040" s="243"/>
      <c r="AG1040" s="243"/>
      <c r="AH1040" s="243"/>
      <c r="AI1040" s="243"/>
      <c r="AJ1040" s="243"/>
    </row>
    <row r="1041" hidden="1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2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3"/>
      <c r="Y1041" s="243"/>
      <c r="Z1041" s="243"/>
      <c r="AA1041" s="243"/>
      <c r="AB1041" s="243"/>
      <c r="AC1041" s="243"/>
      <c r="AD1041" s="243"/>
      <c r="AE1041" s="243"/>
      <c r="AF1041" s="243"/>
      <c r="AG1041" s="243"/>
      <c r="AH1041" s="243"/>
      <c r="AI1041" s="243"/>
      <c r="AJ1041" s="243"/>
    </row>
    <row r="1042" hidden="1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2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3"/>
      <c r="Y1042" s="243"/>
      <c r="Z1042" s="243"/>
      <c r="AA1042" s="243"/>
      <c r="AB1042" s="243"/>
      <c r="AC1042" s="243"/>
      <c r="AD1042" s="243"/>
      <c r="AE1042" s="243"/>
      <c r="AF1042" s="243"/>
      <c r="AG1042" s="243"/>
      <c r="AH1042" s="243"/>
      <c r="AI1042" s="243"/>
      <c r="AJ1042" s="243"/>
    </row>
    <row r="1043" hidden="1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2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3"/>
      <c r="Y1043" s="243"/>
      <c r="Z1043" s="243"/>
      <c r="AA1043" s="243"/>
      <c r="AB1043" s="243"/>
      <c r="AC1043" s="243"/>
      <c r="AD1043" s="243"/>
      <c r="AE1043" s="243"/>
      <c r="AF1043" s="243"/>
      <c r="AG1043" s="243"/>
      <c r="AH1043" s="243"/>
      <c r="AI1043" s="243"/>
      <c r="AJ1043" s="243"/>
    </row>
    <row r="1044" hidden="1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2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3"/>
      <c r="Y1044" s="243"/>
      <c r="Z1044" s="243"/>
      <c r="AA1044" s="243"/>
      <c r="AB1044" s="243"/>
      <c r="AC1044" s="243"/>
      <c r="AD1044" s="243"/>
      <c r="AE1044" s="243"/>
      <c r="AF1044" s="243"/>
      <c r="AG1044" s="243"/>
      <c r="AH1044" s="243"/>
      <c r="AI1044" s="243"/>
      <c r="AJ1044" s="243"/>
    </row>
    <row r="1045" hidden="1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2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3"/>
      <c r="Y1045" s="243"/>
      <c r="Z1045" s="243"/>
      <c r="AA1045" s="243"/>
      <c r="AB1045" s="243"/>
      <c r="AC1045" s="243"/>
      <c r="AD1045" s="243"/>
      <c r="AE1045" s="243"/>
      <c r="AF1045" s="243"/>
      <c r="AG1045" s="243"/>
      <c r="AH1045" s="243"/>
      <c r="AI1045" s="243"/>
      <c r="AJ1045" s="243"/>
    </row>
    <row r="1046" hidden="1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2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3"/>
      <c r="Y1046" s="243"/>
      <c r="Z1046" s="243"/>
      <c r="AA1046" s="243"/>
      <c r="AB1046" s="243"/>
      <c r="AC1046" s="243"/>
      <c r="AD1046" s="243"/>
      <c r="AE1046" s="243"/>
      <c r="AF1046" s="243"/>
      <c r="AG1046" s="243"/>
      <c r="AH1046" s="243"/>
      <c r="AI1046" s="243"/>
      <c r="AJ1046" s="243"/>
    </row>
    <row r="1047" hidden="1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2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3"/>
      <c r="Y1047" s="243"/>
      <c r="Z1047" s="243"/>
      <c r="AA1047" s="243"/>
      <c r="AB1047" s="243"/>
      <c r="AC1047" s="243"/>
      <c r="AD1047" s="243"/>
      <c r="AE1047" s="243"/>
      <c r="AF1047" s="243"/>
      <c r="AG1047" s="243"/>
      <c r="AH1047" s="243"/>
      <c r="AI1047" s="243"/>
      <c r="AJ1047" s="243"/>
    </row>
    <row r="1048" hidden="1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2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3"/>
      <c r="Y1048" s="243"/>
      <c r="Z1048" s="243"/>
      <c r="AA1048" s="243"/>
      <c r="AB1048" s="243"/>
      <c r="AC1048" s="243"/>
      <c r="AD1048" s="243"/>
      <c r="AE1048" s="243"/>
      <c r="AF1048" s="243"/>
      <c r="AG1048" s="243"/>
      <c r="AH1048" s="243"/>
      <c r="AI1048" s="243"/>
      <c r="AJ1048" s="243"/>
    </row>
    <row r="1049" hidden="1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2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3"/>
      <c r="Y1049" s="243"/>
      <c r="Z1049" s="243"/>
      <c r="AA1049" s="243"/>
      <c r="AB1049" s="243"/>
      <c r="AC1049" s="243"/>
      <c r="AD1049" s="243"/>
      <c r="AE1049" s="243"/>
      <c r="AF1049" s="243"/>
      <c r="AG1049" s="243"/>
      <c r="AH1049" s="243"/>
      <c r="AI1049" s="243"/>
      <c r="AJ1049" s="243"/>
    </row>
    <row r="1050" hidden="1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2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3"/>
      <c r="Y1050" s="243"/>
      <c r="Z1050" s="243"/>
      <c r="AA1050" s="243"/>
      <c r="AB1050" s="243"/>
      <c r="AC1050" s="243"/>
      <c r="AD1050" s="243"/>
      <c r="AE1050" s="243"/>
      <c r="AF1050" s="243"/>
      <c r="AG1050" s="243"/>
      <c r="AH1050" s="243"/>
      <c r="AI1050" s="243"/>
      <c r="AJ1050" s="243"/>
    </row>
    <row r="1051" hidden="1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2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3"/>
      <c r="Y1051" s="243"/>
      <c r="Z1051" s="243"/>
      <c r="AA1051" s="243"/>
      <c r="AB1051" s="243"/>
      <c r="AC1051" s="243"/>
      <c r="AD1051" s="243"/>
      <c r="AE1051" s="243"/>
      <c r="AF1051" s="243"/>
      <c r="AG1051" s="243"/>
      <c r="AH1051" s="243"/>
      <c r="AI1051" s="243"/>
      <c r="AJ1051" s="243"/>
    </row>
    <row r="1052" hidden="1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2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3"/>
      <c r="Y1052" s="243"/>
      <c r="Z1052" s="243"/>
      <c r="AA1052" s="243"/>
      <c r="AB1052" s="243"/>
      <c r="AC1052" s="243"/>
      <c r="AD1052" s="243"/>
      <c r="AE1052" s="243"/>
      <c r="AF1052" s="243"/>
      <c r="AG1052" s="243"/>
      <c r="AH1052" s="243"/>
      <c r="AI1052" s="243"/>
      <c r="AJ1052" s="243"/>
    </row>
    <row r="1053" hidden="1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2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3"/>
      <c r="Y1053" s="243"/>
      <c r="Z1053" s="243"/>
      <c r="AA1053" s="243"/>
      <c r="AB1053" s="243"/>
      <c r="AC1053" s="243"/>
      <c r="AD1053" s="243"/>
      <c r="AE1053" s="243"/>
      <c r="AF1053" s="243"/>
      <c r="AG1053" s="243"/>
      <c r="AH1053" s="243"/>
      <c r="AI1053" s="243"/>
      <c r="AJ1053" s="243"/>
    </row>
    <row r="1054" hidden="1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2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3"/>
      <c r="Y1054" s="243"/>
      <c r="Z1054" s="243"/>
      <c r="AA1054" s="243"/>
      <c r="AB1054" s="243"/>
      <c r="AC1054" s="243"/>
      <c r="AD1054" s="243"/>
      <c r="AE1054" s="243"/>
      <c r="AF1054" s="243"/>
      <c r="AG1054" s="243"/>
      <c r="AH1054" s="243"/>
      <c r="AI1054" s="243"/>
      <c r="AJ1054" s="243"/>
    </row>
    <row r="1055" hidden="1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2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3"/>
      <c r="Y1055" s="243"/>
      <c r="Z1055" s="243"/>
      <c r="AA1055" s="243"/>
      <c r="AB1055" s="243"/>
      <c r="AC1055" s="243"/>
      <c r="AD1055" s="243"/>
      <c r="AE1055" s="243"/>
      <c r="AF1055" s="243"/>
      <c r="AG1055" s="243"/>
      <c r="AH1055" s="243"/>
      <c r="AI1055" s="243"/>
      <c r="AJ1055" s="243"/>
    </row>
    <row r="1056" hidden="1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2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3"/>
      <c r="Y1056" s="243"/>
      <c r="Z1056" s="243"/>
      <c r="AA1056" s="243"/>
      <c r="AB1056" s="243"/>
      <c r="AC1056" s="243"/>
      <c r="AD1056" s="243"/>
      <c r="AE1056" s="243"/>
      <c r="AF1056" s="243"/>
      <c r="AG1056" s="243"/>
      <c r="AH1056" s="243"/>
      <c r="AI1056" s="243"/>
      <c r="AJ1056" s="243"/>
    </row>
    <row r="1057" hidden="1">
      <c r="A1057" s="241"/>
      <c r="B1057" s="241"/>
      <c r="C1057" s="241"/>
      <c r="D1057" s="241"/>
      <c r="E1057" s="241"/>
      <c r="F1057" s="241"/>
      <c r="G1057" s="241"/>
      <c r="H1057" s="241"/>
      <c r="I1057" s="241"/>
      <c r="J1057" s="241"/>
      <c r="K1057" s="241"/>
      <c r="L1057" s="242"/>
      <c r="M1057" s="241"/>
      <c r="N1057" s="241"/>
      <c r="O1057" s="241"/>
      <c r="P1057" s="241"/>
      <c r="Q1057" s="241"/>
      <c r="R1057" s="241"/>
      <c r="S1057" s="241"/>
      <c r="T1057" s="241"/>
      <c r="U1057" s="241"/>
      <c r="V1057" s="241"/>
      <c r="W1057" s="241"/>
      <c r="X1057" s="243"/>
      <c r="Y1057" s="243"/>
      <c r="Z1057" s="243"/>
      <c r="AA1057" s="243"/>
      <c r="AB1057" s="243"/>
      <c r="AC1057" s="243"/>
      <c r="AD1057" s="243"/>
      <c r="AE1057" s="243"/>
      <c r="AF1057" s="243"/>
      <c r="AG1057" s="243"/>
      <c r="AH1057" s="243"/>
      <c r="AI1057" s="243"/>
      <c r="AJ1057" s="243"/>
    </row>
    <row r="1058" hidden="1">
      <c r="A1058" s="241"/>
      <c r="B1058" s="241"/>
      <c r="C1058" s="241"/>
      <c r="D1058" s="241"/>
      <c r="E1058" s="241"/>
      <c r="F1058" s="241"/>
      <c r="G1058" s="241"/>
      <c r="H1058" s="241"/>
      <c r="I1058" s="241"/>
      <c r="J1058" s="241"/>
      <c r="K1058" s="241"/>
      <c r="L1058" s="242"/>
      <c r="M1058" s="241"/>
      <c r="N1058" s="241"/>
      <c r="O1058" s="241"/>
      <c r="P1058" s="241"/>
      <c r="Q1058" s="241"/>
      <c r="R1058" s="241"/>
      <c r="S1058" s="241"/>
      <c r="T1058" s="241"/>
      <c r="U1058" s="241"/>
      <c r="V1058" s="241"/>
      <c r="W1058" s="241"/>
      <c r="X1058" s="243"/>
      <c r="Y1058" s="243"/>
      <c r="Z1058" s="243"/>
      <c r="AA1058" s="243"/>
      <c r="AB1058" s="243"/>
      <c r="AC1058" s="243"/>
      <c r="AD1058" s="243"/>
      <c r="AE1058" s="243"/>
      <c r="AF1058" s="243"/>
      <c r="AG1058" s="243"/>
      <c r="AH1058" s="243"/>
      <c r="AI1058" s="243"/>
      <c r="AJ1058" s="243"/>
    </row>
    <row r="1059" hidden="1">
      <c r="A1059" s="241"/>
      <c r="B1059" s="241"/>
      <c r="C1059" s="241"/>
      <c r="D1059" s="241"/>
      <c r="E1059" s="241"/>
      <c r="F1059" s="241"/>
      <c r="G1059" s="241"/>
      <c r="H1059" s="241"/>
      <c r="I1059" s="241"/>
      <c r="J1059" s="241"/>
      <c r="K1059" s="241"/>
      <c r="L1059" s="242"/>
      <c r="M1059" s="241"/>
      <c r="N1059" s="241"/>
      <c r="O1059" s="241"/>
      <c r="P1059" s="241"/>
      <c r="Q1059" s="241"/>
      <c r="R1059" s="241"/>
      <c r="S1059" s="241"/>
      <c r="T1059" s="241"/>
      <c r="U1059" s="241"/>
      <c r="V1059" s="241"/>
      <c r="W1059" s="241"/>
      <c r="X1059" s="243"/>
      <c r="Y1059" s="243"/>
      <c r="Z1059" s="243"/>
      <c r="AA1059" s="243"/>
      <c r="AB1059" s="243"/>
      <c r="AC1059" s="243"/>
      <c r="AD1059" s="243"/>
      <c r="AE1059" s="243"/>
      <c r="AF1059" s="243"/>
      <c r="AG1059" s="243"/>
      <c r="AH1059" s="243"/>
      <c r="AI1059" s="243"/>
      <c r="AJ1059" s="243"/>
    </row>
    <row r="1060" hidden="1">
      <c r="A1060" s="241"/>
      <c r="B1060" s="241"/>
      <c r="C1060" s="241"/>
      <c r="D1060" s="241"/>
      <c r="E1060" s="241"/>
      <c r="F1060" s="241"/>
      <c r="G1060" s="241"/>
      <c r="H1060" s="241"/>
      <c r="I1060" s="241"/>
      <c r="J1060" s="241"/>
      <c r="K1060" s="241"/>
      <c r="L1060" s="242"/>
      <c r="M1060" s="241"/>
      <c r="N1060" s="241"/>
      <c r="O1060" s="241"/>
      <c r="P1060" s="241"/>
      <c r="Q1060" s="241"/>
      <c r="R1060" s="241"/>
      <c r="S1060" s="241"/>
      <c r="T1060" s="241"/>
      <c r="U1060" s="241"/>
      <c r="V1060" s="241"/>
      <c r="W1060" s="241"/>
      <c r="X1060" s="243"/>
      <c r="Y1060" s="243"/>
      <c r="Z1060" s="243"/>
      <c r="AA1060" s="243"/>
      <c r="AB1060" s="243"/>
      <c r="AC1060" s="243"/>
      <c r="AD1060" s="243"/>
      <c r="AE1060" s="243"/>
      <c r="AF1060" s="243"/>
      <c r="AG1060" s="243"/>
      <c r="AH1060" s="243"/>
      <c r="AI1060" s="243"/>
      <c r="AJ1060" s="243"/>
    </row>
    <row r="1061" hidden="1">
      <c r="A1061" s="241"/>
      <c r="B1061" s="241"/>
      <c r="C1061" s="241"/>
      <c r="D1061" s="241"/>
      <c r="E1061" s="241"/>
      <c r="F1061" s="241"/>
      <c r="G1061" s="241"/>
      <c r="H1061" s="241"/>
      <c r="I1061" s="241"/>
      <c r="J1061" s="241"/>
      <c r="K1061" s="241"/>
      <c r="L1061" s="242"/>
      <c r="M1061" s="241"/>
      <c r="N1061" s="241"/>
      <c r="O1061" s="241"/>
      <c r="P1061" s="241"/>
      <c r="Q1061" s="241"/>
      <c r="R1061" s="241"/>
      <c r="S1061" s="241"/>
      <c r="T1061" s="241"/>
      <c r="U1061" s="241"/>
      <c r="V1061" s="241"/>
      <c r="W1061" s="241"/>
      <c r="X1061" s="243"/>
      <c r="Y1061" s="243"/>
      <c r="Z1061" s="243"/>
      <c r="AA1061" s="243"/>
      <c r="AB1061" s="243"/>
      <c r="AC1061" s="243"/>
      <c r="AD1061" s="243"/>
      <c r="AE1061" s="243"/>
      <c r="AF1061" s="243"/>
      <c r="AG1061" s="243"/>
      <c r="AH1061" s="243"/>
      <c r="AI1061" s="243"/>
      <c r="AJ1061" s="243"/>
    </row>
    <row r="1062" hidden="1">
      <c r="A1062" s="241"/>
      <c r="B1062" s="241"/>
      <c r="C1062" s="241"/>
      <c r="D1062" s="241"/>
      <c r="E1062" s="241"/>
      <c r="F1062" s="241"/>
      <c r="G1062" s="241"/>
      <c r="H1062" s="241"/>
      <c r="I1062" s="241"/>
      <c r="J1062" s="241"/>
      <c r="K1062" s="241"/>
      <c r="L1062" s="242"/>
      <c r="M1062" s="241"/>
      <c r="N1062" s="241"/>
      <c r="O1062" s="241"/>
      <c r="P1062" s="241"/>
      <c r="Q1062" s="241"/>
      <c r="R1062" s="241"/>
      <c r="S1062" s="241"/>
      <c r="T1062" s="241"/>
      <c r="U1062" s="241"/>
      <c r="V1062" s="241"/>
      <c r="W1062" s="241"/>
      <c r="X1062" s="243"/>
      <c r="Y1062" s="243"/>
      <c r="Z1062" s="243"/>
      <c r="AA1062" s="243"/>
      <c r="AB1062" s="243"/>
      <c r="AC1062" s="243"/>
      <c r="AD1062" s="243"/>
      <c r="AE1062" s="243"/>
      <c r="AF1062" s="243"/>
      <c r="AG1062" s="243"/>
      <c r="AH1062" s="243"/>
      <c r="AI1062" s="243"/>
      <c r="AJ1062" s="243"/>
    </row>
    <row r="1063" hidden="1">
      <c r="A1063" s="241"/>
      <c r="B1063" s="241"/>
      <c r="C1063" s="241"/>
      <c r="D1063" s="241"/>
      <c r="E1063" s="241"/>
      <c r="F1063" s="241"/>
      <c r="G1063" s="241"/>
      <c r="H1063" s="241"/>
      <c r="I1063" s="241"/>
      <c r="J1063" s="241"/>
      <c r="K1063" s="241"/>
      <c r="L1063" s="242"/>
      <c r="M1063" s="241"/>
      <c r="N1063" s="241"/>
      <c r="O1063" s="241"/>
      <c r="P1063" s="241"/>
      <c r="Q1063" s="241"/>
      <c r="R1063" s="241"/>
      <c r="S1063" s="241"/>
      <c r="T1063" s="241"/>
      <c r="U1063" s="241"/>
      <c r="V1063" s="241"/>
      <c r="W1063" s="241"/>
      <c r="X1063" s="243"/>
      <c r="Y1063" s="243"/>
      <c r="Z1063" s="243"/>
      <c r="AA1063" s="243"/>
      <c r="AB1063" s="243"/>
      <c r="AC1063" s="243"/>
      <c r="AD1063" s="243"/>
      <c r="AE1063" s="243"/>
      <c r="AF1063" s="243"/>
      <c r="AG1063" s="243"/>
      <c r="AH1063" s="243"/>
      <c r="AI1063" s="243"/>
      <c r="AJ1063" s="24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4.75"/>
    <col customWidth="1" min="4" max="4" width="4.0"/>
    <col customWidth="1" min="5" max="5" width="4.88"/>
    <col customWidth="1" min="6" max="6" width="3.38"/>
    <col customWidth="1" min="7" max="7" width="4.75"/>
    <col customWidth="1" min="8" max="8" width="4.13"/>
    <col customWidth="1" min="9" max="9" width="4.5"/>
    <col customWidth="1" min="10" max="10" width="4.13"/>
    <col customWidth="1" min="11" max="11" width="3.88"/>
    <col customWidth="1" min="12" max="12" width="4.13"/>
    <col customWidth="1" min="13" max="13" width="4.25"/>
    <col customWidth="1" min="14" max="14" width="3.63"/>
    <col customWidth="1" min="15" max="15" width="3.88"/>
    <col customWidth="1" min="16" max="16" width="3.5"/>
    <col customWidth="1" min="17" max="17" width="4.38"/>
    <col customWidth="1" min="18" max="18" width="3.25"/>
    <col customWidth="1" min="19" max="19" width="4.63"/>
    <col customWidth="1" min="20" max="20" width="3.63"/>
    <col customWidth="1" min="21" max="21" width="3.88"/>
    <col customWidth="1" min="22" max="22" width="2.88"/>
    <col customWidth="1" min="23" max="23" width="4.13"/>
    <col customWidth="1" min="24" max="24" width="3.88"/>
    <col customWidth="1" min="25" max="25" width="4.88"/>
    <col customWidth="1" min="26" max="26" width="3.88"/>
    <col customWidth="1" min="27" max="30" width="4.0"/>
    <col customWidth="1" min="31" max="31" width="3.75"/>
    <col customWidth="1" min="32" max="32" width="4.0"/>
    <col customWidth="1" min="33" max="33" width="4.13"/>
    <col customWidth="1" min="34" max="34" width="3.63"/>
    <col customWidth="1" min="35" max="35" width="3.88"/>
    <col customWidth="1" min="36" max="36" width="4.38"/>
  </cols>
  <sheetData>
    <row r="1">
      <c r="A1" s="241" t="str">
        <f>IFERROR(__xludf.DUMMYFUNCTION("if('Time 2'!C3 = ""Albert"", query(IMPORTRANGE(cd_planilha, ""Armas!B3:G""), ""Select Col1 Where Col2 = '""&amp;Personagem!$B$2&amp;""' or Col2 = '""&amp;Personagem!$B$3&amp;""' or Col2 = '""&amp;Personagem!$B$4&amp;""' or Col2 = '""&amp;Personagem!$B$5&amp;""'""),     
if('Time 2'!C3 ="&amp;" ""Alicia"", query(IMPORTRANGE(cd_planilha, ""Armas!B3:G""), ""Select Col1 Where Col2 = '""&amp;Personagem!$C$2&amp;""' or Col2 = '""&amp;Personagem!$C$3&amp;""' or Col2 = '""&amp;Personagem!$C$4&amp;""' or Col2 = '""&amp;Personagem!$C$5&amp;""'""),
if('Time 2'!C3 = ""Azula"", query(IMP"&amp;"ORTRANGE(cd_planilha, ""Armas!B3:G""), ""Select Col1 Where Col2 = '""&amp;Personagem!$D$2&amp;""' or Col2 = '""&amp;Personagem!$D$3&amp;""' or Col2 = '""&amp;Personagem!$D$4&amp;""' or Col2 = '""&amp;Personagem!$D$5&amp;""'""),
if('Time 2'!C3 = ""Charles"", query(IMPORTRANGE(cd_planilha"&amp;", ""Armas!B3:G""), ""Select Col1 Where Col2 = '""&amp;Personagem!$E$2&amp;""' or Col2 = '""&amp;Personagem!$E$3&amp;""' or Col2 = '""&amp;Personagem!$E$4&amp;""' or Col2 = '""&amp;Personagem!$E$5&amp;""'""),
if('Time 2'!C3 = ""Clovis"", query(IMPORTRANGE(cd_planilha, ""Armas!B3:G""), """&amp;"Select Col1 Where Col2 = '""&amp;Personagem!$F$2&amp;""' or Col2 = '""&amp;Personagem!$F$3&amp;""' or Col2 = '""&amp;Personagem!$F$4&amp;""' or Col2 = '""&amp;Personagem!$F$5&amp;""'""),
if('Time 2'!C3 = ""Darthos"", query(IMPORTRANGE(cd_planilha, ""Armas!B3:G""), ""Select Col1 Where Co"&amp;"l2 = '""&amp;Personagem!$G$2&amp;""' or Col2 = '""&amp;Personagem!$G$3&amp;""' or Col2 = '""&amp;Personagem!$G$4&amp;""' or Col2 = '""&amp;Personagem!$G$5&amp;""'""),
if('Time 2'!C3 = ""Edward"", query(IMPORTRANGE(cd_planilha, ""Armas!B3:G""), ""Select Col1 Where Col2 = '""&amp;Personagem!$"&amp;"H$2&amp;""' or Col2 = '""&amp;Personagem!$H$3&amp;""' or Col2 = '""&amp;Personagem!$H$4&amp;""' or Col2 = '""&amp;Personagem!$H$5&amp;""'""),
if('Time 2'!C3 = ""Fiora"", query(IMPORTRANGE(cd_planilha, ""Armas!B3:G""), ""Select Col1 Where Col2 = '""&amp;Personagem!$I$2&amp;""' or Col2 = '""&amp;"&amp;"Personagem!$I$3&amp;""' or Col2 = '""&amp;Personagem!$I$4&amp;""' or Col2 = '""&amp;Personagem!$I$5&amp;""'""),
if('Time 2'!C3 = ""Francesca"", query(IMPORTRANGE(cd_planilha, ""Armas!B3:G""), ""Select Col1 Where Col2 = '""&amp;Personagem!$J$2&amp;""' or Col2 = '""&amp;Personagem!$J$3&amp;"""&amp;"' or Col2 = '""&amp;Personagem!$J$4&amp;""' or Col2 = '""&amp;Personagem!$J$5&amp;""'""),
if('Time 2'!C3 = ""Garreth"", query(IMPORTRANGE(cd_planilha, ""Armas!B3:G""), ""Select Col1 Where Col2 = '""&amp;Personagem!$K$2&amp;""' or Col2 = '""&amp;Personagem!$K$3&amp;""' or Col2 = '""&amp;Pers"&amp;"onagem!$K$4&amp;""' or Col2 = '""&amp;Personagem!$K$5&amp;""'""),
if('Time 2'!C3 = ""Gauvin"", query(IMPORTRANGE(cd_planilha, ""Armas!B3:G""), ""Select Col1 Where Col2 = '""&amp;Personagem!$L$2&amp;""' or Col2 = '""&amp;Personagem!$L$3&amp;""' or Col2 = '""&amp;Personagem!$L$4&amp;""' or Co"&amp;"l2 = '""&amp;Personagem!$L$5&amp;""'""),
if('Time 2'!C3 = ""Irene"", query(IMPORTRANGE(cd_planilha, ""Armas!B3:G""), ""Select Col1 Where Col2 = '""&amp;Personagem!$M$2&amp;""' or Col2 = '""&amp;Personagem!$M$3&amp;""' or Col2 = '""&amp;Personagem!$M$4&amp;""' or Col2 = '""&amp;Personagem!$M"&amp;"$5&amp;""'""),
if('Time 2'!C3 = ""Karal"", query(IMPORTRANGE(cd_planilha, ""Armas!B3:G""), ""Select Col1 Where Col2 = '""&amp;Personagem!$N$2&amp;""' or Col2 = '""&amp;Personagem!$N$3&amp;""' or Col2 = '""&amp;Personagem!$N$4&amp;""' or Col2 = '""&amp;Personagem!$N$5&amp;""'""),
if('Time 2'"&amp;"!C3 = ""Kuro Shobi"", query(IMPORTRANGE(cd_planilha, ""Armas!B3:G""), ""Select Col1 Where Col2 = '""&amp;Personagem!$O$2&amp;""' or Col2 = '""&amp;Personagem!$O$3&amp;""' or Col2 = '""&amp;Personagem!$O$4&amp;""' or Col2 = '""&amp;Personagem!$O$5&amp;""'""),
if('Time 2'!C3 = ""Kurul"", "&amp;"query(IMPORTRANGE(cd_planilha, ""Armas!B3:G""), ""Select Col1 Where Col2 = '""&amp;Personagem!$P$2&amp;""' or Col2 = '""&amp;Personagem!$P$3&amp;""' or Col2 = '""&amp;Personagem!$P$4&amp;""' or Col2 = '""&amp;Personagem!$P$5&amp;""'""),
if('Time 2'!C3 = ""Lancaster"", query(IMPORTRANGE("&amp;"cd_planilha, ""Armas!B3:G""), ""Select Col1 Where Col2 = '""&amp;Personagem!$Q$2&amp;""' or Col2 = '""&amp;Personagem!$Q$3&amp;""' or Col2 = '""&amp;Personagem!$Q$4&amp;""' or Col2 = '""&amp;Personagem!$Q$5&amp;""'""),
if('Time 2'!C3 = ""Lorelei"", query(IMPORTRANGE(cd_planilha, ""Armas"&amp;"!B3:G""), ""Select Col1 Where Col2 = '""&amp;Personagem!$R$2&amp;""' or Col2 = '""&amp;Personagem!$R$3&amp;""' or Col2 = '""&amp;Personagem!$R$4&amp;""' or Col2 = '""&amp;Personagem!$R$5&amp;""'""),
if('Time 2'!C3 = ""Louca"", query(IMPORTRANGE(cd_planilha, ""Armas!B3:G""), ""Select Col"&amp;"1 Where Col2 = '""&amp;Personagem!$S$2&amp;""' or Col2 = '""&amp;Personagem!$S$3&amp;""' or Col2 = '""&amp;Personagem!$S$4&amp;""' or Col2 = '""&amp;Personagem!$S$5&amp;""'""),
if('Time 2'!C3 = ""Melina"", query(IMPORTRANGE(cd_planilha, ""Armas!B3:G""), ""Select Col1 Where Col2 = '""&amp;Pe"&amp;"rsonagem!$T$2&amp;""' or Col2 = '""&amp;Personagem!$T$3&amp;""' or Col2 = '""&amp;Personagem!$T$4&amp;""' or Col2 = '""&amp;Personagem!$T$5&amp;""'""),
if('Time 2'!C3 = ""Mila"", query(IMPORTRANGE(cd_planilha, ""Armas!B3:G""), ""Select Col1 Where Col2 = '""&amp;Personagem!$U$2&amp;""' or Co"&amp;"l2 = '""&amp;Personagem!$U$3&amp;""' or Col2 = '""&amp;Personagem!$U$4&amp;""' or Col2 = '""&amp;Personagem!$U$5&amp;""'""),
if('Time 2'!C3 = ""Minh"", query(IMPORTRANGE(cd_planilha, ""Armas!B3:G""), ""Select Col1 Where Col2 = '""&amp;Personagem!$V$2&amp;""' or Col2 = '""&amp;Personagem!$V$"&amp;"3&amp;""' or Col2 = '""&amp;Personagem!$V$4&amp;""' or Col2 = '""&amp;Personagem!$V$5&amp;""'""),
if('Time 2'!C3 = ""Mojian"", query(IMPORTRANGE(cd_planilha, ""Armas!B3:G""), ""Select Col1 Where Col2 = '""&amp;Personagem!$W$2&amp;""' or Col2 = '""&amp;Personagem!$W$3&amp;""' or Col2 = '""&amp;P"&amp;"ersonagem!$W$4&amp;""' or Col2 = '""&amp;Personagem!$W$5&amp;""'""),
if('Time 2'!C3 = ""Nya"", query(IMPORTRANGE(cd_planilha, ""Armas!B3:G""), ""Select Col1 Where Col2 = '""&amp;Personagem!$X$2&amp;""' or Col2 = '""&amp;Personagem!$X$3&amp;""' or Col2 = '""&amp;Personagem!$X$4&amp;""' or Co"&amp;"l2 = '""&amp;Personagem!$X$5&amp;""'""),
if('Time 2'!C3 = ""Odette"", query(IMPORTRANGE(cd_planilha, ""Armas!B3:G""), ""Select Col1 Where Col2 = '""&amp;Personagem!$Y$2&amp;""' or Col2 = '""&amp;Personagem!$Y$3&amp;""' or Col2 = '""&amp;Personagem!$Y$4&amp;""' or Col2 = '""&amp;Personagem!$"&amp;"Y$5&amp;""'""),
if('Time 2'!C3 = ""Oneira"", query(IMPORTRANGE(cd_planilha, ""Armas!B3:G""), ""Select Col1 Where Col2 = '""&amp;Personagem!$Z$2&amp;""' or Col2 = '""&amp;Personagem!$Z$3&amp;""' or Col2 = '""&amp;Personagem!$Z$4&amp;""' or Col2 = '""&amp;Personagem!$Z$5&amp;""'""),
if('Time "&amp;"2'!C3 = ""Palash"", query(IMPORTRANGE(cd_planilha, ""Armas!B3:G""), ""Select Col1 Where Col2 = '""&amp;Personagem!$AA$2&amp;""' or Col2 = '""&amp;Personagem!$AA$3&amp;""' or Col2 = '""&amp;Personagem!$AA$4&amp;""' or Col2 = '""&amp;Personagem!$AA$5&amp;""'""),
if('Time 2'!C3 = ""Theor"""&amp;", query(IMPORTRANGE(cd_planilha, ""Armas!B3:G""), ""Select Col1 Where Col2 = '""&amp;Personagem!$AB$2&amp;""' or Col2 = '""&amp;Personagem!$AB$3&amp;""' or Col2 = '""&amp;Personagem!$AB$4&amp;""' or Col2 = '""&amp;Personagem!$AB$5&amp;""'""),
if('Time 2'!C3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B1" s="241"/>
      <c r="C1" s="241" t="str">
        <f>IFERROR(__xludf.DUMMYFUNCTION("if('Time 2'!C4 = ""Albert"", query(IMPORTRANGE(cd_planilha, ""Armas!B3:G""), ""Select Col1 Where Col2 = '""&amp;Personagem!$B$2&amp;""' or Col2 = '""&amp;Personagem!$B$3&amp;""' or Col2 = '""&amp;Personagem!$B$4&amp;""' or Col2 = '""&amp;Personagem!$B$5&amp;""'""),     
if('Time 2'!C4 ="&amp;" ""Alicia"", query(IMPORTRANGE(cd_planilha, ""Armas!B3:G""), ""Select Col1 Where Col2 = '""&amp;Personagem!$C$2&amp;""' or Col2 = '""&amp;Personagem!$C$3&amp;""' or Col2 = '""&amp;Personagem!$C$4&amp;""' or Col2 = '""&amp;Personagem!$C$5&amp;""'""),
if('Time 2'!C4 = ""Azula"", query(IMP"&amp;"ORTRANGE(cd_planilha, ""Armas!B3:G""), ""Select Col1 Where Col2 = '""&amp;Personagem!$D$2&amp;""' or Col2 = '""&amp;Personagem!$D$3&amp;""' or Col2 = '""&amp;Personagem!$D$4&amp;""' or Col2 = '""&amp;Personagem!$D$5&amp;""'""),
if('Time 2'!C4 = ""Charles"", query(IMPORTRANGE(cd_planilha"&amp;", ""Armas!B3:G""), ""Select Col1 Where Col2 = '""&amp;Personagem!$E$2&amp;""' or Col2 = '""&amp;Personagem!$E$3&amp;""' or Col2 = '""&amp;Personagem!$E$4&amp;""' or Col2 = '""&amp;Personagem!$E$5&amp;""'""),
if('Time 2'!C4 = ""Clovis"", query(IMPORTRANGE(cd_planilha, ""Armas!B3:G""), """&amp;"Select Col1 Where Col2 = '""&amp;Personagem!$F$2&amp;""' or Col2 = '""&amp;Personagem!$F$3&amp;""' or Col2 = '""&amp;Personagem!$F$4&amp;""' or Col2 = '""&amp;Personagem!$F$5&amp;""'""),
if('Time 2'!C4 = ""Darthos"", query(IMPORTRANGE(cd_planilha, ""Armas!B3:G""), ""Select Col1 Where Co"&amp;"l2 = '""&amp;Personagem!$G$2&amp;""' or Col2 = '""&amp;Personagem!$G$3&amp;""' or Col2 = '""&amp;Personagem!$G$4&amp;""' or Col2 = '""&amp;Personagem!$G$5&amp;""'""),
if('Time 2'!C4 = ""Edward"", query(IMPORTRANGE(cd_planilha, ""Armas!B3:G""), ""Select Col1 Where Col2 = '""&amp;Personagem!$"&amp;"H$2&amp;""' or Col2 = '""&amp;Personagem!$H$3&amp;""' or Col2 = '""&amp;Personagem!$H$4&amp;""' or Col2 = '""&amp;Personagem!$H$5&amp;""'""),
if('Time 2'!C4 = ""Fiora"", query(IMPORTRANGE(cd_planilha, ""Armas!B3:G""), ""Select Col1 Where Col2 = '""&amp;Personagem!$I$2&amp;""' or Col2 = '""&amp;"&amp;"Personagem!$I$3&amp;""' or Col2 = '""&amp;Personagem!$I$4&amp;""' or Col2 = '""&amp;Personagem!$I$5&amp;""'""),
if('Time 2'!C4 = ""Francesca"", query(IMPORTRANGE(cd_planilha, ""Armas!B3:G""), ""Select Col1 Where Col2 = '""&amp;Personagem!$J$2&amp;""' or Col2 = '""&amp;Personagem!$J$3&amp;"""&amp;"' or Col2 = '""&amp;Personagem!$J$4&amp;""' or Col2 = '""&amp;Personagem!$J$5&amp;""'""),
if('Time 2'!C4 = ""Garreth"", query(IMPORTRANGE(cd_planilha, ""Armas!B3:G""), ""Select Col1 Where Col2 = '""&amp;Personagem!$K$2&amp;""' or Col2 = '""&amp;Personagem!$K$3&amp;""' or Col2 = '""&amp;Pers"&amp;"onagem!$K$4&amp;""' or Col2 = '""&amp;Personagem!$K$5&amp;""'""),
if('Time 2'!C4 = ""Gauvin"", query(IMPORTRANGE(cd_planilha, ""Armas!B3:G""), ""Select Col1 Where Col2 = '""&amp;Personagem!$L$2&amp;""' or Col2 = '""&amp;Personagem!$L$3&amp;""' or Col2 = '""&amp;Personagem!$L$4&amp;""' or Co"&amp;"l2 = '""&amp;Personagem!$L$5&amp;""'""),
if('Time 2'!C4 = ""Irene"", query(IMPORTRANGE(cd_planilha, ""Armas!B3:G""), ""Select Col1 Where Col2 = '""&amp;Personagem!$M$2&amp;""' or Col2 = '""&amp;Personagem!$M$3&amp;""' or Col2 = '""&amp;Personagem!$M$4&amp;""' or Col2 = '""&amp;Personagem!$M"&amp;"$5&amp;""'""),
if('Time 2'!C4 = ""Karal"", query(IMPORTRANGE(cd_planilha, ""Armas!B3:G""), ""Select Col1 Where Col2 = '""&amp;Personagem!$N$2&amp;""' or Col2 = '""&amp;Personagem!$N$3&amp;""' or Col2 = '""&amp;Personagem!$N$4&amp;""' or Col2 = '""&amp;Personagem!$N$5&amp;""'""),
if('Time 2'"&amp;"!C4 = ""Kuro Shobi"", query(IMPORTRANGE(cd_planilha, ""Armas!B3:G""), ""Select Col1 Where Col2 = '""&amp;Personagem!$O$2&amp;""' or Col2 = '""&amp;Personagem!$O$3&amp;""' or Col2 = '""&amp;Personagem!$O$4&amp;""' or Col2 = '""&amp;Personagem!$O$5&amp;""'""),
if('Time 2'!C4 = ""Kurul"", "&amp;"query(IMPORTRANGE(cd_planilha, ""Armas!B3:G""), ""Select Col1 Where Col2 = '""&amp;Personagem!$P$2&amp;""' or Col2 = '""&amp;Personagem!$P$3&amp;""' or Col2 = '""&amp;Personagem!$P$4&amp;""' or Col2 = '""&amp;Personagem!$P$5&amp;""'""),
if('Time 2'!C4 = ""Lancaster"", query(IMPORTRANGE("&amp;"cd_planilha, ""Armas!B3:G""), ""Select Col1 Where Col2 = '""&amp;Personagem!$Q$2&amp;""' or Col2 = '""&amp;Personagem!$Q$3&amp;""' or Col2 = '""&amp;Personagem!$Q$4&amp;""' or Col2 = '""&amp;Personagem!$Q$5&amp;""'""),
if('Time 2'!C4 = ""Lorelei"", query(IMPORTRANGE(cd_planilha, ""Armas"&amp;"!B3:G""), ""Select Col1 Where Col2 = '""&amp;Personagem!$R$2&amp;""' or Col2 = '""&amp;Personagem!$R$3&amp;""' or Col2 = '""&amp;Personagem!$R$4&amp;""' or Col2 = '""&amp;Personagem!$R$5&amp;""'""),
if('Time 2'!C4 = ""Louca"", query(IMPORTRANGE(cd_planilha, ""Armas!B3:G""), ""Select Col"&amp;"1 Where Col2 = '""&amp;Personagem!$S$2&amp;""' or Col2 = '""&amp;Personagem!$S$3&amp;""' or Col2 = '""&amp;Personagem!$S$4&amp;""' or Col2 = '""&amp;Personagem!$S$5&amp;""'""),
if('Time 2'!C4 = ""Melina"", query(IMPORTRANGE(cd_planilha, ""Armas!B3:G""), ""Select Col1 Where Col2 = '""&amp;Pe"&amp;"rsonagem!$T$2&amp;""' or Col2 = '""&amp;Personagem!$T$3&amp;""' or Col2 = '""&amp;Personagem!$T$4&amp;""' or Col2 = '""&amp;Personagem!$T$5&amp;""'""),
if('Time 2'!C4 = ""Mila"", query(IMPORTRANGE(cd_planilha, ""Armas!B3:G""), ""Select Col1 Where Col2 = '""&amp;Personagem!$U$2&amp;""' or Co"&amp;"l2 = '""&amp;Personagem!$U$3&amp;""' or Col2 = '""&amp;Personagem!$U$4&amp;""' or Col2 = '""&amp;Personagem!$U$5&amp;""'""),
if('Time 2'!C4 = ""Minh"", query(IMPORTRANGE(cd_planilha, ""Armas!B3:G""), ""Select Col1 Where Col2 = '""&amp;Personagem!$V$2&amp;""' or Col2 = '""&amp;Personagem!$V$"&amp;"3&amp;""' or Col2 = '""&amp;Personagem!$V$4&amp;""' or Col2 = '""&amp;Personagem!$V$5&amp;""'""),
if('Time 2'!C4 = ""Mojian"", query(IMPORTRANGE(cd_planilha, ""Armas!B3:G""), ""Select Col1 Where Col2 = '""&amp;Personagem!$W$2&amp;""' or Col2 = '""&amp;Personagem!$W$3&amp;""' or Col2 = '""&amp;P"&amp;"ersonagem!$W$4&amp;""' or Col2 = '""&amp;Personagem!$W$5&amp;""'""),
if('Time 2'!C4 = ""Nya"", query(IMPORTRANGE(cd_planilha, ""Armas!B3:G""), ""Select Col1 Where Col2 = '""&amp;Personagem!$X$2&amp;""' or Col2 = '""&amp;Personagem!$X$3&amp;""' or Col2 = '""&amp;Personagem!$X$4&amp;""' or Co"&amp;"l2 = '""&amp;Personagem!$X$5&amp;""'""),
if('Time 2'!C4 = ""Odette"", query(IMPORTRANGE(cd_planilha, ""Armas!B3:G""), ""Select Col1 Where Col2 = '""&amp;Personagem!$Y$2&amp;""' or Col2 = '""&amp;Personagem!$Y$3&amp;""' or Col2 = '""&amp;Personagem!$Y$4&amp;""' or Col2 = '""&amp;Personagem!$"&amp;"Y$5&amp;""'""),
if('Time 2'!C4 = ""Oneira"", query(IMPORTRANGE(cd_planilha, ""Armas!B3:G""), ""Select Col1 Where Col2 = '""&amp;Personagem!$Z$2&amp;""' or Col2 = '""&amp;Personagem!$Z$3&amp;""' or Col2 = '""&amp;Personagem!$Z$4&amp;""' or Col2 = '""&amp;Personagem!$Z$5&amp;""'""),
if('Time "&amp;"2'!C4 = ""Palash"", query(IMPORTRANGE(cd_planilha, ""Armas!B3:G""), ""Select Col1 Where Col2 = '""&amp;Personagem!$AA$2&amp;""' or Col2 = '""&amp;Personagem!$AA$3&amp;""' or Col2 = '""&amp;Personagem!$AA$4&amp;""' or Col2 = '""&amp;Personagem!$AA$5&amp;""'""),
if('Time 2'!C4 = ""Theor"""&amp;", query(IMPORTRANGE(cd_planilha, ""Armas!B3:G""), ""Select Col1 Where Col2 = '""&amp;Personagem!$AB$2&amp;""' or Col2 = '""&amp;Personagem!$AB$3&amp;""' or Col2 = '""&amp;Personagem!$AB$4&amp;""' or Col2 = '""&amp;Personagem!$AB$5&amp;""'""),
if('Time 2'!C4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D1" s="241"/>
      <c r="E1" s="241" t="str">
        <f>IFERROR(__xludf.DUMMYFUNCTION("if('Time 2'!C5 = ""Albert"", query(IMPORTRANGE(cd_planilha, ""Armas!B3:G""), ""Select Col1 Where Col2 = '""&amp;Personagem!$B$2&amp;""' or Col2 = '""&amp;Personagem!$B$3&amp;""' or Col2 = '""&amp;Personagem!$B$4&amp;""' or Col2 = '""&amp;Personagem!$B$5&amp;""'""),     
if('Time 2'!C5 ="&amp;" ""Alicia"", query(IMPORTRANGE(cd_planilha, ""Armas!B3:G""), ""Select Col1 Where Col2 = '""&amp;Personagem!$C$2&amp;""' or Col2 = '""&amp;Personagem!$C$3&amp;""' or Col2 = '""&amp;Personagem!$C$4&amp;""' or Col2 = '""&amp;Personagem!$C$5&amp;""'""),
if('Time 2'!C5 = ""Azula"", query(IMP"&amp;"ORTRANGE(cd_planilha, ""Armas!B3:G""), ""Select Col1 Where Col2 = '""&amp;Personagem!$D$2&amp;""' or Col2 = '""&amp;Personagem!$D$3&amp;""' or Col2 = '""&amp;Personagem!$D$4&amp;""' or Col2 = '""&amp;Personagem!$D$5&amp;""'""),
if('Time 2'!C5 = ""Charles"", query(IMPORTRANGE(cd_planilha"&amp;", ""Armas!B3:G""), ""Select Col1 Where Col2 = '""&amp;Personagem!$E$2&amp;""' or Col2 = '""&amp;Personagem!$E$3&amp;""' or Col2 = '""&amp;Personagem!$E$4&amp;""' or Col2 = '""&amp;Personagem!$E$5&amp;""'""),
if('Time 2'!C5 = ""Clovis"", query(IMPORTRANGE(cd_planilha, ""Armas!B3:G""), """&amp;"Select Col1 Where Col2 = '""&amp;Personagem!$F$2&amp;""' or Col2 = '""&amp;Personagem!$F$3&amp;""' or Col2 = '""&amp;Personagem!$F$4&amp;""' or Col2 = '""&amp;Personagem!$F$5&amp;""'""),
if('Time 2'!C5 = ""Darthos"", query(IMPORTRANGE(cd_planilha, ""Armas!B3:G""), ""Select Col1 Where Co"&amp;"l2 = '""&amp;Personagem!$G$2&amp;""' or Col2 = '""&amp;Personagem!$G$3&amp;""' or Col2 = '""&amp;Personagem!$G$4&amp;""' or Col2 = '""&amp;Personagem!$G$5&amp;""'""),
if('Time 2'!C5 = ""Edward"", query(IMPORTRANGE(cd_planilha, ""Armas!B3:G""), ""Select Col1 Where Col2 = '""&amp;Personagem!$"&amp;"H$2&amp;""' or Col2 = '""&amp;Personagem!$H$3&amp;""' or Col2 = '""&amp;Personagem!$H$4&amp;""' or Col2 = '""&amp;Personagem!$H$5&amp;""'""),
if('Time 2'!C5 = ""Fiora"", query(IMPORTRANGE(cd_planilha, ""Armas!B3:G""), ""Select Col1 Where Col2 = '""&amp;Personagem!$I$2&amp;""' or Col2 = '""&amp;"&amp;"Personagem!$I$3&amp;""' or Col2 = '""&amp;Personagem!$I$4&amp;""' or Col2 = '""&amp;Personagem!$I$5&amp;""'""),
if('Time 2'!C5 = ""Francesca"", query(IMPORTRANGE(cd_planilha, ""Armas!B3:G""), ""Select Col1 Where Col2 = '""&amp;Personagem!$J$2&amp;""' or Col2 = '""&amp;Personagem!$J$3&amp;"""&amp;"' or Col2 = '""&amp;Personagem!$J$4&amp;""' or Col2 = '""&amp;Personagem!$J$5&amp;""'""),
if('Time 2'!C5 = ""Garreth"", query(IMPORTRANGE(cd_planilha, ""Armas!B3:G""), ""Select Col1 Where Col2 = '""&amp;Personagem!$K$2&amp;""' or Col2 = '""&amp;Personagem!$K$3&amp;""' or Col2 = '""&amp;Pers"&amp;"onagem!$K$4&amp;""' or Col2 = '""&amp;Personagem!$K$5&amp;""'""),
if('Time 2'!C5 = ""Gauvin"", query(IMPORTRANGE(cd_planilha, ""Armas!B3:G""), ""Select Col1 Where Col2 = '""&amp;Personagem!$L$2&amp;""' or Col2 = '""&amp;Personagem!$L$3&amp;""' or Col2 = '""&amp;Personagem!$L$4&amp;""' or Co"&amp;"l2 = '""&amp;Personagem!$L$5&amp;""'""),
if('Time 2'!C5 = ""Irene"", query(IMPORTRANGE(cd_planilha, ""Armas!B3:G""), ""Select Col1 Where Col2 = '""&amp;Personagem!$M$2&amp;""' or Col2 = '""&amp;Personagem!$M$3&amp;""' or Col2 = '""&amp;Personagem!$M$4&amp;""' or Col2 = '""&amp;Personagem!$M"&amp;"$5&amp;""'""),
if('Time 2'!C5 = ""Karal"", query(IMPORTRANGE(cd_planilha, ""Armas!B3:G""), ""Select Col1 Where Col2 = '""&amp;Personagem!$N$2&amp;""' or Col2 = '""&amp;Personagem!$N$3&amp;""' or Col2 = '""&amp;Personagem!$N$4&amp;""' or Col2 = '""&amp;Personagem!$N$5&amp;""'""),
if('Time 2'"&amp;"!C5 = ""Kuro Shobi"", query(IMPORTRANGE(cd_planilha, ""Armas!B3:G""), ""Select Col1 Where Col2 = '""&amp;Personagem!$O$2&amp;""' or Col2 = '""&amp;Personagem!$O$3&amp;""' or Col2 = '""&amp;Personagem!$O$4&amp;""' or Col2 = '""&amp;Personagem!$O$5&amp;""'""),
if('Time 2'!C5 = ""Kurul"", "&amp;"query(IMPORTRANGE(cd_planilha, ""Armas!B3:G""), ""Select Col1 Where Col2 = '""&amp;Personagem!$P$2&amp;""' or Col2 = '""&amp;Personagem!$P$3&amp;""' or Col2 = '""&amp;Personagem!$P$4&amp;""' or Col2 = '""&amp;Personagem!$P$5&amp;""'""),
if('Time 2'!C5 = ""Lancaster"", query(IMPORTRANGE("&amp;"cd_planilha, ""Armas!B3:G""), ""Select Col1 Where Col2 = '""&amp;Personagem!$Q$2&amp;""' or Col2 = '""&amp;Personagem!$Q$3&amp;""' or Col2 = '""&amp;Personagem!$Q$4&amp;""' or Col2 = '""&amp;Personagem!$Q$5&amp;""'""),
if('Time 2'!C5 = ""Lorelei"", query(IMPORTRANGE(cd_planilha, ""Armas"&amp;"!B3:G""), ""Select Col1 Where Col2 = '""&amp;Personagem!$R$2&amp;""' or Col2 = '""&amp;Personagem!$R$3&amp;""' or Col2 = '""&amp;Personagem!$R$4&amp;""' or Col2 = '""&amp;Personagem!$R$5&amp;""'""),
if('Time 2'!C5 = ""Louca"", query(IMPORTRANGE(cd_planilha, ""Armas!B3:G""), ""Select Col"&amp;"1 Where Col2 = '""&amp;Personagem!$S$2&amp;""' or Col2 = '""&amp;Personagem!$S$3&amp;""' or Col2 = '""&amp;Personagem!$S$4&amp;""' or Col2 = '""&amp;Personagem!$S$5&amp;""'""),
if('Time 2'!C5 = ""Melina"", query(IMPORTRANGE(cd_planilha, ""Armas!B3:G""), ""Select Col1 Where Col2 = '""&amp;Pe"&amp;"rsonagem!$T$2&amp;""' or Col2 = '""&amp;Personagem!$T$3&amp;""' or Col2 = '""&amp;Personagem!$T$4&amp;""' or Col2 = '""&amp;Personagem!$T$5&amp;""'""),
if('Time 2'!C5 = ""Mila"", query(IMPORTRANGE(cd_planilha, ""Armas!B3:G""), ""Select Col1 Where Col2 = '""&amp;Personagem!$U$2&amp;""' or Co"&amp;"l2 = '""&amp;Personagem!$U$3&amp;""' or Col2 = '""&amp;Personagem!$U$4&amp;""' or Col2 = '""&amp;Personagem!$U$5&amp;""'""),
if('Time 2'!C5 = ""Minh"", query(IMPORTRANGE(cd_planilha, ""Armas!B3:G""), ""Select Col1 Where Col2 = '""&amp;Personagem!$V$2&amp;""' or Col2 = '""&amp;Personagem!$V$"&amp;"3&amp;""' or Col2 = '""&amp;Personagem!$V$4&amp;""' or Col2 = '""&amp;Personagem!$V$5&amp;""'""),
if('Time 2'!C5 = ""Mojian"", query(IMPORTRANGE(cd_planilha, ""Armas!B3:G""), ""Select Col1 Where Col2 = '""&amp;Personagem!$W$2&amp;""' or Col2 = '""&amp;Personagem!$W$3&amp;""' or Col2 = '""&amp;P"&amp;"ersonagem!$W$4&amp;""' or Col2 = '""&amp;Personagem!$W$5&amp;""'""),
if('Time 2'!C5 = ""Nya"", query(IMPORTRANGE(cd_planilha, ""Armas!B3:G""), ""Select Col1 Where Col2 = '""&amp;Personagem!$X$2&amp;""' or Col2 = '""&amp;Personagem!$X$3&amp;""' or Col2 = '""&amp;Personagem!$X$4&amp;""' or Co"&amp;"l2 = '""&amp;Personagem!$X$5&amp;""'""),
if('Time 2'!C5 = ""Odette"", query(IMPORTRANGE(cd_planilha, ""Armas!B3:G""), ""Select Col1 Where Col2 = '""&amp;Personagem!$Y$2&amp;""' or Col2 = '""&amp;Personagem!$Y$3&amp;""' or Col2 = '""&amp;Personagem!$Y$4&amp;""' or Col2 = '""&amp;Personagem!$"&amp;"Y$5&amp;""'""),
if('Time 2'!C5 = ""Oneira"", query(IMPORTRANGE(cd_planilha, ""Armas!B3:G""), ""Select Col1 Where Col2 = '""&amp;Personagem!$Z$2&amp;""' or Col2 = '""&amp;Personagem!$Z$3&amp;""' or Col2 = '""&amp;Personagem!$Z$4&amp;""' or Col2 = '""&amp;Personagem!$Z$5&amp;""'""),
if('Time "&amp;"2'!C5 = ""Palash"", query(IMPORTRANGE(cd_planilha, ""Armas!B3:G""), ""Select Col1 Where Col2 = '""&amp;Personagem!$AA$2&amp;""' or Col2 = '""&amp;Personagem!$AA$3&amp;""' or Col2 = '""&amp;Personagem!$AA$4&amp;""' or Col2 = '""&amp;Personagem!$AA$5&amp;""'""),
if('Time 2'!C5 = ""Theor"""&amp;", query(IMPORTRANGE(cd_planilha, ""Armas!B3:G""), ""Select Col1 Where Col2 = '""&amp;Personagem!$AB$2&amp;""' or Col2 = '""&amp;Personagem!$AB$3&amp;""' or Col2 = '""&amp;Personagem!$AB$4&amp;""' or Col2 = '""&amp;Personagem!$AB$5&amp;""'""),
if('Time 2'!C5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F1" s="241"/>
      <c r="G1" s="241" t="str">
        <f>IFERROR(__xludf.DUMMYFUNCTION("if('Time 2'!C6 = ""Albert"", query(IMPORTRANGE(cd_planilha, ""Armas!B3:G""), ""Select Col1 Where Col2 = '""&amp;Personagem!$B$2&amp;""' or Col2 = '""&amp;Personagem!$B$3&amp;""' or Col2 = '""&amp;Personagem!$B$4&amp;""' or Col2 = '""&amp;Personagem!$B$5&amp;""'""),     
if('Time 2'!C6 ="&amp;" ""Alicia"", query(IMPORTRANGE(cd_planilha, ""Armas!B3:G""), ""Select Col1 Where Col2 = '""&amp;Personagem!$C$2&amp;""' or Col2 = '""&amp;Personagem!$C$3&amp;""' or Col2 = '""&amp;Personagem!$C$4&amp;""' or Col2 = '""&amp;Personagem!$C$5&amp;""'""),
if('Time 2'!C6 = ""Azula"", query(IMP"&amp;"ORTRANGE(cd_planilha, ""Armas!B3:G""), ""Select Col1 Where Col2 = '""&amp;Personagem!$D$2&amp;""' or Col2 = '""&amp;Personagem!$D$3&amp;""' or Col2 = '""&amp;Personagem!$D$4&amp;""' or Col2 = '""&amp;Personagem!$D$5&amp;""'""),
if('Time 2'!C6 = ""Charles"", query(IMPORTRANGE(cd_planilha"&amp;", ""Armas!B3:G""), ""Select Col1 Where Col2 = '""&amp;Personagem!$E$2&amp;""' or Col2 = '""&amp;Personagem!$E$3&amp;""' or Col2 = '""&amp;Personagem!$E$4&amp;""' or Col2 = '""&amp;Personagem!$E$5&amp;""'""),
if('Time 2'!C6 = ""Clovis"", query(IMPORTRANGE(cd_planilha, ""Armas!B3:G""), """&amp;"Select Col1 Where Col2 = '""&amp;Personagem!$F$2&amp;""' or Col2 = '""&amp;Personagem!$F$3&amp;""' or Col2 = '""&amp;Personagem!$F$4&amp;""' or Col2 = '""&amp;Personagem!$F$5&amp;""'""),
if('Time 2'!C6 = ""Darthos"", query(IMPORTRANGE(cd_planilha, ""Armas!B3:G""), ""Select Col1 Where Co"&amp;"l2 = '""&amp;Personagem!$G$2&amp;""' or Col2 = '""&amp;Personagem!$G$3&amp;""' or Col2 = '""&amp;Personagem!$G$4&amp;""' or Col2 = '""&amp;Personagem!$G$5&amp;""'""),
if('Time 2'!C6 = ""Edward"", query(IMPORTRANGE(cd_planilha, ""Armas!B3:G""), ""Select Col1 Where Col2 = '""&amp;Personagem!$"&amp;"H$2&amp;""' or Col2 = '""&amp;Personagem!$H$3&amp;""' or Col2 = '""&amp;Personagem!$H$4&amp;""' or Col2 = '""&amp;Personagem!$H$5&amp;""'""),
if('Time 2'!C6 = ""Fiora"", query(IMPORTRANGE(cd_planilha, ""Armas!B3:G""), ""Select Col1 Where Col2 = '""&amp;Personagem!$I$2&amp;""' or Col2 = '""&amp;"&amp;"Personagem!$I$3&amp;""' or Col2 = '""&amp;Personagem!$I$4&amp;""' or Col2 = '""&amp;Personagem!$I$5&amp;""'""),
if('Time 2'!C6 = ""Francesca"", query(IMPORTRANGE(cd_planilha, ""Armas!B3:G""), ""Select Col1 Where Col2 = '""&amp;Personagem!$J$2&amp;""' or Col2 = '""&amp;Personagem!$J$3&amp;"""&amp;"' or Col2 = '""&amp;Personagem!$J$4&amp;""' or Col2 = '""&amp;Personagem!$J$5&amp;""'""),
if('Time 2'!C6 = ""Garreth"", query(IMPORTRANGE(cd_planilha, ""Armas!B3:G""), ""Select Col1 Where Col2 = '""&amp;Personagem!$K$2&amp;""' or Col2 = '""&amp;Personagem!$K$3&amp;""' or Col2 = '""&amp;Pers"&amp;"onagem!$K$4&amp;""' or Col2 = '""&amp;Personagem!$K$5&amp;""'""),
if('Time 2'!C6 = ""Gauvin"", query(IMPORTRANGE(cd_planilha, ""Armas!B3:G""), ""Select Col1 Where Col2 = '""&amp;Personagem!$L$2&amp;""' or Col2 = '""&amp;Personagem!$L$3&amp;""' or Col2 = '""&amp;Personagem!$L$4&amp;""' or Co"&amp;"l2 = '""&amp;Personagem!$L$5&amp;""'""),
if('Time 2'!C6 = ""Irene"", query(IMPORTRANGE(cd_planilha, ""Armas!B3:G""), ""Select Col1 Where Col2 = '""&amp;Personagem!$M$2&amp;""' or Col2 = '""&amp;Personagem!$M$3&amp;""' or Col2 = '""&amp;Personagem!$M$4&amp;""' or Col2 = '""&amp;Personagem!$M"&amp;"$5&amp;""'""),
if('Time 2'!C6 = ""Karal"", query(IMPORTRANGE(cd_planilha, ""Armas!B3:G""), ""Select Col1 Where Col2 = '""&amp;Personagem!$N$2&amp;""' or Col2 = '""&amp;Personagem!$N$3&amp;""' or Col2 = '""&amp;Personagem!$N$4&amp;""' or Col2 = '""&amp;Personagem!$N$5&amp;""'""),
if('Time 2'"&amp;"!C6 = ""Kuro Shobi"", query(IMPORTRANGE(cd_planilha, ""Armas!B3:G""), ""Select Col1 Where Col2 = '""&amp;Personagem!$O$2&amp;""' or Col2 = '""&amp;Personagem!$O$3&amp;""' or Col2 = '""&amp;Personagem!$O$4&amp;""' or Col2 = '""&amp;Personagem!$O$5&amp;""'""),
if('Time 2'!C6 = ""Kurul"", "&amp;"query(IMPORTRANGE(cd_planilha, ""Armas!B3:G""), ""Select Col1 Where Col2 = '""&amp;Personagem!$P$2&amp;""' or Col2 = '""&amp;Personagem!$P$3&amp;""' or Col2 = '""&amp;Personagem!$P$4&amp;""' or Col2 = '""&amp;Personagem!$P$5&amp;""'""),
if('Time 2'!C6 = ""Lancaster"", query(IMPORTRANGE("&amp;"cd_planilha, ""Armas!B3:G""), ""Select Col1 Where Col2 = '""&amp;Personagem!$Q$2&amp;""' or Col2 = '""&amp;Personagem!$Q$3&amp;""' or Col2 = '""&amp;Personagem!$Q$4&amp;""' or Col2 = '""&amp;Personagem!$Q$5&amp;""'""),
if('Time 2'!C6 = ""Lorelei"", query(IMPORTRANGE(cd_planilha, ""Armas"&amp;"!B3:G""), ""Select Col1 Where Col2 = '""&amp;Personagem!$R$2&amp;""' or Col2 = '""&amp;Personagem!$R$3&amp;""' or Col2 = '""&amp;Personagem!$R$4&amp;""' or Col2 = '""&amp;Personagem!$R$5&amp;""'""),
if('Time 2'!C6 = ""Louca"", query(IMPORTRANGE(cd_planilha, ""Armas!B3:G""), ""Select Col"&amp;"1 Where Col2 = '""&amp;Personagem!$S$2&amp;""' or Col2 = '""&amp;Personagem!$S$3&amp;""' or Col2 = '""&amp;Personagem!$S$4&amp;""' or Col2 = '""&amp;Personagem!$S$5&amp;""'""),
if('Time 2'!C6 = ""Melina"", query(IMPORTRANGE(cd_planilha, ""Armas!B3:G""), ""Select Col1 Where Col2 = '""&amp;Pe"&amp;"rsonagem!$T$2&amp;""' or Col2 = '""&amp;Personagem!$T$3&amp;""' or Col2 = '""&amp;Personagem!$T$4&amp;""' or Col2 = '""&amp;Personagem!$T$5&amp;""'""),
if('Time 2'!C6 = ""Mila"", query(IMPORTRANGE(cd_planilha, ""Armas!B3:G""), ""Select Col1 Where Col2 = '""&amp;Personagem!$U$2&amp;""' or Co"&amp;"l2 = '""&amp;Personagem!$U$3&amp;""' or Col2 = '""&amp;Personagem!$U$4&amp;""' or Col2 = '""&amp;Personagem!$U$5&amp;""'""),
if('Time 2'!C6 = ""Minh"", query(IMPORTRANGE(cd_planilha, ""Armas!B3:G""), ""Select Col1 Where Col2 = '""&amp;Personagem!$V$2&amp;""' or Col2 = '""&amp;Personagem!$V$"&amp;"3&amp;""' or Col2 = '""&amp;Personagem!$V$4&amp;""' or Col2 = '""&amp;Personagem!$V$5&amp;""'""),
if('Time 2'!C6 = ""Mojian"", query(IMPORTRANGE(cd_planilha, ""Armas!B3:G""), ""Select Col1 Where Col2 = '""&amp;Personagem!$W$2&amp;""' or Col2 = '""&amp;Personagem!$W$3&amp;""' or Col2 = '""&amp;P"&amp;"ersonagem!$W$4&amp;""' or Col2 = '""&amp;Personagem!$W$5&amp;""'""),
if('Time 2'!C6 = ""Nya"", query(IMPORTRANGE(cd_planilha, ""Armas!B3:G""), ""Select Col1 Where Col2 = '""&amp;Personagem!$X$2&amp;""' or Col2 = '""&amp;Personagem!$X$3&amp;""' or Col2 = '""&amp;Personagem!$X$4&amp;""' or Co"&amp;"l2 = '""&amp;Personagem!$X$5&amp;""'""),
if('Time 2'!C6 = ""Odette"", query(IMPORTRANGE(cd_planilha, ""Armas!B3:G""), ""Select Col1 Where Col2 = '""&amp;Personagem!$Y$2&amp;""' or Col2 = '""&amp;Personagem!$Y$3&amp;""' or Col2 = '""&amp;Personagem!$Y$4&amp;""' or Col2 = '""&amp;Personagem!$"&amp;"Y$5&amp;""'""),
if('Time 2'!C6 = ""Oneira"", query(IMPORTRANGE(cd_planilha, ""Armas!B3:G""), ""Select Col1 Where Col2 = '""&amp;Personagem!$Z$2&amp;""' or Col2 = '""&amp;Personagem!$Z$3&amp;""' or Col2 = '""&amp;Personagem!$Z$4&amp;""' or Col2 = '""&amp;Personagem!$Z$5&amp;""'""),
if('Time "&amp;"2'!C6 = ""Palash"", query(IMPORTRANGE(cd_planilha, ""Armas!B3:G""), ""Select Col1 Where Col2 = '""&amp;Personagem!$AA$2&amp;""' or Col2 = '""&amp;Personagem!$AA$3&amp;""' or Col2 = '""&amp;Personagem!$AA$4&amp;""' or Col2 = '""&amp;Personagem!$AA$5&amp;""'""),
if('Time 2'!C6 = ""Theor"""&amp;", query(IMPORTRANGE(cd_planilha, ""Armas!B3:G""), ""Select Col1 Where Col2 = '""&amp;Personagem!$AB$2&amp;""' or Col2 = '""&amp;Personagem!$AB$3&amp;""' or Col2 = '""&amp;Personagem!$AB$4&amp;""' or Col2 = '""&amp;Personagem!$AB$5&amp;""'""),
if('Time 2'!C6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'""&amp;Personagem!$AC$5&amp;""'"")))))))))))))))))))))))))))))"),"Estrela D'alva")</f>
        <v>Estrela D'alva</v>
      </c>
      <c r="H1" s="241"/>
      <c r="I1" s="241" t="str">
        <f>IFERROR(__xludf.DUMMYFUNCTION("if('Time 2'!C7 = ""Albert"", query(IMPORTRANGE(cd_planilha, ""Armas!B3:G""), ""Select Col1 Where Col2 = '""&amp;Personagem!$B$2&amp;""' or Col2 = '""&amp;Personagem!$B$3&amp;""' or Col2 = '""&amp;Personagem!$B$4&amp;""' or Col2 = '""&amp;Personagem!$B$5&amp;""'""),     
if('Time 2'!C7 ="&amp;" ""Alicia"", query(IMPORTRANGE(cd_planilha, ""Armas!B3:G""), ""Select Col1 Where Col2 = '""&amp;Personagem!$C$2&amp;""' or Col2 = '""&amp;Personagem!$C$3&amp;""' or Col2 = '""&amp;Personagem!$C$4&amp;""' or Col2 = '""&amp;Personagem!$C$5&amp;""'""),
if('Time 2'!C7 = ""Azula"", query(IMP"&amp;"ORTRANGE(cd_planilha, ""Armas!B3:G""), ""Select Col1 Where Col2 = '""&amp;Personagem!$D$2&amp;""' or Col2 = '""&amp;Personagem!$D$3&amp;""' or Col2 = '""&amp;Personagem!$D$4&amp;""' or Col2 = '""&amp;Personagem!$D$5&amp;""'""),
if('Time 2'!C7 = ""Charles"", query(IMPORTRANGE(cd_planilha"&amp;", ""Armas!B3:G""), ""Select Col1 Where Col2 = '""&amp;Personagem!$E$2&amp;""' or Col2 = '""&amp;Personagem!$E$3&amp;""' or Col2 = '""&amp;Personagem!$E$4&amp;""' or Col2 = '""&amp;Personagem!$E$5&amp;""'""),
if('Time 2'!C7 = ""Clovis"", query(IMPORTRANGE(cd_planilha, ""Armas!B3:G""), """&amp;"Select Col1 Where Col2 = '""&amp;Personagem!$F$2&amp;""' or Col2 = '""&amp;Personagem!$F$3&amp;""' or Col2 = '""&amp;Personagem!$F$4&amp;""' or Col2 = '""&amp;Personagem!$F$5&amp;""'""),
if('Time 2'!C7 = ""Darthos"", query(IMPORTRANGE(cd_planilha, ""Armas!B3:G""), ""Select Col1 Where Co"&amp;"l2 = '""&amp;Personagem!$G$2&amp;""' or Col2 = '""&amp;Personagem!$G$3&amp;""' or Col2 = '""&amp;Personagem!$G$4&amp;""' or Col2 = '""&amp;Personagem!$G$5&amp;""'""),
if('Time 2'!C7 = ""Edward"", query(IMPORTRANGE(cd_planilha, ""Armas!B3:G""), ""Select Col1 Where Col2 = '""&amp;Personagem!$"&amp;"H$2&amp;""' or Col2 = '""&amp;Personagem!$H$3&amp;""' or Col2 = '""&amp;Personagem!$H$4&amp;""' or Col2 = '""&amp;Personagem!$H$5&amp;""'""),
if('Time 2'!C7 = ""Fiora"", query(IMPORTRANGE(cd_planilha, ""Armas!B3:G""), ""Select Col1 Where Col2 = '""&amp;Personagem!$I$2&amp;""' or Col2 = '""&amp;"&amp;"Personagem!$I$3&amp;""' or Col2 = '""&amp;Personagem!$I$4&amp;""' or Col2 = '""&amp;Personagem!$I$5&amp;""'""),
if('Time 2'!C7 = ""Francesca"", query(IMPORTRANGE(cd_planilha, ""Armas!B3:G""), ""Select Col1 Where Col2 = '""&amp;Personagem!$J$2&amp;""' or Col2 = '""&amp;Personagem!$J$3&amp;"""&amp;"' or Col2 = '""&amp;Personagem!$J$4&amp;""' or Col2 = '""&amp;Personagem!$J$5&amp;""'""),
if('Time 2'!C7 = ""Garreth"", query(IMPORTRANGE(cd_planilha, ""Armas!B3:G""), ""Select Col1 Where Col2 = '""&amp;Personagem!$K$2&amp;""' or Col2 = '""&amp;Personagem!$K$3&amp;""' or Col2 = '""&amp;Pers"&amp;"onagem!$K$4&amp;""' or Col2 = '""&amp;Personagem!$K$5&amp;""'""),
if('Time 2'!C7 = ""Gauvin"", query(IMPORTRANGE(cd_planilha, ""Armas!B3:G""), ""Select Col1 Where Col2 = '""&amp;Personagem!$L$2&amp;""' or Col2 = '""&amp;Personagem!$L$3&amp;""' or Col2 = '""&amp;Personagem!$L$4&amp;""' or Co"&amp;"l2 = '""&amp;Personagem!$L$5&amp;""'""),
if('Time 2'!C7 = ""Irene"", query(IMPORTRANGE(cd_planilha, ""Armas!B3:G""), ""Select Col1 Where Col2 = '""&amp;Personagem!$M$2&amp;""' or Col2 = '""&amp;Personagem!$M$3&amp;""' or Col2 = '""&amp;Personagem!$M$4&amp;""' or Col2 = '""&amp;Personagem!$M"&amp;"$5&amp;""'""),
if('Time 2'!C7 = ""Karal"", query(IMPORTRANGE(cd_planilha, ""Armas!B3:G""), ""Select Col1 Where Col2 = '""&amp;Personagem!$N$2&amp;""' or Col2 = '""&amp;Personagem!$N$3&amp;""' or Col2 = '""&amp;Personagem!$N$4&amp;""' or Col2 = '""&amp;Personagem!$N$5&amp;""'""),
if('Time 2'"&amp;"!C7 = ""Kuro Shobi"", query(IMPORTRANGE(cd_planilha, ""Armas!B3:G""), ""Select Col1 Where Col2 = '""&amp;Personagem!$O$2&amp;""' or Col2 = '""&amp;Personagem!$O$3&amp;""' or Col2 = '""&amp;Personagem!$O$4&amp;""' or Col2 = '""&amp;Personagem!$O$5&amp;""'""),
if('Time 2'!C7 = ""Kurul"", "&amp;"query(IMPORTRANGE(cd_planilha, ""Armas!B3:G""), ""Select Col1 Where Col2 = '""&amp;Personagem!$P$2&amp;""' or Col2 = '""&amp;Personagem!$P$3&amp;""' or Col2 = '""&amp;Personagem!$P$4&amp;""' or Col2 = '""&amp;Personagem!$P$5&amp;""'""),
if('Time 2'!C7 = ""Lancaster"", query(IMPORTRANGE("&amp;"cd_planilha, ""Armas!B3:G""), ""Select Col1 Where Col2 = '""&amp;Personagem!$Q$2&amp;""' or Col2 = '""&amp;Personagem!$Q$3&amp;""' or Col2 = '""&amp;Personagem!$Q$4&amp;""' or Col2 = '""&amp;Personagem!$Q$5&amp;""'""),
if('Time 2'!C7 = ""Lorelei"", query(IMPORTRANGE(cd_planilha, ""Armas"&amp;"!B3:G""), ""Select Col1 Where Col2 = '""&amp;Personagem!$R$2&amp;""' or Col2 = '""&amp;Personagem!$R$3&amp;""' or Col2 = '""&amp;Personagem!$R$4&amp;""' or Col2 = '""&amp;Personagem!$R$5&amp;""'""),
if('Time 2'!C7 = ""Louca"", query(IMPORTRANGE(cd_planilha, ""Armas!B3:G""), ""Select Col"&amp;"1 Where Col2 = '""&amp;Personagem!$S$2&amp;""' or Col2 = '""&amp;Personagem!$S$3&amp;""' or Col2 = '""&amp;Personagem!$S$4&amp;""' or Col2 = '""&amp;Personagem!$S$5&amp;""'""),
if('Time 2'!C7 = ""Melina"", query(IMPORTRANGE(cd_planilha, ""Armas!B3:G""), ""Select Col1 Where Col2 = '""&amp;Pe"&amp;"rsonagem!$T$2&amp;""' or Col2 = '""&amp;Personagem!$T$3&amp;""' or Col2 = '""&amp;Personagem!$T$4&amp;""' or Col2 = '""&amp;Personagem!$T$5&amp;""'""),
if('Time 2'!C7 = ""Mila"", query(IMPORTRANGE(cd_planilha, ""Armas!B3:G""), ""Select Col1 Where Col2 = '""&amp;Personagem!$U$2&amp;""' or Co"&amp;"l2 = '""&amp;Personagem!$U$3&amp;""' or Col2 = '""&amp;Personagem!$U$4&amp;""' or Col2 = '""&amp;Personagem!$U$5&amp;""'""),
if('Time 2'!C7 = ""Minh"", query(IMPORTRANGE(cd_planilha, ""Armas!B3:G""), ""Select Col1 Where Col2 = '""&amp;Personagem!$V$2&amp;""' or Col2 = '""&amp;Personagem!$V$"&amp;"3&amp;""' or Col2 = '""&amp;Personagem!$V$4&amp;""' or Col2 = '""&amp;Personagem!$V$5&amp;""'""),
if('Time 2'!C7 = ""Mojian"", query(IMPORTRANGE(cd_planilha, ""Armas!B3:G""), ""Select Col1 Where Col2 = '""&amp;Personagem!$W$2&amp;""' or Col2 = '""&amp;Personagem!$W$3&amp;""' or Col2 = '""&amp;P"&amp;"ersonagem!$W$4&amp;""' or Col2 = '""&amp;Personagem!$W$5&amp;""'""),
if('Time 2'!C7 = ""Nya"", query(IMPORTRANGE(cd_planilha, ""Armas!B3:G""), ""Select Col1 Where Col2 = '""&amp;Personagem!$X$2&amp;""' or Col2 = '""&amp;Personagem!$X$3&amp;""' or Col2 = '""&amp;Personagem!$X$4&amp;""' or Co"&amp;"l2 = '""&amp;Personagem!$X$5&amp;""'""),
if('Time 2'!C7 = ""Odette"", query(IMPORTRANGE(cd_planilha, ""Armas!B3:G""), ""Select Col1 Where Col2 = '""&amp;Personagem!$Y$2&amp;""' or Col2 = '""&amp;Personagem!$Y$3&amp;""' or Col2 = '""&amp;Personagem!$Y$4&amp;""' or Col2 = '""&amp;Personagem!$"&amp;"Y$5&amp;""'""),
if('Time 2'!C7 = ""Oneira"", query(IMPORTRANGE(cd_planilha, ""Armas!B3:G""), ""Select Col1 Where Col2 = '""&amp;Personagem!$Z$2&amp;""' or Col2 = '""&amp;Personagem!$Z$3&amp;""' or Col2 = '""&amp;Personagem!$Z$4&amp;""' or Col2 = '""&amp;Personagem!$Z$5&amp;""'""),
if('Time "&amp;"2'!C7 = ""Palash"", query(IMPORTRANGE(cd_planilha, ""Armas!B3:G""), ""Select Col1 Where Col2 = '""&amp;Personagem!$AA$2&amp;""' or Col2 = '""&amp;Personagem!$AA$3&amp;""' or Col2 = '""&amp;Personagem!$AA$4&amp;""' or Col2 = '""&amp;Personagem!$AA$5&amp;""'""),
if('Time 2'!C7 = ""Theor"""&amp;", query(IMPORTRANGE(cd_planilha, ""Armas!B3:G""), ""Select Col1 Where Col2 = '""&amp;Personagem!$AB$2&amp;""' or Col2 = '""&amp;Personagem!$AB$3&amp;""' or Col2 = '""&amp;Personagem!$AB$4&amp;""' or Col2 = '""&amp;Personagem!$AB$5&amp;""'""),
if('Time 2'!C7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J1" s="241"/>
      <c r="K1" s="241" t="str">
        <f>IFERROR(__xludf.DUMMYFUNCTION("if('Time 2'!C8 = ""Albert"", query(IMPORTRANGE(cd_planilha, ""Armas!B3:G""), ""Select Col1 Where Col2 = '""&amp;Personagem!$B$2&amp;""' or Col2 = '""&amp;Personagem!$B$3&amp;""' or Col2 = '""&amp;Personagem!$B$4&amp;""' or Col2 = '""&amp;Personagem!$B$5&amp;""'""),     
if('Time 2'!C8 ="&amp;" ""Alicia"", query(IMPORTRANGE(cd_planilha, ""Armas!B3:G""), ""Select Col1 Where Col2 = '""&amp;Personagem!$C$2&amp;""' or Col2 = '""&amp;Personagem!$C$3&amp;""' or Col2 = '""&amp;Personagem!$C$4&amp;""' or Col2 = '""&amp;Personagem!$C$5&amp;""'""),
if('Time 2'!C8 = ""Azula"", query(IMP"&amp;"ORTRANGE(cd_planilha, ""Armas!B3:G""), ""Select Col1 Where Col2 = '""&amp;Personagem!$D$2&amp;""' or Col2 = '""&amp;Personagem!$D$3&amp;""' or Col2 = '""&amp;Personagem!$D$4&amp;""' or Col2 = '""&amp;Personagem!$D$5&amp;""'""),
if('Time 2'!C8 = ""Charles"", query(IMPORTRANGE(cd_planilha"&amp;", ""Armas!B3:G""), ""Select Col1 Where Col2 = '""&amp;Personagem!$E$2&amp;""' or Col2 = '""&amp;Personagem!$E$3&amp;""' or Col2 = '""&amp;Personagem!$E$4&amp;""' or Col2 = '""&amp;Personagem!$E$5&amp;""'""),
if('Time 2'!C8 = ""Clovis"", query(IMPORTRANGE(cd_planilha, ""Armas!B3:G""), """&amp;"Select Col1 Where Col2 = '""&amp;Personagem!$F$2&amp;""' or Col2 = '""&amp;Personagem!$F$3&amp;""' or Col2 = '""&amp;Personagem!$F$4&amp;""' or Col2 = '""&amp;Personagem!$F$5&amp;""'""),
if('Time 2'!C8 = ""Darthos"", query(IMPORTRANGE(cd_planilha, ""Armas!B3:G""), ""Select Col1 Where Co"&amp;"l2 = '""&amp;Personagem!$G$2&amp;""' or Col2 = '""&amp;Personagem!$G$3&amp;""' or Col2 = '""&amp;Personagem!$G$4&amp;""' or Col2 = '""&amp;Personagem!$G$5&amp;""'""),
if('Time 2'!C8 = ""Edward"", query(IMPORTRANGE(cd_planilha, ""Armas!B3:G""), ""Select Col1 Where Col2 = '""&amp;Personagem!$"&amp;"H$2&amp;""' or Col2 = '""&amp;Personagem!$H$3&amp;""' or Col2 = '""&amp;Personagem!$H$4&amp;""' or Col2 = '""&amp;Personagem!$H$5&amp;""'""),
if('Time 2'!C8 = ""Fiora"", query(IMPORTRANGE(cd_planilha, ""Armas!B3:G""), ""Select Col1 Where Col2 = '""&amp;Personagem!$I$2&amp;""' or Col2 = '""&amp;"&amp;"Personagem!$I$3&amp;""' or Col2 = '""&amp;Personagem!$I$4&amp;""' or Col2 = '""&amp;Personagem!$I$5&amp;""'""),
if('Time 2'!C8 = ""Francesca"", query(IMPORTRANGE(cd_planilha, ""Armas!B3:G""), ""Select Col1 Where Col2 = '""&amp;Personagem!$J$2&amp;""' or Col2 = '""&amp;Personagem!$J$3&amp;"""&amp;"' or Col2 = '""&amp;Personagem!$J$4&amp;""' or Col2 = '""&amp;Personagem!$J$5&amp;""'""),
if('Time 2'!C8 = ""Garreth"", query(IMPORTRANGE(cd_planilha, ""Armas!B3:G""), ""Select Col1 Where Col2 = '""&amp;Personagem!$K$2&amp;""' or Col2 = '""&amp;Personagem!$K$3&amp;""' or Col2 = '""&amp;Pers"&amp;"onagem!$K$4&amp;""' or Col2 = '""&amp;Personagem!$K$5&amp;""'""),
if('Time 2'!C8 = ""Gauvin"", query(IMPORTRANGE(cd_planilha, ""Armas!B3:G""), ""Select Col1 Where Col2 = '""&amp;Personagem!$L$2&amp;""' or Col2 = '""&amp;Personagem!$L$3&amp;""' or Col2 = '""&amp;Personagem!$L$4&amp;""' or Co"&amp;"l2 = '""&amp;Personagem!$L$5&amp;""'""),
if('Time 2'!C8 = ""Irene"", query(IMPORTRANGE(cd_planilha, ""Armas!B3:G""), ""Select Col1 Where Col2 = '""&amp;Personagem!$M$2&amp;""' or Col2 = '""&amp;Personagem!$M$3&amp;""' or Col2 = '""&amp;Personagem!$M$4&amp;""' or Col2 = '""&amp;Personagem!$M"&amp;"$5&amp;""'""),
if('Time 2'!C8 = ""Karal"", query(IMPORTRANGE(cd_planilha, ""Armas!B3:G""), ""Select Col1 Where Col2 = '""&amp;Personagem!$N$2&amp;""' or Col2 = '""&amp;Personagem!$N$3&amp;""' or Col2 = '""&amp;Personagem!$N$4&amp;""' or Col2 = '""&amp;Personagem!$N$5&amp;""'""),
if('Time 2'"&amp;"!C8 = ""Kuro Shobi"", query(IMPORTRANGE(cd_planilha, ""Armas!B3:G""), ""Select Col1 Where Col2 = '""&amp;Personagem!$O$2&amp;""' or Col2 = '""&amp;Personagem!$O$3&amp;""' or Col2 = '""&amp;Personagem!$O$4&amp;""' or Col2 = '""&amp;Personagem!$O$5&amp;""'""),
if('Time 2'!C8 = ""Kurul"", "&amp;"query(IMPORTRANGE(cd_planilha, ""Armas!B3:G""), ""Select Col1 Where Col2 = '""&amp;Personagem!$P$2&amp;""' or Col2 = '""&amp;Personagem!$P$3&amp;""' or Col2 = '""&amp;Personagem!$P$4&amp;""' or Col2 = '""&amp;Personagem!$P$5&amp;""'""),
if('Time 2'!C8 = ""Lancaster"", query(IMPORTRANGE("&amp;"cd_planilha, ""Armas!B3:G""), ""Select Col1 Where Col2 = '""&amp;Personagem!$Q$2&amp;""' or Col2 = '""&amp;Personagem!$Q$3&amp;""' or Col2 = '""&amp;Personagem!$Q$4&amp;""' or Col2 = '""&amp;Personagem!$Q$5&amp;""'""),
if('Time 2'!C8 = ""Lorelei"", query(IMPORTRANGE(cd_planilha, ""Armas"&amp;"!B3:G""), ""Select Col1 Where Col2 = '""&amp;Personagem!$R$2&amp;""' or Col2 = '""&amp;Personagem!$R$3&amp;""' or Col2 = '""&amp;Personagem!$R$4&amp;""' or Col2 = '""&amp;Personagem!$R$5&amp;""'""),
if('Time 2'!C8 = ""Louca"", query(IMPORTRANGE(cd_planilha, ""Armas!B3:G""), ""Select Col"&amp;"1 Where Col2 = '""&amp;Personagem!$S$2&amp;""' or Col2 = '""&amp;Personagem!$S$3&amp;""' or Col2 = '""&amp;Personagem!$S$4&amp;""' or Col2 = '""&amp;Personagem!$S$5&amp;""'""),
if('Time 2'!C8 = ""Melina"", query(IMPORTRANGE(cd_planilha, ""Armas!B3:G""), ""Select Col1 Where Col2 = '""&amp;Pe"&amp;"rsonagem!$T$2&amp;""' or Col2 = '""&amp;Personagem!$T$3&amp;""' or Col2 = '""&amp;Personagem!$T$4&amp;""' or Col2 = '""&amp;Personagem!$T$5&amp;""'""),
if('Time 2'!C8 = ""Mila"", query(IMPORTRANGE(cd_planilha, ""Armas!B3:G""), ""Select Col1 Where Col2 = '""&amp;Personagem!$U$2&amp;""' or Co"&amp;"l2 = '""&amp;Personagem!$U$3&amp;""' or Col2 = '""&amp;Personagem!$U$4&amp;""' or Col2 = '""&amp;Personagem!$U$5&amp;""'""),
if('Time 2'!C8 = ""Minh"", query(IMPORTRANGE(cd_planilha, ""Armas!B3:G""), ""Select Col1 Where Col2 = '""&amp;Personagem!$V$2&amp;""' or Col2 = '""&amp;Personagem!$V$"&amp;"3&amp;""' or Col2 = '""&amp;Personagem!$V$4&amp;""' or Col2 = '""&amp;Personagem!$V$5&amp;""'""),
if('Time 2'!C8 = ""Mojian"", query(IMPORTRANGE(cd_planilha, ""Armas!B3:G""), ""Select Col1 Where Col2 = '""&amp;Personagem!$W$2&amp;""' or Col2 = '""&amp;Personagem!$W$3&amp;""' or Col2 = '""&amp;P"&amp;"ersonagem!$W$4&amp;""' or Col2 = '""&amp;Personagem!$W$5&amp;""'""),
if('Time 2'!C8 = ""Nya"", query(IMPORTRANGE(cd_planilha, ""Armas!B3:G""), ""Select Col1 Where Col2 = '""&amp;Personagem!$X$2&amp;""' or Col2 = '""&amp;Personagem!$X$3&amp;""' or Col2 = '""&amp;Personagem!$X$4&amp;""' or Co"&amp;"l2 = '""&amp;Personagem!$X$5&amp;""'""),
if('Time 2'!C8 = ""Odette"", query(IMPORTRANGE(cd_planilha, ""Armas!B3:G""), ""Select Col1 Where Col2 = '""&amp;Personagem!$Y$2&amp;""' or Col2 = '""&amp;Personagem!$Y$3&amp;""' or Col2 = '""&amp;Personagem!$Y$4&amp;""' or Col2 = '""&amp;Personagem!$"&amp;"Y$5&amp;""'""),
if('Time 2'!C8 = ""Oneira"", query(IMPORTRANGE(cd_planilha, ""Armas!B3:G""), ""Select Col1 Where Col2 = '""&amp;Personagem!$Z$2&amp;""' or Col2 = '""&amp;Personagem!$Z$3&amp;""' or Col2 = '""&amp;Personagem!$Z$4&amp;""' or Col2 = '""&amp;Personagem!$Z$5&amp;""'""),
if('Time "&amp;"2'!C8 = ""Palash"", query(IMPORTRANGE(cd_planilha, ""Armas!B3:G""), ""Select Col1 Where Col2 = '""&amp;Personagem!$AA$2&amp;""' or Col2 = '""&amp;Personagem!$AA$3&amp;""' or Col2 = '""&amp;Personagem!$AA$4&amp;""' or Col2 = '""&amp;Personagem!$AA$5&amp;""'""),
if('Time 2'!C8 = ""Theor"""&amp;", query(IMPORTRANGE(cd_planilha, ""Armas!B3:G""), ""Select Col1 Where Col2 = '""&amp;Personagem!$AB$2&amp;""' or Col2 = '""&amp;Personagem!$AB$3&amp;""' or Col2 = '""&amp;Personagem!$AB$4&amp;""' or Col2 = '""&amp;Personagem!$AB$5&amp;""'""),
if('Time 2'!C8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'""&amp;Personagem!$AC$5&amp;""'"")))))))))))))))))))))))))))))"),"Cajado do bispo")</f>
        <v>Cajado do bispo</v>
      </c>
      <c r="L1" s="242"/>
      <c r="M1" s="241" t="str">
        <f>IFERROR(__xludf.DUMMYFUNCTION("if('Time 2'!C3 = ""Albert"", query(IMPORTRANGE(cd_planilha, ""Armas!B3:G""), ""Select Col1 Where Col2 = '""&amp;Personagem!$B$6&amp;""' or Col2 = '""&amp;Personagem!$B$7&amp;""'""),     
if('Time 2'!C3 = ""Alicia"", query(IMPORTRANGE(cd_planilha, ""Armas!B3:G""), ""Selec"&amp;"t Col1 Where Col2 = '""&amp;Personagem!$C$6&amp;""' or Col2 = '""&amp;Personagem!$C$7&amp;""'""),
if('Time 2'!C3 = ""Azula"", query(IMPORTRANGE(cd_planilha, ""Armas!B3:G""), ""Select Col1 Where Col2 = '""&amp;Personagem!$D$6&amp;""' or Col2 = '""&amp;Personagem!$D$7&amp;""' ""),
if('Tim"&amp;"e 2'!C3 = ""Charles"", query(IMPORTRANGE(cd_planilha, ""Armas!B3:G""), ""Select Col1 Where Col2 = '""&amp;Personagem!$E$6&amp;""' or Col2 = '""&amp;Personagem!$E$7&amp;""'""),
if('Time 2'!C3 = ""Clovis"", query(IMPORTRANGE(cd_planilha, ""Armas!B3:G""), ""Select Col1 Wher"&amp;"e Col2 = '""&amp;Personagem!$F$6&amp;""' or Col2 = '""&amp;Personagem!$F$7&amp;""' ""),
if('Time 2'!C3 = ""Darthos"", query(IMPORTRANGE(cd_planilha, ""Armas!B3:G""), ""Select Col1 Where Col2 = '""&amp;Personagem!$G$6&amp;""' or Col2 = '""&amp;Personagem!$G$7&amp;""'""),
if('Time 2'!C3 ="&amp;" ""Edward"", query(IMPORTRANGE(cd_planilha, ""Armas!B3:G""), ""Select Col1 Where Col2 = '""&amp;Personagem!$H$6&amp;""' or Col2 = '""&amp;Personagem!$H$7&amp;""' ""),
if('Time 2'!C3 = ""Fiora"", query(IMPORTRANGE(cd_planilha, ""Armas!B3:G""), ""Select Col1 Where Col2 = '"&amp;"""&amp;Personagem!$I$6&amp;""' or Col2 = '""&amp;Personagem!$I$7&amp;""' ""),
if('Time 2'!C3 = ""Francesca"", query(IMPORTRANGE(cd_planilha, ""Armas!B3:G""), ""Select Col1 Where Col2 = '""&amp;Personagem!$J$6&amp;""' or Col2 = '""&amp;Personagem!$J$7&amp;""'""),
if('Time 2'!C3 = ""Garre"&amp;"th"", query(IMPORTRANGE(cd_planilha, ""Armas!B3:G""), ""Select Col1 Where Col2 = '""&amp;Personagem!$K$6&amp;""' or Col2 = '""&amp;Personagem!$K$7&amp;""'""),
if('Time 2'!C3 = ""Gauvin"", query(IMPORTRANGE(cd_planilha, ""Armas!B3:G""), ""Select Col1 Where Col2 = '""&amp;Pers"&amp;"onagem!$L$6&amp;""' or Col2 = '""&amp;Personagem!$L$7&amp;""' ""),
if('Time 2'!C3 = ""Irene"", query(IMPORTRANGE(cd_planilha, ""Armas!B3:G""), ""Select Col1 Where Col2 = '""&amp;Personagem!$M$6&amp;""' or Col2 = '""&amp;Personagem!$M$7&amp;""' ""),
if('Time 2'!C3 = ""Karal"", query("&amp;"IMPORTRANGE(cd_planilha, ""Armas!B3:G""), ""Select Col1 Where Col2 = '""&amp;Personagem!$N$6&amp;""' or Col2 = '""&amp;Personagem!$N$7&amp;""' ""),
if('Time 2'!C3 = ""Kuro Shobi"", query(IMPORTRANGE(cd_planilha, ""Armas!B3:G""), ""Select Col1 Where Col2 = '""&amp;Personagem!"&amp;"$O$6&amp;""' or Col2 = '""&amp;Personagem!$O$7&amp;""'""),
if('Time 2'!C3 = ""Kurul"", query(IMPORTRANGE(cd_planilha, ""Armas!B3:G""), ""Select Col1 Where Col2 = '""&amp;Personagem!$P$6&amp;""' or Col2 = '""&amp;Personagem!$P$7&amp;""' ""),
if('Time 2'!C3 = ""Lancaster"", query(IMPO"&amp;"RTRANGE(cd_planilha, ""Armas!B3:G""), ""Select Col1 Where Col2 = '""&amp;Personagem!$Q$6&amp;""' or Col2 = '""&amp;Personagem!$Q$7&amp;""'""),
if('Time 2'!C3 = ""Lorelei"", query(IMPORTRANGE(cd_planilha, ""Armas!B3:G""), ""Select Col1 Where Col2 = '""&amp;Personagem!$R$6&amp;""'"&amp;" or Col2 = '""&amp;Personagem!$R$7&amp;""' ""),
if('Time 2'!C3 = ""Louca"", query(IMPORTRANGE(cd_planilha, ""Armas!B3:G""), ""Select Col1 Where Col2 = '""&amp;Personagem!$S$6&amp;""' or Col2 = '""&amp;Personagem!$S$7&amp;""' ""),
if('Time 2'!C3 = ""Melina"", query(IMPORTRANGE(cd"&amp;"_planilha, ""Armas!B3:G""), ""Select Col1 Where Col2 = '""&amp;Personagem!$T$6&amp;""' or Col2 = '""&amp;Personagem!$T$7&amp;""'""),
if('Time 2'!C3 = ""Mila"", query(IMPORTRANGE(cd_planilha, ""Armas!B3:G""), ""Select Col1 Where Col2 = '""&amp;Personagem!$U$6&amp;""' or Col2 = '"&amp;"""&amp;Personagem!$U$7&amp;""' ""),
if('Time 2'!C3 = ""Minh"", query(IMPORTRANGE(cd_planilha, ""Armas!B3:G""), ""Select Col1 Where Col2 = '""&amp;Personagem!$V$6&amp;""' or Col2 = '""&amp;Personagem!$V$7&amp;""' ""),
if('Time 2'!C3 = ""Mojian"", query(IMPORTRANGE(cd_planilha, """&amp;"Armas!B3:G""), ""Select Col1 Where Col2 = '""&amp;Personagem!$W$6&amp;""' or Col2 = '""&amp;Personagem!$W$7&amp;""'""),
if('Time 2'!C3 = ""Nya"", query(IMPORTRANGE(cd_planilha, ""Armas!B3:G""), ""Select Col1 Where Col2 = '""&amp;Personagem!$X$6&amp;""' or Col2 = '""&amp;Personagem!$"&amp;"X$7&amp;""' ""),
if('Time 2'!C3 = ""Odette"", query(IMPORTRANGE(cd_planilha, ""Armas!B3:G""), ""Select Col1 Where Col2 = '""&amp;Personagem!$Y$6&amp;""' or Col2 = '""&amp;Personagem!$Y$7&amp;""'""),
if('Time 2'!C3 = ""Oneira"", query(IMPORTRANGE(cd_planilha, ""Armas!B3:G""),"&amp;" ""Select Col1 Where Col2 = '""&amp;Personagem!$Z$6&amp;""' or Col2 = '""&amp;Personagem!$Z$7&amp;""' ""),
if('Time 2'!C3 = ""Palash"", query(IMPORTRANGE(cd_planilha, ""Armas!B3:G""), ""Select Col1 Where Col2 = '""&amp;Personagem!$AA$6&amp;""' or Col2 = '""&amp;Personagem!$AA$7&amp;""'"&amp;"""),
if('Time 2'!C3 = ""Theor"", query(IMPORTRANGE(cd_planilha, ""Armas!B3:G""), ""Select Col1 Where Col2 = '""&amp;Personagem!$AB$6&amp;""' or Col2 = '""&amp;Personagem!$AB$7&amp;""' ""),
if('Time 2'!C3 = ""Yue"", query(IMPORTRANGE(cd_planilha, ""Armas!B3:G""), ""Select"&amp;" Col1 Where Col2 = '""&amp;Personagem!$AC$6&amp;""' or Col2 = '""&amp;Personagem!$AC$7&amp;""'""
)))))))))))))))))))))))))))))"),"Capa do Gelo")</f>
        <v>Capa do Gelo</v>
      </c>
      <c r="N1" s="241"/>
      <c r="O1" s="241" t="str">
        <f>IFERROR(__xludf.DUMMYFUNCTION("if('Time 2'!C4 = ""Albert"", query(IMPORTRANGE(cd_planilha, ""Armas!B3:G""), ""Select Col1 Where Col2 = '""&amp;Personagem!$B$6&amp;""' or Col2 = '""&amp;Personagem!$B$7&amp;""'""),     
if('Time 2'!C4 = ""Alicia"", query(IMPORTRANGE(cd_planilha, ""Armas!B3:G""), ""Selec"&amp;"t Col1 Where Col2 = '""&amp;Personagem!$C$6&amp;""' or Col2 = '""&amp;Personagem!$C$7&amp;""'""),
if('Time 2'!C4 = ""Azula"", query(IMPORTRANGE(cd_planilha, ""Armas!B3:G""), ""Select Col1 Where Col2 = '""&amp;Personagem!$D$6&amp;""' or Col2 = '""&amp;Personagem!$D$7&amp;""' ""),
if('Tim"&amp;"e 2'!C4 = ""Charles"", query(IMPORTRANGE(cd_planilha, ""Armas!B3:G""), ""Select Col1 Where Col2 = '""&amp;Personagem!$E$6&amp;""' or Col2 = '""&amp;Personagem!$E$7&amp;""'""),
if('Time 2'!C4 = ""Clovis"", query(IMPORTRANGE(cd_planilha, ""Armas!B3:G""), ""Select Col1 Wher"&amp;"e Col2 = '""&amp;Personagem!$F$6&amp;""' or Col2 = '""&amp;Personagem!$F$7&amp;""' ""),
if('Time 2'!C4 = ""Darthos"", query(IMPORTRANGE(cd_planilha, ""Armas!B3:G""), ""Select Col1 Where Col2 = '""&amp;Personagem!$G$6&amp;""' or Col2 = '""&amp;Personagem!$G$7&amp;""'""),
if('Time 2'!C4 ="&amp;" ""Edward"", query(IMPORTRANGE(cd_planilha, ""Armas!B3:G""), ""Select Col1 Where Col2 = '""&amp;Personagem!$H$6&amp;""' or Col2 = '""&amp;Personagem!$H$7&amp;""' ""),
if('Time 2'!C4 = ""Fiora"", query(IMPORTRANGE(cd_planilha, ""Armas!B3:G""), ""Select Col1 Where Col2 = '"&amp;"""&amp;Personagem!$I$6&amp;""' or Col2 = '""&amp;Personagem!$I$7&amp;""' ""),
if('Time 2'!C4 = ""Francesca"", query(IMPORTRANGE(cd_planilha, ""Armas!B3:G""), ""Select Col1 Where Col2 = '""&amp;Personagem!$J$6&amp;""' or Col2 = '""&amp;Personagem!$J$7&amp;""'""),
if('Time 2'!C4 = ""Garre"&amp;"th"", query(IMPORTRANGE(cd_planilha, ""Armas!B3:G""), ""Select Col1 Where Col2 = '""&amp;Personagem!$K$6&amp;""' or Col2 = '""&amp;Personagem!$K$7&amp;""'""),
if('Time 2'!C4 = ""Gauvin"", query(IMPORTRANGE(cd_planilha, ""Armas!B3:G""), ""Select Col1 Where Col2 = '""&amp;Pers"&amp;"onagem!$L$6&amp;""' or Col2 = '""&amp;Personagem!$L$7&amp;""' ""),
if('Time 2'!C4 = ""Irene"", query(IMPORTRANGE(cd_planilha, ""Armas!B3:G""), ""Select Col1 Where Col2 = '""&amp;Personagem!$M$6&amp;""' or Col2 = '""&amp;Personagem!$M$7&amp;""' ""),
if('Time 2'!C4 = ""Karal"", query("&amp;"IMPORTRANGE(cd_planilha, ""Armas!B3:G""), ""Select Col1 Where Col2 = '""&amp;Personagem!$N$6&amp;""' or Col2 = '""&amp;Personagem!$N$7&amp;""' ""),
if('Time 2'!C4 = ""Kuro Shobi"", query(IMPORTRANGE(cd_planilha, ""Armas!B3:G""), ""Select Col1 Where Col2 = '""&amp;Personagem!"&amp;"$O$6&amp;""' or Col2 = '""&amp;Personagem!$O$7&amp;""'""),
if('Time 2'!C4 = ""Kurul"", query(IMPORTRANGE(cd_planilha, ""Armas!B3:G""), ""Select Col1 Where Col2 = '""&amp;Personagem!$P$6&amp;""' or Col2 = '""&amp;Personagem!$P$7&amp;""' ""),
if('Time 2'!C4 = ""Lancaster"", query(IMPO"&amp;"RTRANGE(cd_planilha, ""Armas!B3:G""), ""Select Col1 Where Col2 = '""&amp;Personagem!$Q$6&amp;""' or Col2 = '""&amp;Personagem!$Q$7&amp;""'""),
if('Time 2'!C4 = ""Lorelei"", query(IMPORTRANGE(cd_planilha, ""Armas!B3:G""), ""Select Col1 Where Col2 = '""&amp;Personagem!$R$6&amp;""'"&amp;" or Col2 = '""&amp;Personagem!$R$7&amp;""' ""),
if('Time 2'!C4 = ""Louca"", query(IMPORTRANGE(cd_planilha, ""Armas!B3:G""), ""Select Col1 Where Col2 = '""&amp;Personagem!$S$6&amp;""' or Col2 = '""&amp;Personagem!$S$7&amp;""' ""),
if('Time 2'!C4 = ""Melina"", query(IMPORTRANGE(cd"&amp;"_planilha, ""Armas!B3:G""), ""Select Col1 Where Col2 = '""&amp;Personagem!$T$6&amp;""' or Col2 = '""&amp;Personagem!$T$7&amp;""'""),
if('Time 2'!C4 = ""Mila"", query(IMPORTRANGE(cd_planilha, ""Armas!B3:G""), ""Select Col1 Where Col2 = '""&amp;Personagem!$U$6&amp;""' or Col2 = '"&amp;"""&amp;Personagem!$U$7&amp;""' ""),
if('Time 2'!C4 = ""Minh"", query(IMPORTRANGE(cd_planilha, ""Armas!B3:G""), ""Select Col1 Where Col2 = '""&amp;Personagem!$V$6&amp;""' or Col2 = '""&amp;Personagem!$V$7&amp;""' ""),
if('Time 2'!C4 = ""Mojian"", query(IMPORTRANGE(cd_planilha, """&amp;"Armas!B3:G""), ""Select Col1 Where Col2 = '""&amp;Personagem!$W$6&amp;""' or Col2 = '""&amp;Personagem!$W$7&amp;""'""),
if('Time 2'!C4 = ""Nya"", query(IMPORTRANGE(cd_planilha, ""Armas!B3:G""), ""Select Col1 Where Col2 = '""&amp;Personagem!$X$6&amp;""' or Col2 = '""&amp;Personagem!$"&amp;"X$7&amp;""' ""),
if('Time 2'!C4 = ""Odette"", query(IMPORTRANGE(cd_planilha, ""Armas!B3:G""), ""Select Col1 Where Col2 = '""&amp;Personagem!$Y$6&amp;""' or Col2 = '""&amp;Personagem!$Y$7&amp;""'""),
if('Time 2'!C4 = ""Oneira"", query(IMPORTRANGE(cd_planilha, ""Armas!B3:G""),"&amp;" ""Select Col1 Where Col2 = '""&amp;Personagem!$Z$6&amp;""' or Col2 = '""&amp;Personagem!$Z$7&amp;""' ""),
if('Time 2'!C4 = ""Palash"", query(IMPORTRANGE(cd_planilha, ""Armas!B3:G""), ""Select Col1 Where Col2 = '""&amp;Personagem!$AA$6&amp;""' or Col2 = '""&amp;Personagem!$AA$7&amp;""'"&amp;"""),
if('Time 2'!C4 = ""Theor"", query(IMPORTRANGE(cd_planilha, ""Armas!B3:G""), ""Select Col1 Where Col2 = '""&amp;Personagem!$AB$6&amp;""' or Col2 = '""&amp;Personagem!$AB$7&amp;""' ""),
if('Time 2'!C4 = ""Yue"", query(IMPORTRANGE(cd_planilha, ""Armas!B3:G""), ""Select"&amp;" Col1 Where Col2 = '""&amp;Personagem!$AC$6&amp;""' or Col2 = '""&amp;Personagem!$AC$7&amp;""'""
)))))))))))))))))))))))))))))"),"Armadura Lunar")</f>
        <v>Armadura Lunar</v>
      </c>
      <c r="P1" s="241"/>
      <c r="Q1" s="241" t="str">
        <f>IFERROR(__xludf.DUMMYFUNCTION("if('Time 2'!C5 = ""Albert"", query(IMPORTRANGE(cd_planilha, ""Armas!B3:G""), ""Select Col1 Where Col2 = '""&amp;Personagem!$B$6&amp;""' or Col2 = '""&amp;Personagem!$B$7&amp;""'""),     
if('Time 2'!C5 = ""Alicia"", query(IMPORTRANGE(cd_planilha, ""Armas!B3:G""), ""Selec"&amp;"t Col1 Where Col2 = '""&amp;Personagem!$C$6&amp;""' or Col2 = '""&amp;Personagem!$C$7&amp;""'""),
if('Time 2'!C5 = ""Azula"", query(IMPORTRANGE(cd_planilha, ""Armas!B3:G""), ""Select Col1 Where Col2 = '""&amp;Personagem!$D$6&amp;""' or Col2 = '""&amp;Personagem!$D$7&amp;""' ""),
if('Tim"&amp;"e 2'!C5 = ""Charles"", query(IMPORTRANGE(cd_planilha, ""Armas!B3:G""), ""Select Col1 Where Col2 = '""&amp;Personagem!$E$6&amp;""' or Col2 = '""&amp;Personagem!$E$7&amp;""'""),
if('Time 2'!C5 = ""Clovis"", query(IMPORTRANGE(cd_planilha, ""Armas!B3:G""), ""Select Col1 Wher"&amp;"e Col2 = '""&amp;Personagem!$F$6&amp;""' or Col2 = '""&amp;Personagem!$F$7&amp;""' ""),
if('Time 2'!C5 = ""Darthos"", query(IMPORTRANGE(cd_planilha, ""Armas!B3:G""), ""Select Col1 Where Col2 = '""&amp;Personagem!$G$6&amp;""' or Col2 = '""&amp;Personagem!$G$7&amp;""'""),
if('Time 2'!C5 ="&amp;" ""Edward"", query(IMPORTRANGE(cd_planilha, ""Armas!B3:G""), ""Select Col1 Where Col2 = '""&amp;Personagem!$H$6&amp;""' or Col2 = '""&amp;Personagem!$H$7&amp;""' ""),
if('Time 2'!C5 = ""Fiora"", query(IMPORTRANGE(cd_planilha, ""Armas!B3:G""), ""Select Col1 Where Col2 = '"&amp;"""&amp;Personagem!$I$6&amp;""' or Col2 = '""&amp;Personagem!$I$7&amp;""' ""),
if('Time 2'!C5 = ""Francesca"", query(IMPORTRANGE(cd_planilha, ""Armas!B3:G""), ""Select Col1 Where Col2 = '""&amp;Personagem!$J$6&amp;""' or Col2 = '""&amp;Personagem!$J$7&amp;""'""),
if('Time 2'!C5 = ""Garre"&amp;"th"", query(IMPORTRANGE(cd_planilha, ""Armas!B3:G""), ""Select Col1 Where Col2 = '""&amp;Personagem!$K$6&amp;""' or Col2 = '""&amp;Personagem!$K$7&amp;""'""),
if('Time 2'!C5 = ""Gauvin"", query(IMPORTRANGE(cd_planilha, ""Armas!B3:G""), ""Select Col1 Where Col2 = '""&amp;Pers"&amp;"onagem!$L$6&amp;""' or Col2 = '""&amp;Personagem!$L$7&amp;""' ""),
if('Time 2'!C5 = ""Irene"", query(IMPORTRANGE(cd_planilha, ""Armas!B3:G""), ""Select Col1 Where Col2 = '""&amp;Personagem!$M$6&amp;""' or Col2 = '""&amp;Personagem!$M$7&amp;""' ""),
if('Time 2'!C5 = ""Karal"", query("&amp;"IMPORTRANGE(cd_planilha, ""Armas!B3:G""), ""Select Col1 Where Col2 = '""&amp;Personagem!$N$6&amp;""' or Col2 = '""&amp;Personagem!$N$7&amp;""' ""),
if('Time 2'!C5 = ""Kuro Shobi"", query(IMPORTRANGE(cd_planilha, ""Armas!B3:G""), ""Select Col1 Where Col2 = '""&amp;Personagem!"&amp;"$O$6&amp;""' or Col2 = '""&amp;Personagem!$O$7&amp;""'""),
if('Time 2'!C5 = ""Kurul"", query(IMPORTRANGE(cd_planilha, ""Armas!B3:G""), ""Select Col1 Where Col2 = '""&amp;Personagem!$P$6&amp;""' or Col2 = '""&amp;Personagem!$P$7&amp;""' ""),
if('Time 2'!C5 = ""Lancaster"", query(IMPO"&amp;"RTRANGE(cd_planilha, ""Armas!B3:G""), ""Select Col1 Where Col2 = '""&amp;Personagem!$Q$6&amp;""' or Col2 = '""&amp;Personagem!$Q$7&amp;""'""),
if('Time 2'!C5 = ""Lorelei"", query(IMPORTRANGE(cd_planilha, ""Armas!B3:G""), ""Select Col1 Where Col2 = '""&amp;Personagem!$R$6&amp;""'"&amp;" or Col2 = '""&amp;Personagem!$R$7&amp;""' ""),
if('Time 2'!C5 = ""Louca"", query(IMPORTRANGE(cd_planilha, ""Armas!B3:G""), ""Select Col1 Where Col2 = '""&amp;Personagem!$S$6&amp;""' or Col2 = '""&amp;Personagem!$S$7&amp;""' ""),
if('Time 2'!C5 = ""Melina"", query(IMPORTRANGE(cd"&amp;"_planilha, ""Armas!B3:G""), ""Select Col1 Where Col2 = '""&amp;Personagem!$T$6&amp;""' or Col2 = '""&amp;Personagem!$T$7&amp;""'""),
if('Time 2'!C5 = ""Mila"", query(IMPORTRANGE(cd_planilha, ""Armas!B3:G""), ""Select Col1 Where Col2 = '""&amp;Personagem!$U$6&amp;""' or Col2 = '"&amp;"""&amp;Personagem!$U$7&amp;""' ""),
if('Time 2'!C5 = ""Minh"", query(IMPORTRANGE(cd_planilha, ""Armas!B3:G""), ""Select Col1 Where Col2 = '""&amp;Personagem!$V$6&amp;""' or Col2 = '""&amp;Personagem!$V$7&amp;""' ""),
if('Time 2'!C5 = ""Mojian"", query(IMPORTRANGE(cd_planilha, """&amp;"Armas!B3:G""), ""Select Col1 Where Col2 = '""&amp;Personagem!$W$6&amp;""' or Col2 = '""&amp;Personagem!$W$7&amp;""'""),
if('Time 2'!C5 = ""Nya"", query(IMPORTRANGE(cd_planilha, ""Armas!B3:G""), ""Select Col1 Where Col2 = '""&amp;Personagem!$X$6&amp;""' or Col2 = '""&amp;Personagem!$"&amp;"X$7&amp;""' ""),
if('Time 2'!C5 = ""Odette"", query(IMPORTRANGE(cd_planilha, ""Armas!B3:G""), ""Select Col1 Where Col2 = '""&amp;Personagem!$Y$6&amp;""' or Col2 = '""&amp;Personagem!$Y$7&amp;""'""),
if('Time 2'!C5 = ""Oneira"", query(IMPORTRANGE(cd_planilha, ""Armas!B3:G""),"&amp;" ""Select Col1 Where Col2 = '""&amp;Personagem!$Z$6&amp;""' or Col2 = '""&amp;Personagem!$Z$7&amp;""' ""),
if('Time 2'!C5 = ""Palash"", query(IMPORTRANGE(cd_planilha, ""Armas!B3:G""), ""Select Col1 Where Col2 = '""&amp;Personagem!$AA$6&amp;""' or Col2 = '""&amp;Personagem!$AA$7&amp;""'"&amp;"""),
if('Time 2'!C5 = ""Theor"", query(IMPORTRANGE(cd_planilha, ""Armas!B3:G""), ""Select Col1 Where Col2 = '""&amp;Personagem!$AB$6&amp;""' or Col2 = '""&amp;Personagem!$AB$7&amp;""' ""),
if('Time 2'!C5 = ""Yue"", query(IMPORTRANGE(cd_planilha, ""Armas!B3:G""), ""Select"&amp;" Col1 Where Col2 = '""&amp;Personagem!$AC$6&amp;""' or Col2 = '""&amp;Personagem!$AC$7&amp;""'""
)))))))))))))))))))))))))))))"),"Armadura Lunar")</f>
        <v>Armadura Lunar</v>
      </c>
      <c r="R1" s="241"/>
      <c r="S1" s="241" t="str">
        <f>IFERROR(__xludf.DUMMYFUNCTION("if('Time 2'!C6 = ""Albert"", query(IMPORTRANGE(cd_planilha, ""Armas!B3:G""), ""Select Col1 Where Col2 = '""&amp;Personagem!$B$6&amp;""' or Col2 = '""&amp;Personagem!$B$7&amp;""'""),     
if('Time 2'!C6 = ""Alicia"", query(IMPORTRANGE(cd_planilha, ""Armas!B3:G""), ""Selec"&amp;"t Col1 Where Col2 = '""&amp;Personagem!$C$6&amp;""' or Col2 = '""&amp;Personagem!$C$7&amp;""'""),
if('Time 2'!C6 = ""Azula"", query(IMPORTRANGE(cd_planilha, ""Armas!B3:G""), ""Select Col1 Where Col2 = '""&amp;Personagem!$D$6&amp;""' or Col2 = '""&amp;Personagem!$D$7&amp;""' ""),
if('Tim"&amp;"e 2'!C6 = ""Charles"", query(IMPORTRANGE(cd_planilha, ""Armas!B3:G""), ""Select Col1 Where Col2 = '""&amp;Personagem!$E$6&amp;""' or Col2 = '""&amp;Personagem!$E$7&amp;""'""),
if('Time 2'!C6 = ""Clovis"", query(IMPORTRANGE(cd_planilha, ""Armas!B3:G""), ""Select Col1 Wher"&amp;"e Col2 = '""&amp;Personagem!$F$6&amp;""' or Col2 = '""&amp;Personagem!$F$7&amp;""' ""),
if('Time 2'!C6 = ""Darthos"", query(IMPORTRANGE(cd_planilha, ""Armas!B3:G""), ""Select Col1 Where Col2 = '""&amp;Personagem!$G$6&amp;""' or Col2 = '""&amp;Personagem!$G$7&amp;""'""),
if('Time 2'!C6 ="&amp;" ""Edward"", query(IMPORTRANGE(cd_planilha, ""Armas!B3:G""), ""Select Col1 Where Col2 = '""&amp;Personagem!$H$6&amp;""' or Col2 = '""&amp;Personagem!$H$7&amp;""' ""),
if('Time 2'!C6 = ""Fiora"", query(IMPORTRANGE(cd_planilha, ""Armas!B3:G""), ""Select Col1 Where Col2 = '"&amp;"""&amp;Personagem!$I$6&amp;""' or Col2 = '""&amp;Personagem!$I$7&amp;""' ""),
if('Time 2'!C6 = ""Francesca"", query(IMPORTRANGE(cd_planilha, ""Armas!B3:G""), ""Select Col1 Where Col2 = '""&amp;Personagem!$J$6&amp;""' or Col2 = '""&amp;Personagem!$J$7&amp;""'""),
if('Time 2'!C6 = ""Garre"&amp;"th"", query(IMPORTRANGE(cd_planilha, ""Armas!B3:G""), ""Select Col1 Where Col2 = '""&amp;Personagem!$K$6&amp;""' or Col2 = '""&amp;Personagem!$K$7&amp;""'""),
if('Time 2'!C6 = ""Gauvin"", query(IMPORTRANGE(cd_planilha, ""Armas!B3:G""), ""Select Col1 Where Col2 = '""&amp;Pers"&amp;"onagem!$L$6&amp;""' or Col2 = '""&amp;Personagem!$L$7&amp;""' ""),
if('Time 2'!C6 = ""Irene"", query(IMPORTRANGE(cd_planilha, ""Armas!B3:G""), ""Select Col1 Where Col2 = '""&amp;Personagem!$M$6&amp;""' or Col2 = '""&amp;Personagem!$M$7&amp;""' ""),
if('Time 2'!C6 = ""Karal"", query("&amp;"IMPORTRANGE(cd_planilha, ""Armas!B3:G""), ""Select Col1 Where Col2 = '""&amp;Personagem!$N$6&amp;""' or Col2 = '""&amp;Personagem!$N$7&amp;""' ""),
if('Time 2'!C6 = ""Kuro Shobi"", query(IMPORTRANGE(cd_planilha, ""Armas!B3:G""), ""Select Col1 Where Col2 = '""&amp;Personagem!"&amp;"$O$6&amp;""' or Col2 = '""&amp;Personagem!$O$7&amp;""'""),
if('Time 2'!C6 = ""Kurul"", query(IMPORTRANGE(cd_planilha, ""Armas!B3:G""), ""Select Col1 Where Col2 = '""&amp;Personagem!$P$6&amp;""' or Col2 = '""&amp;Personagem!$P$7&amp;""' ""),
if('Time 2'!C6 = ""Lancaster"", query(IMPO"&amp;"RTRANGE(cd_planilha, ""Armas!B3:G""), ""Select Col1 Where Col2 = '""&amp;Personagem!$Q$6&amp;""' or Col2 = '""&amp;Personagem!$Q$7&amp;""'""),
if('Time 2'!C6 = ""Lorelei"", query(IMPORTRANGE(cd_planilha, ""Armas!B3:G""), ""Select Col1 Where Col2 = '""&amp;Personagem!$R$6&amp;""'"&amp;" or Col2 = '""&amp;Personagem!$R$7&amp;""' ""),
if('Time 2'!C6 = ""Louca"", query(IMPORTRANGE(cd_planilha, ""Armas!B3:G""), ""Select Col1 Where Col2 = '""&amp;Personagem!$S$6&amp;""' or Col2 = '""&amp;Personagem!$S$7&amp;""' ""),
if('Time 2'!C6 = ""Melina"", query(IMPORTRANGE(cd"&amp;"_planilha, ""Armas!B3:G""), ""Select Col1 Where Col2 = '""&amp;Personagem!$T$6&amp;""' or Col2 = '""&amp;Personagem!$T$7&amp;""'""),
if('Time 2'!C6 = ""Mila"", query(IMPORTRANGE(cd_planilha, ""Armas!B3:G""), ""Select Col1 Where Col2 = '""&amp;Personagem!$U$6&amp;""' or Col2 = '"&amp;"""&amp;Personagem!$U$7&amp;""' ""),
if('Time 2'!C6 = ""Minh"", query(IMPORTRANGE(cd_planilha, ""Armas!B3:G""), ""Select Col1 Where Col2 = '""&amp;Personagem!$V$6&amp;""' or Col2 = '""&amp;Personagem!$V$7&amp;""' ""),
if('Time 2'!C6 = ""Mojian"", query(IMPORTRANGE(cd_planilha, """&amp;"Armas!B3:G""), ""Select Col1 Where Col2 = '""&amp;Personagem!$W$6&amp;""' or Col2 = '""&amp;Personagem!$W$7&amp;""'""),
if('Time 2'!C6 = ""Nya"", query(IMPORTRANGE(cd_planilha, ""Armas!B3:G""), ""Select Col1 Where Col2 = '""&amp;Personagem!$X$6&amp;""' or Col2 = '""&amp;Personagem!$"&amp;"X$7&amp;""' ""),
if('Time 2'!C6 = ""Odette"", query(IMPORTRANGE(cd_planilha, ""Armas!B3:G""), ""Select Col1 Where Col2 = '""&amp;Personagem!$Y$6&amp;""' or Col2 = '""&amp;Personagem!$Y$7&amp;""'""),
if('Time 2'!C6 = ""Oneira"", query(IMPORTRANGE(cd_planilha, ""Armas!B3:G""),"&amp;" ""Select Col1 Where Col2 = '""&amp;Personagem!$Z$6&amp;""' or Col2 = '""&amp;Personagem!$Z$7&amp;""' ""),
if('Time 2'!C6 = ""Palash"", query(IMPORTRANGE(cd_planilha, ""Armas!B3:G""), ""Select Col1 Where Col2 = '""&amp;Personagem!$AA$6&amp;""' or Col2 = '""&amp;Personagem!$AA$7&amp;""'"&amp;"""),
if('Time 2'!C6 = ""Theor"", query(IMPORTRANGE(cd_planilha, ""Armas!B3:G""), ""Select Col1 Where Col2 = '""&amp;Personagem!$AB$6&amp;""' or Col2 = '""&amp;Personagem!$AB$7&amp;""' ""),
if('Time 2'!C6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T1" s="241"/>
      <c r="U1" s="241" t="str">
        <f>IFERROR(__xludf.DUMMYFUNCTION("if('Time 2'!C7 = ""Albert"", query(IMPORTRANGE(cd_planilha, ""Armas!B3:G""), ""Select Col1 Where Col2 = '""&amp;Personagem!$B$6&amp;""' or Col2 = '""&amp;Personagem!$B$7&amp;""'""),     
if('Time 2'!C7 = ""Alicia"", query(IMPORTRANGE(cd_planilha, ""Armas!B3:G""), ""Selec"&amp;"t Col1 Where Col2 = '""&amp;Personagem!$C$6&amp;""' or Col2 = '""&amp;Personagem!$C$7&amp;""'""),
if('Time 2'!C7 = ""Azula"", query(IMPORTRANGE(cd_planilha, ""Armas!B3:G""), ""Select Col1 Where Col2 = '""&amp;Personagem!$D$6&amp;""' or Col2 = '""&amp;Personagem!$D$7&amp;""' ""),
if('Tim"&amp;"e 2'!C7 = ""Charles"", query(IMPORTRANGE(cd_planilha, ""Armas!B3:G""), ""Select Col1 Where Col2 = '""&amp;Personagem!$E$6&amp;""' or Col2 = '""&amp;Personagem!$E$7&amp;""'""),
if('Time 2'!C7 = ""Clovis"", query(IMPORTRANGE(cd_planilha, ""Armas!B3:G""), ""Select Col1 Wher"&amp;"e Col2 = '""&amp;Personagem!$F$6&amp;""' or Col2 = '""&amp;Personagem!$F$7&amp;""' ""),
if('Time 2'!C7 = ""Darthos"", query(IMPORTRANGE(cd_planilha, ""Armas!B3:G""), ""Select Col1 Where Col2 = '""&amp;Personagem!$G$6&amp;""' or Col2 = '""&amp;Personagem!$G$7&amp;""'""),
if('Time 2'!C7 ="&amp;" ""Edward"", query(IMPORTRANGE(cd_planilha, ""Armas!B3:G""), ""Select Col1 Where Col2 = '""&amp;Personagem!$H$6&amp;""' or Col2 = '""&amp;Personagem!$H$7&amp;""' ""),
if('Time 2'!C7 = ""Fiora"", query(IMPORTRANGE(cd_planilha, ""Armas!B3:G""), ""Select Col1 Where Col2 = '"&amp;"""&amp;Personagem!$I$6&amp;""' or Col2 = '""&amp;Personagem!$I$7&amp;""' ""),
if('Time 2'!C7 = ""Francesca"", query(IMPORTRANGE(cd_planilha, ""Armas!B3:G""), ""Select Col1 Where Col2 = '""&amp;Personagem!$J$6&amp;""' or Col2 = '""&amp;Personagem!$J$7&amp;""'""),
if('Time 2'!C7 = ""Garre"&amp;"th"", query(IMPORTRANGE(cd_planilha, ""Armas!B3:G""), ""Select Col1 Where Col2 = '""&amp;Personagem!$K$6&amp;""' or Col2 = '""&amp;Personagem!$K$7&amp;""'""),
if('Time 2'!C7 = ""Gauvin"", query(IMPORTRANGE(cd_planilha, ""Armas!B3:G""), ""Select Col1 Where Col2 = '""&amp;Pers"&amp;"onagem!$L$6&amp;""' or Col2 = '""&amp;Personagem!$L$7&amp;""' ""),
if('Time 2'!C7 = ""Irene"", query(IMPORTRANGE(cd_planilha, ""Armas!B3:G""), ""Select Col1 Where Col2 = '""&amp;Personagem!$M$6&amp;""' or Col2 = '""&amp;Personagem!$M$7&amp;""' ""),
if('Time 2'!C7 = ""Karal"", query("&amp;"IMPORTRANGE(cd_planilha, ""Armas!B3:G""), ""Select Col1 Where Col2 = '""&amp;Personagem!$N$6&amp;""' or Col2 = '""&amp;Personagem!$N$7&amp;""' ""),
if('Time 2'!C7 = ""Kuro Shobi"", query(IMPORTRANGE(cd_planilha, ""Armas!B3:G""), ""Select Col1 Where Col2 = '""&amp;Personagem!"&amp;"$O$6&amp;""' or Col2 = '""&amp;Personagem!$O$7&amp;""'""),
if('Time 2'!C7 = ""Kurul"", query(IMPORTRANGE(cd_planilha, ""Armas!B3:G""), ""Select Col1 Where Col2 = '""&amp;Personagem!$P$6&amp;""' or Col2 = '""&amp;Personagem!$P$7&amp;""' ""),
if('Time 2'!C7 = ""Lancaster"", query(IMPO"&amp;"RTRANGE(cd_planilha, ""Armas!B3:G""), ""Select Col1 Where Col2 = '""&amp;Personagem!$Q$6&amp;""' or Col2 = '""&amp;Personagem!$Q$7&amp;""'""),
if('Time 2'!C7 = ""Lorelei"", query(IMPORTRANGE(cd_planilha, ""Armas!B3:G""), ""Select Col1 Where Col2 = '""&amp;Personagem!$R$6&amp;""'"&amp;" or Col2 = '""&amp;Personagem!$R$7&amp;""' ""),
if('Time 2'!C7 = ""Louca"", query(IMPORTRANGE(cd_planilha, ""Armas!B3:G""), ""Select Col1 Where Col2 = '""&amp;Personagem!$S$6&amp;""' or Col2 = '""&amp;Personagem!$S$7&amp;""' ""),
if('Time 2'!C7 = ""Melina"", query(IMPORTRANGE(cd"&amp;"_planilha, ""Armas!B3:G""), ""Select Col1 Where Col2 = '""&amp;Personagem!$T$6&amp;""' or Col2 = '""&amp;Personagem!$T$7&amp;""'""),
if('Time 2'!C7 = ""Mila"", query(IMPORTRANGE(cd_planilha, ""Armas!B3:G""), ""Select Col1 Where Col2 = '""&amp;Personagem!$U$6&amp;""' or Col2 = '"&amp;"""&amp;Personagem!$U$7&amp;""' ""),
if('Time 2'!C7 = ""Minh"", query(IMPORTRANGE(cd_planilha, ""Armas!B3:G""), ""Select Col1 Where Col2 = '""&amp;Personagem!$V$6&amp;""' or Col2 = '""&amp;Personagem!$V$7&amp;""' ""),
if('Time 2'!C7 = ""Mojian"", query(IMPORTRANGE(cd_planilha, """&amp;"Armas!B3:G""), ""Select Col1 Where Col2 = '""&amp;Personagem!$W$6&amp;""' or Col2 = '""&amp;Personagem!$W$7&amp;""'""),
if('Time 2'!C7 = ""Nya"", query(IMPORTRANGE(cd_planilha, ""Armas!B3:G""), ""Select Col1 Where Col2 = '""&amp;Personagem!$X$6&amp;""' or Col2 = '""&amp;Personagem!$"&amp;"X$7&amp;""' ""),
if('Time 2'!C7 = ""Odette"", query(IMPORTRANGE(cd_planilha, ""Armas!B3:G""), ""Select Col1 Where Col2 = '""&amp;Personagem!$Y$6&amp;""' or Col2 = '""&amp;Personagem!$Y$7&amp;""'""),
if('Time 2'!C7 = ""Oneira"", query(IMPORTRANGE(cd_planilha, ""Armas!B3:G""),"&amp;" ""Select Col1 Where Col2 = '""&amp;Personagem!$Z$6&amp;""' or Col2 = '""&amp;Personagem!$Z$7&amp;""' ""),
if('Time 2'!C7 = ""Palash"", query(IMPORTRANGE(cd_planilha, ""Armas!B3:G""), ""Select Col1 Where Col2 = '""&amp;Personagem!$AA$6&amp;""' or Col2 = '""&amp;Personagem!$AA$7&amp;""'"&amp;"""),
if('Time 2'!C7 = ""Theor"", query(IMPORTRANGE(cd_planilha, ""Armas!B3:G""), ""Select Col1 Where Col2 = '""&amp;Personagem!$AB$6&amp;""' or Col2 = '""&amp;Personagem!$AB$7&amp;""' ""),
if('Time 2'!C7 = ""Yue"", query(IMPORTRANGE(cd_planilha, ""Armas!B3:G""), ""Select"&amp;" Col1 Where Col2 = '""&amp;Personagem!$AC$6&amp;""' or Col2 = '""&amp;Personagem!$AC$7&amp;""'""
)))))))))))))))))))))))))))))"),"Armadura Lunar")</f>
        <v>Armadura Lunar</v>
      </c>
      <c r="V1" s="241"/>
      <c r="W1" s="241" t="str">
        <f>IFERROR(__xludf.DUMMYFUNCTION("if('Time 2'!C8 = ""Albert"", query(IMPORTRANGE(cd_planilha, ""Armas!B3:G""), ""Select Col1 Where Col2 = '""&amp;Personagem!$B$6&amp;""' or Col2 = '""&amp;Personagem!$B$7&amp;""'""),     
if('Time 2'!C8 = ""Alicia"", query(IMPORTRANGE(cd_planilha, ""Armas!B3:G""), ""Selec"&amp;"t Col1 Where Col2 = '""&amp;Personagem!$C$6&amp;""' or Col2 = '""&amp;Personagem!$C$7&amp;""'""),
if('Time 2'!C8 = ""Azula"", query(IMPORTRANGE(cd_planilha, ""Armas!B3:G""), ""Select Col1 Where Col2 = '""&amp;Personagem!$D$6&amp;""' or Col2 = '""&amp;Personagem!$D$7&amp;""' ""),
if('Tim"&amp;"e 2'!C8 = ""Charles"", query(IMPORTRANGE(cd_planilha, ""Armas!B3:G""), ""Select Col1 Where Col2 = '""&amp;Personagem!$E$6&amp;""' or Col2 = '""&amp;Personagem!$E$7&amp;""'""),
if('Time 2'!C8 = ""Clovis"", query(IMPORTRANGE(cd_planilha, ""Armas!B3:G""), ""Select Col1 Wher"&amp;"e Col2 = '""&amp;Personagem!$F$6&amp;""' or Col2 = '""&amp;Personagem!$F$7&amp;""' ""),
if('Time 2'!C8 = ""Darthos"", query(IMPORTRANGE(cd_planilha, ""Armas!B3:G""), ""Select Col1 Where Col2 = '""&amp;Personagem!$G$6&amp;""' or Col2 = '""&amp;Personagem!$G$7&amp;""'""),
if('Time 2'!C8 ="&amp;" ""Edward"", query(IMPORTRANGE(cd_planilha, ""Armas!B3:G""), ""Select Col1 Where Col2 = '""&amp;Personagem!$H$6&amp;""' or Col2 = '""&amp;Personagem!$H$7&amp;""' ""),
if('Time 2'!C8 = ""Fiora"", query(IMPORTRANGE(cd_planilha, ""Armas!B3:G""), ""Select Col1 Where Col2 = '"&amp;"""&amp;Personagem!$I$6&amp;""' or Col2 = '""&amp;Personagem!$I$7&amp;""' ""),
if('Time 2'!C8 = ""Francesca"", query(IMPORTRANGE(cd_planilha, ""Armas!B3:G""), ""Select Col1 Where Col2 = '""&amp;Personagem!$J$6&amp;""' or Col2 = '""&amp;Personagem!$J$7&amp;""'""),
if('Time 2'!C8 = ""Garre"&amp;"th"", query(IMPORTRANGE(cd_planilha, ""Armas!B3:G""), ""Select Col1 Where Col2 = '""&amp;Personagem!$K$6&amp;""' or Col2 = '""&amp;Personagem!$K$7&amp;""'""),
if('Time 2'!C8 = ""Gauvin"", query(IMPORTRANGE(cd_planilha, ""Armas!B3:G""), ""Select Col1 Where Col2 = '""&amp;Pers"&amp;"onagem!$L$6&amp;""' or Col2 = '""&amp;Personagem!$L$7&amp;""' ""),
if('Time 2'!C8 = ""Irene"", query(IMPORTRANGE(cd_planilha, ""Armas!B3:G""), ""Select Col1 Where Col2 = '""&amp;Personagem!$M$6&amp;""' or Col2 = '""&amp;Personagem!$M$7&amp;""' ""),
if('Time 2'!C8 = ""Karal"", query("&amp;"IMPORTRANGE(cd_planilha, ""Armas!B3:G""), ""Select Col1 Where Col2 = '""&amp;Personagem!$N$6&amp;""' or Col2 = '""&amp;Personagem!$N$7&amp;""' ""),
if('Time 2'!C8 = ""Kuro Shobi"", query(IMPORTRANGE(cd_planilha, ""Armas!B3:G""), ""Select Col1 Where Col2 = '""&amp;Personagem!"&amp;"$O$6&amp;""' or Col2 = '""&amp;Personagem!$O$7&amp;""'""),
if('Time 2'!C8 = ""Kurul"", query(IMPORTRANGE(cd_planilha, ""Armas!B3:G""), ""Select Col1 Where Col2 = '""&amp;Personagem!$P$6&amp;""' or Col2 = '""&amp;Personagem!$P$7&amp;""' ""),
if('Time 2'!C8 = ""Lancaster"", query(IMPO"&amp;"RTRANGE(cd_planilha, ""Armas!B3:G""), ""Select Col1 Where Col2 = '""&amp;Personagem!$Q$6&amp;""' or Col2 = '""&amp;Personagem!$Q$7&amp;""'""),
if('Time 2'!C8 = ""Lorelei"", query(IMPORTRANGE(cd_planilha, ""Armas!B3:G""), ""Select Col1 Where Col2 = '""&amp;Personagem!$R$6&amp;""'"&amp;" or Col2 = '""&amp;Personagem!$R$7&amp;""' ""),
if('Time 2'!C8 = ""Louca"", query(IMPORTRANGE(cd_planilha, ""Armas!B3:G""), ""Select Col1 Where Col2 = '""&amp;Personagem!$S$6&amp;""' or Col2 = '""&amp;Personagem!$S$7&amp;""' ""),
if('Time 2'!C8 = ""Melina"", query(IMPORTRANGE(cd"&amp;"_planilha, ""Armas!B3:G""), ""Select Col1 Where Col2 = '""&amp;Personagem!$T$6&amp;""' or Col2 = '""&amp;Personagem!$T$7&amp;""'""),
if('Time 2'!C8 = ""Mila"", query(IMPORTRANGE(cd_planilha, ""Armas!B3:G""), ""Select Col1 Where Col2 = '""&amp;Personagem!$U$6&amp;""' or Col2 = '"&amp;"""&amp;Personagem!$U$7&amp;""' ""),
if('Time 2'!C8 = ""Minh"", query(IMPORTRANGE(cd_planilha, ""Armas!B3:G""), ""Select Col1 Where Col2 = '""&amp;Personagem!$V$6&amp;""' or Col2 = '""&amp;Personagem!$V$7&amp;""' ""),
if('Time 2'!C8 = ""Mojian"", query(IMPORTRANGE(cd_planilha, """&amp;"Armas!B3:G""), ""Select Col1 Where Col2 = '""&amp;Personagem!$W$6&amp;""' or Col2 = '""&amp;Personagem!$W$7&amp;""'""),
if('Time 2'!C8 = ""Nya"", query(IMPORTRANGE(cd_planilha, ""Armas!B3:G""), ""Select Col1 Where Col2 = '""&amp;Personagem!$X$6&amp;""' or Col2 = '""&amp;Personagem!$"&amp;"X$7&amp;""' ""),
if('Time 2'!C8 = ""Odette"", query(IMPORTRANGE(cd_planilha, ""Armas!B3:G""), ""Select Col1 Where Col2 = '""&amp;Personagem!$Y$6&amp;""' or Col2 = '""&amp;Personagem!$Y$7&amp;""'""),
if('Time 2'!C8 = ""Oneira"", query(IMPORTRANGE(cd_planilha, ""Armas!B3:G""),"&amp;" ""Select Col1 Where Col2 = '""&amp;Personagem!$Z$6&amp;""' or Col2 = '""&amp;Personagem!$Z$7&amp;""' ""),
if('Time 2'!C8 = ""Palash"", query(IMPORTRANGE(cd_planilha, ""Armas!B3:G""), ""Select Col1 Where Col2 = '""&amp;Personagem!$AA$6&amp;""' or Col2 = '""&amp;Personagem!$AA$7&amp;""'"&amp;"""),
if('Time 2'!C8 = ""Theor"", query(IMPORTRANGE(cd_planilha, ""Armas!B3:G""), ""Select Col1 Where Col2 = '""&amp;Personagem!$AB$6&amp;""' or Col2 = '""&amp;Personagem!$AB$7&amp;""' ""),
if('Time 2'!C8 = ""Yue"", query(IMPORTRANGE(cd_planilha, ""Armas!B3:G""), ""Select"&amp;" Col1 Where Col2 = '""&amp;Personagem!$AC$6&amp;""' or Col2 = '""&amp;Personagem!$AC$7&amp;""'""
)))))))))))))))))))))))))))))"),"Capa do Gelo")</f>
        <v>Capa do Gelo</v>
      </c>
      <c r="X1" s="242"/>
      <c r="Y1" s="241" t="str">
        <f>IFERROR(__xludf.DUMMYFUNCTION("if('Time 2'!C3 = ""Albert"", query(IMPORTRANGE(cd_planilha, ""Armas!B3:G""), ""Select Col1 Where Col2 = '""&amp;Personagem!$B$8&amp;""' or Col2 = '""&amp;Personagem!$B$9&amp;""'""),     
if('Time 2'!C3 = ""Alicia"", query(IMPORTRANGE(cd_planilha, ""Armas!B3:G""), ""Selec"&amp;"t Col1 Where Col2 = '""&amp;Personagem!$C$8&amp;""' or Col2 = '""&amp;Personagem!$C$9&amp;""'""),
if('Time 2'!C3 = ""Azula"", query(IMPORTRANGE(cd_planilha, ""Armas!B3:G""), ""Select Col1 Where Col2 = '""&amp;Personagem!$D$8&amp;""' or Col2 = '""&amp;Personagem!$D$9&amp;""' ""),
if('Tim"&amp;"e 2'!C3 = ""Charles"", query(IMPORTRANGE(cd_planilha, ""Armas!B3:G""), ""Select Col1 Where Col2 = '""&amp;Personagem!$E$8&amp;""' or Col2 = '""&amp;Personagem!$E$9&amp;""'""),
if('Time 2'!C3 = ""Clovis"", query(IMPORTRANGE(cd_planilha, ""Armas!B3:G""), ""Select Col1 Wher"&amp;"e Col2 = '""&amp;Personagem!$F$8&amp;""' or Col2 = '""&amp;Personagem!$F$9&amp;""' ""),
if('Time 2'!C3 = ""Darthos"", query(IMPORTRANGE(cd_planilha, ""Armas!B3:G""), ""Select Col1 Where Col2 = '""&amp;Personagem!$G$8&amp;""' or Col2 = '""&amp;Personagem!$G$9&amp;""'""),
if('Time 2'!C3 ="&amp;" ""Edward"", query(IMPORTRANGE(cd_planilha, ""Armas!B3:G""), ""Select Col1 Where Col2 = '""&amp;Personagem!$H$8&amp;""' or Col2 = '""&amp;Personagem!$H$9&amp;""' ""),
if('Time 2'!C3 = ""Fiora"", query(IMPORTRANGE(cd_planilha, ""Armas!B3:G""), ""Select Col1 Where Col2 = '"&amp;"""&amp;Personagem!$I$8&amp;""' or Col2 = '""&amp;Personagem!$I$9&amp;""' ""),
if('Time 2'!C3 = ""Francesca"", query(IMPORTRANGE(cd_planilha, ""Armas!B3:G""), ""Select Col1 Where Col2 = '""&amp;Personagem!$J$8&amp;""' or Col2 = '""&amp;Personagem!$J$9&amp;""'""),
if('Time 2'!C3 = ""Garre"&amp;"th"", query(IMPORTRANGE(cd_planilha, ""Armas!B3:G""), ""Select Col1 Where Col2 = '""&amp;Personagem!$K$8&amp;""' or Col2 = '""&amp;Personagem!$K$9&amp;""'""),
if('Time 2'!C3 = ""Gauvin"", query(IMPORTRANGE(cd_planilha, ""Armas!B3:G""), ""Select Col1 Where Col2 = '""&amp;Pers"&amp;"onagem!$L$8&amp;""' or Col2 = '""&amp;Personagem!$L$9&amp;""' ""),
if('Time 2'!C3 = ""Irene"", query(IMPORTRANGE(cd_planilha, ""Armas!B3:G""), ""Select Col1 Where Col2 = '""&amp;Personagem!$M$8&amp;""' or Col2 = '""&amp;Personagem!$M$9&amp;""' ""),
if('Time 2'!C3 = ""Karal"", query("&amp;"IMPORTRANGE(cd_planilha, ""Armas!B3:G""), ""Select Col1 Where Col2 = '""&amp;Personagem!$N$8&amp;""' or Col2 = '""&amp;Personagem!$N$9&amp;""' ""),
if('Time 2'!C3 = ""Kuro Shobi"", query(IMPORTRANGE(cd_planilha, ""Armas!B3:G""), ""Select Col1 Where Col2 = '""&amp;Personagem!"&amp;"$O$8&amp;""' or Col2 = '""&amp;Personagem!$O$9&amp;""'""),
if('Time 2'!C3 = ""Kurul"", query(IMPORTRANGE(cd_planilha, ""Armas!B3:G""), ""Select Col1 Where Col2 = '""&amp;Personagem!$P$8&amp;""' or Col2 = '""&amp;Personagem!$P$9&amp;""' ""),
if('Time 2'!C3 = ""Lancaster"", query(IMPO"&amp;"RTRANGE(cd_planilha, ""Armas!B3:G""), ""Select Col1 Where Col2 = '""&amp;Personagem!$Q$8&amp;""' or Col2 = '""&amp;Personagem!$Q$9&amp;""'""),
if('Time 2'!C3 = ""Lorelei"", query(IMPORTRANGE(cd_planilha, ""Armas!B3:G""), ""Select Col1 Where Col2 = '""&amp;Personagem!$R$8&amp;""'"&amp;" or Col2 = '""&amp;Personagem!$R$9&amp;""' ""),
if('Time 2'!C3 = ""Louca"", query(IMPORTRANGE(cd_planilha, ""Armas!B3:G""), ""Select Col1 Where Col2 = '""&amp;Personagem!$S$8&amp;""' or Col2 = '""&amp;Personagem!$S$9&amp;""' ""),
if('Time 2'!C3 = ""Melina"", query(IMPORTRANGE(cd"&amp;"_planilha, ""Armas!B3:G""), ""Select Col1 Where Col2 = '""&amp;Personagem!$T$8&amp;""' or Col2 = '""&amp;Personagem!$T$9&amp;""'""),
if('Time 2'!C3 = ""Mila"", query(IMPORTRANGE(cd_planilha, ""Armas!B3:G""), ""Select Col1 Where Col2 = '""&amp;Personagem!$U$8&amp;""' or Col2 = '"&amp;"""&amp;Personagem!$U$9&amp;""' ""),
if('Time 2'!C3 = ""Minh"", query(IMPORTRANGE(cd_planilha, ""Armas!B3:G""), ""Select Col1 Where Col2 = '""&amp;Personagem!$V$8&amp;""' or Col2 = '""&amp;Personagem!$V$9&amp;""' ""),
if('Time 2'!C3 = ""Mojian"", query(IMPORTRANGE(cd_planilha, """&amp;"Armas!B3:G""), ""Select Col1 Where Col2 = '""&amp;Personagem!$W$8&amp;""' or Col2 = '""&amp;Personagem!$W$9&amp;""'""),
if('Time 2'!C3 = ""Nya"", query(IMPORTRANGE(cd_planilha, ""Armas!B3:G""), ""Select Col1 Where Col2 = '""&amp;Personagem!$X$8&amp;""' or Col2 = '""&amp;Personagem!$"&amp;"X$9&amp;""' ""),
if('Time 2'!C3 = ""Odette"", query(IMPORTRANGE(cd_planilha, ""Armas!B3:G""), ""Select Col1 Where Col2 = '""&amp;Personagem!$Y$8&amp;""' or Col2 = '""&amp;Personagem!$Y$9&amp;""'""),
if('Time 2'!C3 = ""Oneira"", query(IMPORTRANGE(cd_planilha, ""Armas!B3:G""),"&amp;" ""Select Col1 Where Col2 = '""&amp;Personagem!$Z$8&amp;""' or Col2 = '""&amp;Personagem!$Z$9&amp;""' ""),
if('Time 2'!C3 = ""Palash"", query(IMPORTRANGE(cd_planilha, ""Armas!B3:G""), ""Select Col1 Where Col2 = '""&amp;Personagem!$AA$8&amp;""' or Col2 = '""&amp;Personagem!$AA$9&amp;""'"&amp;"""),
if('Time 2'!C3 = ""Theor"", query(IMPORTRANGE(cd_planilha, ""Armas!B3:G""), ""Select Col1 Where Col2 = '""&amp;Personagem!$AB$8&amp;""' or Col2 = '""&amp;Personagem!$AB$9&amp;""' ""),
if('Time 2'!C3 = ""Yue"", query(IMPORTRANGE(cd_planilha, ""Armas!B3:G""), ""Select"&amp;" Col1 Where Col2 = '""&amp;Personagem!$AC$8&amp;""' or Col2 = '""&amp;Personagem!$AC$9&amp;""'""
)))))))))))))))))))))))))))))"),"Capuz de Robin")</f>
        <v>Capuz de Robin</v>
      </c>
      <c r="Z1" s="241"/>
      <c r="AA1" s="241" t="str">
        <f>IFERROR(__xludf.DUMMYFUNCTION("if('Time 2'!C4 = ""Albert"", query(IMPORTRANGE(cd_planilha, ""Armas!B3:G""), ""Select Col1 Where Col2 = '""&amp;Personagem!$B$8&amp;""' or Col2 = '""&amp;Personagem!$B$9&amp;""'""),     
if('Time 2'!C4 = ""Alicia"", query(IMPORTRANGE(cd_planilha, ""Armas!B3:G""), ""Selec"&amp;"t Col1 Where Col2 = '""&amp;Personagem!$C$8&amp;""' or Col2 = '""&amp;Personagem!$C$9&amp;""'""),
if('Time 2'!C4 = ""Azula"", query(IMPORTRANGE(cd_planilha, ""Armas!B3:G""), ""Select Col1 Where Col2 = '""&amp;Personagem!$D$8&amp;""' or Col2 = '""&amp;Personagem!$D$9&amp;""' ""),
if('Tim"&amp;"e 2'!C4 = ""Charles"", query(IMPORTRANGE(cd_planilha, ""Armas!B3:G""), ""Select Col1 Where Col2 = '""&amp;Personagem!$E$8&amp;""' or Col2 = '""&amp;Personagem!$E$9&amp;""'""),
if('Time 2'!C4 = ""Clovis"", query(IMPORTRANGE(cd_planilha, ""Armas!B3:G""), ""Select Col1 Wher"&amp;"e Col2 = '""&amp;Personagem!$F$8&amp;""' or Col2 = '""&amp;Personagem!$F$9&amp;""' ""),
if('Time 2'!C4 = ""Darthos"", query(IMPORTRANGE(cd_planilha, ""Armas!B3:G""), ""Select Col1 Where Col2 = '""&amp;Personagem!$G$8&amp;""' or Col2 = '""&amp;Personagem!$G$9&amp;""'""),
if('Time 2'!C4 ="&amp;" ""Edward"", query(IMPORTRANGE(cd_planilha, ""Armas!B3:G""), ""Select Col1 Where Col2 = '""&amp;Personagem!$H$8&amp;""' or Col2 = '""&amp;Personagem!$H$9&amp;""' ""),
if('Time 2'!C4 = ""Fiora"", query(IMPORTRANGE(cd_planilha, ""Armas!B3:G""), ""Select Col1 Where Col2 = '"&amp;"""&amp;Personagem!$I$8&amp;""' or Col2 = '""&amp;Personagem!$I$9&amp;""' ""),
if('Time 2'!C4 = ""Francesca"", query(IMPORTRANGE(cd_planilha, ""Armas!B3:G""), ""Select Col1 Where Col2 = '""&amp;Personagem!$J$8&amp;""' or Col2 = '""&amp;Personagem!$J$9&amp;""'""),
if('Time 2'!C4 = ""Garre"&amp;"th"", query(IMPORTRANGE(cd_planilha, ""Armas!B3:G""), ""Select Col1 Where Col2 = '""&amp;Personagem!$K$8&amp;""' or Col2 = '""&amp;Personagem!$K$9&amp;""'""),
if('Time 2'!C4 = ""Gauvin"", query(IMPORTRANGE(cd_planilha, ""Armas!B3:G""), ""Select Col1 Where Col2 = '""&amp;Pers"&amp;"onagem!$L$8&amp;""' or Col2 = '""&amp;Personagem!$L$9&amp;""' ""),
if('Time 2'!C4 = ""Irene"", query(IMPORTRANGE(cd_planilha, ""Armas!B3:G""), ""Select Col1 Where Col2 = '""&amp;Personagem!$M$8&amp;""' or Col2 = '""&amp;Personagem!$M$9&amp;""' ""),
if('Time 2'!C4 = ""Karal"", query("&amp;"IMPORTRANGE(cd_planilha, ""Armas!B3:G""), ""Select Col1 Where Col2 = '""&amp;Personagem!$N$8&amp;""' or Col2 = '""&amp;Personagem!$N$9&amp;""' ""),
if('Time 2'!C4 = ""Kuro Shobi"", query(IMPORTRANGE(cd_planilha, ""Armas!B3:G""), ""Select Col1 Where Col2 = '""&amp;Personagem!"&amp;"$O$8&amp;""' or Col2 = '""&amp;Personagem!$O$9&amp;""'""),
if('Time 2'!C4 = ""Kurul"", query(IMPORTRANGE(cd_planilha, ""Armas!B3:G""), ""Select Col1 Where Col2 = '""&amp;Personagem!$P$8&amp;""' or Col2 = '""&amp;Personagem!$P$9&amp;""' ""),
if('Time 2'!C4 = ""Lancaster"", query(IMPO"&amp;"RTRANGE(cd_planilha, ""Armas!B3:G""), ""Select Col1 Where Col2 = '""&amp;Personagem!$Q$8&amp;""' or Col2 = '""&amp;Personagem!$Q$9&amp;""'""),
if('Time 2'!C4 = ""Lorelei"", query(IMPORTRANGE(cd_planilha, ""Armas!B3:G""), ""Select Col1 Where Col2 = '""&amp;Personagem!$R$8&amp;""'"&amp;" or Col2 = '""&amp;Personagem!$R$9&amp;""' ""),
if('Time 2'!C4 = ""Louca"", query(IMPORTRANGE(cd_planilha, ""Armas!B3:G""), ""Select Col1 Where Col2 = '""&amp;Personagem!$S$8&amp;""' or Col2 = '""&amp;Personagem!$S$9&amp;""' ""),
if('Time 2'!C4 = ""Melina"", query(IMPORTRANGE(cd"&amp;"_planilha, ""Armas!B3:G""), ""Select Col1 Where Col2 = '""&amp;Personagem!$T$8&amp;""' or Col2 = '""&amp;Personagem!$T$9&amp;""'""),
if('Time 2'!C4 = ""Mila"", query(IMPORTRANGE(cd_planilha, ""Armas!B3:G""), ""Select Col1 Where Col2 = '""&amp;Personagem!$U$8&amp;""' or Col2 = '"&amp;"""&amp;Personagem!$U$9&amp;""' ""),
if('Time 2'!C4 = ""Minh"", query(IMPORTRANGE(cd_planilha, ""Armas!B3:G""), ""Select Col1 Where Col2 = '""&amp;Personagem!$V$8&amp;""' or Col2 = '""&amp;Personagem!$V$9&amp;""' ""),
if('Time 2'!C4 = ""Mojian"", query(IMPORTRANGE(cd_planilha, """&amp;"Armas!B3:G""), ""Select Col1 Where Col2 = '""&amp;Personagem!$W$8&amp;""' or Col2 = '""&amp;Personagem!$W$9&amp;""'""),
if('Time 2'!C4 = ""Nya"", query(IMPORTRANGE(cd_planilha, ""Armas!B3:G""), ""Select Col1 Where Col2 = '""&amp;Personagem!$X$8&amp;""' or Col2 = '""&amp;Personagem!$"&amp;"X$9&amp;""' ""),
if('Time 2'!C4 = ""Odette"", query(IMPORTRANGE(cd_planilha, ""Armas!B3:G""), ""Select Col1 Where Col2 = '""&amp;Personagem!$Y$8&amp;""' or Col2 = '""&amp;Personagem!$Y$9&amp;""'""),
if('Time 2'!C4 = ""Oneira"", query(IMPORTRANGE(cd_planilha, ""Armas!B3:G""),"&amp;" ""Select Col1 Where Col2 = '""&amp;Personagem!$Z$8&amp;""' or Col2 = '""&amp;Personagem!$Z$9&amp;""' ""),
if('Time 2'!C4 = ""Palash"", query(IMPORTRANGE(cd_planilha, ""Armas!B3:G""), ""Select Col1 Where Col2 = '""&amp;Personagem!$AA$8&amp;""' or Col2 = '""&amp;Personagem!$AA$9&amp;""'"&amp;"""),
if('Time 2'!C4 = ""Theor"", query(IMPORTRANGE(cd_planilha, ""Armas!B3:G""), ""Select Col1 Where Col2 = '""&amp;Personagem!$AB$8&amp;""' or Col2 = '""&amp;Personagem!$AB$9&amp;""' ""),
if('Time 2'!C4 = ""Yue"", query(IMPORTRANGE(cd_planilha, ""Armas!B3:G""), ""Select"&amp;" Col1 Where Col2 = '""&amp;Personagem!$AC$8&amp;""' or Col2 = '""&amp;Personagem!$AC$9&amp;""'""
)))))))))))))))))))))))))))))"),"Coifa da Lua")</f>
        <v>Coifa da Lua</v>
      </c>
      <c r="AB1" s="241"/>
      <c r="AC1" s="241" t="str">
        <f>IFERROR(__xludf.DUMMYFUNCTION("if('Time 2'!C5 = ""Albert"", query(IMPORTRANGE(cd_planilha, ""Armas!B3:G""), ""Select Col1 Where Col2 = '""&amp;Personagem!$B$8&amp;""' or Col2 = '""&amp;Personagem!$B$9&amp;""'""),     
if('Time 2'!C5 = ""Alicia"", query(IMPORTRANGE(cd_planilha, ""Armas!B3:G""), ""Selec"&amp;"t Col1 Where Col2 = '""&amp;Personagem!$C$8&amp;""' or Col2 = '""&amp;Personagem!$C$9&amp;""'""),
if('Time 2'!C5 = ""Azula"", query(IMPORTRANGE(cd_planilha, ""Armas!B3:G""), ""Select Col1 Where Col2 = '""&amp;Personagem!$D$8&amp;""' or Col2 = '""&amp;Personagem!$D$9&amp;""' ""),
if('Tim"&amp;"e 2'!C5 = ""Charles"", query(IMPORTRANGE(cd_planilha, ""Armas!B3:G""), ""Select Col1 Where Col2 = '""&amp;Personagem!$E$8&amp;""' or Col2 = '""&amp;Personagem!$E$9&amp;""'""),
if('Time 2'!C5 = ""Clovis"", query(IMPORTRANGE(cd_planilha, ""Armas!B3:G""), ""Select Col1 Wher"&amp;"e Col2 = '""&amp;Personagem!$F$8&amp;""' or Col2 = '""&amp;Personagem!$F$9&amp;""' ""),
if('Time 2'!C5 = ""Darthos"", query(IMPORTRANGE(cd_planilha, ""Armas!B3:G""), ""Select Col1 Where Col2 = '""&amp;Personagem!$G$8&amp;""' or Col2 = '""&amp;Personagem!$G$9&amp;""'""),
if('Time 2'!C5 ="&amp;" ""Edward"", query(IMPORTRANGE(cd_planilha, ""Armas!B3:G""), ""Select Col1 Where Col2 = '""&amp;Personagem!$H$8&amp;""' or Col2 = '""&amp;Personagem!$H$9&amp;""' ""),
if('Time 2'!C5 = ""Fiora"", query(IMPORTRANGE(cd_planilha, ""Armas!B3:G""), ""Select Col1 Where Col2 = '"&amp;"""&amp;Personagem!$I$8&amp;""' or Col2 = '""&amp;Personagem!$I$9&amp;""' ""),
if('Time 2'!C5 = ""Francesca"", query(IMPORTRANGE(cd_planilha, ""Armas!B3:G""), ""Select Col1 Where Col2 = '""&amp;Personagem!$J$8&amp;""' or Col2 = '""&amp;Personagem!$J$9&amp;""'""),
if('Time 2'!C5 = ""Garre"&amp;"th"", query(IMPORTRANGE(cd_planilha, ""Armas!B3:G""), ""Select Col1 Where Col2 = '""&amp;Personagem!$K$8&amp;""' or Col2 = '""&amp;Personagem!$K$9&amp;""'""),
if('Time 2'!C5 = ""Gauvin"", query(IMPORTRANGE(cd_planilha, ""Armas!B3:G""), ""Select Col1 Where Col2 = '""&amp;Pers"&amp;"onagem!$L$8&amp;""' or Col2 = '""&amp;Personagem!$L$9&amp;""' ""),
if('Time 2'!C5 = ""Irene"", query(IMPORTRANGE(cd_planilha, ""Armas!B3:G""), ""Select Col1 Where Col2 = '""&amp;Personagem!$M$8&amp;""' or Col2 = '""&amp;Personagem!$M$9&amp;""' ""),
if('Time 2'!C5 = ""Karal"", query("&amp;"IMPORTRANGE(cd_planilha, ""Armas!B3:G""), ""Select Col1 Where Col2 = '""&amp;Personagem!$N$8&amp;""' or Col2 = '""&amp;Personagem!$N$9&amp;""' ""),
if('Time 2'!C5 = ""Kuro Shobi"", query(IMPORTRANGE(cd_planilha, ""Armas!B3:G""), ""Select Col1 Where Col2 = '""&amp;Personagem!"&amp;"$O$8&amp;""' or Col2 = '""&amp;Personagem!$O$9&amp;""'""),
if('Time 2'!C5 = ""Kurul"", query(IMPORTRANGE(cd_planilha, ""Armas!B3:G""), ""Select Col1 Where Col2 = '""&amp;Personagem!$P$8&amp;""' or Col2 = '""&amp;Personagem!$P$9&amp;""' ""),
if('Time 2'!C5 = ""Lancaster"", query(IMPO"&amp;"RTRANGE(cd_planilha, ""Armas!B3:G""), ""Select Col1 Where Col2 = '""&amp;Personagem!$Q$8&amp;""' or Col2 = '""&amp;Personagem!$Q$9&amp;""'""),
if('Time 2'!C5 = ""Lorelei"", query(IMPORTRANGE(cd_planilha, ""Armas!B3:G""), ""Select Col1 Where Col2 = '""&amp;Personagem!$R$8&amp;""'"&amp;" or Col2 = '""&amp;Personagem!$R$9&amp;""' ""),
if('Time 2'!C5 = ""Louca"", query(IMPORTRANGE(cd_planilha, ""Armas!B3:G""), ""Select Col1 Where Col2 = '""&amp;Personagem!$S$8&amp;""' or Col2 = '""&amp;Personagem!$S$9&amp;""' ""),
if('Time 2'!C5 = ""Melina"", query(IMPORTRANGE(cd"&amp;"_planilha, ""Armas!B3:G""), ""Select Col1 Where Col2 = '""&amp;Personagem!$T$8&amp;""' or Col2 = '""&amp;Personagem!$T$9&amp;""'""),
if('Time 2'!C5 = ""Mila"", query(IMPORTRANGE(cd_planilha, ""Armas!B3:G""), ""Select Col1 Where Col2 = '""&amp;Personagem!$U$8&amp;""' or Col2 = '"&amp;"""&amp;Personagem!$U$9&amp;""' ""),
if('Time 2'!C5 = ""Minh"", query(IMPORTRANGE(cd_planilha, ""Armas!B3:G""), ""Select Col1 Where Col2 = '""&amp;Personagem!$V$8&amp;""' or Col2 = '""&amp;Personagem!$V$9&amp;""' ""),
if('Time 2'!C5 = ""Mojian"", query(IMPORTRANGE(cd_planilha, """&amp;"Armas!B3:G""), ""Select Col1 Where Col2 = '""&amp;Personagem!$W$8&amp;""' or Col2 = '""&amp;Personagem!$W$9&amp;""'""),
if('Time 2'!C5 = ""Nya"", query(IMPORTRANGE(cd_planilha, ""Armas!B3:G""), ""Select Col1 Where Col2 = '""&amp;Personagem!$X$8&amp;""' or Col2 = '""&amp;Personagem!$"&amp;"X$9&amp;""' ""),
if('Time 2'!C5 = ""Odette"", query(IMPORTRANGE(cd_planilha, ""Armas!B3:G""), ""Select Col1 Where Col2 = '""&amp;Personagem!$Y$8&amp;""' or Col2 = '""&amp;Personagem!$Y$9&amp;""'""),
if('Time 2'!C5 = ""Oneira"", query(IMPORTRANGE(cd_planilha, ""Armas!B3:G""),"&amp;" ""Select Col1 Where Col2 = '""&amp;Personagem!$Z$8&amp;""' or Col2 = '""&amp;Personagem!$Z$9&amp;""' ""),
if('Time 2'!C5 = ""Palash"", query(IMPORTRANGE(cd_planilha, ""Armas!B3:G""), ""Select Col1 Where Col2 = '""&amp;Personagem!$AA$8&amp;""' or Col2 = '""&amp;Personagem!$AA$9&amp;""'"&amp;"""),
if('Time 2'!C5 = ""Theor"", query(IMPORTRANGE(cd_planilha, ""Armas!B3:G""), ""Select Col1 Where Col2 = '""&amp;Personagem!$AB$8&amp;""' or Col2 = '""&amp;Personagem!$AB$9&amp;""' ""),
if('Time 2'!C5 = ""Yue"", query(IMPORTRANGE(cd_planilha, ""Armas!B3:G""), ""Select"&amp;" Col1 Where Col2 = '""&amp;Personagem!$AC$8&amp;""' or Col2 = '""&amp;Personagem!$AC$9&amp;""'""
)))))))))))))))))))))))))))))"),"Coifa da Lua")</f>
        <v>Coifa da Lua</v>
      </c>
      <c r="AD1" s="241"/>
      <c r="AE1" s="241" t="str">
        <f>IFERROR(__xludf.DUMMYFUNCTION("if('Time 2'!C6 = ""Albert"", query(IMPORTRANGE(cd_planilha, ""Armas!B3:G""), ""Select Col1 Where Col2 = '""&amp;Personagem!$B$8&amp;""' or Col2 = '""&amp;Personagem!$B$9&amp;""'""),     
if('Time 2'!C6 = ""Alicia"", query(IMPORTRANGE(cd_planilha, ""Armas!B3:G""), ""Selec"&amp;"t Col1 Where Col2 = '""&amp;Personagem!$C$8&amp;""' or Col2 = '""&amp;Personagem!$C$9&amp;""'""),
if('Time 2'!C6 = ""Azula"", query(IMPORTRANGE(cd_planilha, ""Armas!B3:G""), ""Select Col1 Where Col2 = '""&amp;Personagem!$D$8&amp;""' or Col2 = '""&amp;Personagem!$D$9&amp;""' ""),
if('Tim"&amp;"e 2'!C6 = ""Charles"", query(IMPORTRANGE(cd_planilha, ""Armas!B3:G""), ""Select Col1 Where Col2 = '""&amp;Personagem!$E$8&amp;""' or Col2 = '""&amp;Personagem!$E$9&amp;""'""),
if('Time 2'!C6 = ""Clovis"", query(IMPORTRANGE(cd_planilha, ""Armas!B3:G""), ""Select Col1 Wher"&amp;"e Col2 = '""&amp;Personagem!$F$8&amp;""' or Col2 = '""&amp;Personagem!$F$9&amp;""' ""),
if('Time 2'!C6 = ""Darthos"", query(IMPORTRANGE(cd_planilha, ""Armas!B3:G""), ""Select Col1 Where Col2 = '""&amp;Personagem!$G$8&amp;""' or Col2 = '""&amp;Personagem!$G$9&amp;""'""),
if('Time 2'!C6 ="&amp;" ""Edward"", query(IMPORTRANGE(cd_planilha, ""Armas!B3:G""), ""Select Col1 Where Col2 = '""&amp;Personagem!$H$8&amp;""' or Col2 = '""&amp;Personagem!$H$9&amp;""' ""),
if('Time 2'!C6 = ""Fiora"", query(IMPORTRANGE(cd_planilha, ""Armas!B3:G""), ""Select Col1 Where Col2 = '"&amp;"""&amp;Personagem!$I$8&amp;""' or Col2 = '""&amp;Personagem!$I$9&amp;""' ""),
if('Time 2'!C6 = ""Francesca"", query(IMPORTRANGE(cd_planilha, ""Armas!B3:G""), ""Select Col1 Where Col2 = '""&amp;Personagem!$J$8&amp;""' or Col2 = '""&amp;Personagem!$J$9&amp;""'""),
if('Time 2'!C6 = ""Garre"&amp;"th"", query(IMPORTRANGE(cd_planilha, ""Armas!B3:G""), ""Select Col1 Where Col2 = '""&amp;Personagem!$K$8&amp;""' or Col2 = '""&amp;Personagem!$K$9&amp;""'""),
if('Time 2'!C6 = ""Gauvin"", query(IMPORTRANGE(cd_planilha, ""Armas!B3:G""), ""Select Col1 Where Col2 = '""&amp;Pers"&amp;"onagem!$L$8&amp;""' or Col2 = '""&amp;Personagem!$L$9&amp;""' ""),
if('Time 2'!C6 = ""Irene"", query(IMPORTRANGE(cd_planilha, ""Armas!B3:G""), ""Select Col1 Where Col2 = '""&amp;Personagem!$M$8&amp;""' or Col2 = '""&amp;Personagem!$M$9&amp;""' ""),
if('Time 2'!C6 = ""Karal"", query("&amp;"IMPORTRANGE(cd_planilha, ""Armas!B3:G""), ""Select Col1 Where Col2 = '""&amp;Personagem!$N$8&amp;""' or Col2 = '""&amp;Personagem!$N$9&amp;""' ""),
if('Time 2'!C6 = ""Kuro Shobi"", query(IMPORTRANGE(cd_planilha, ""Armas!B3:G""), ""Select Col1 Where Col2 = '""&amp;Personagem!"&amp;"$O$8&amp;""' or Col2 = '""&amp;Personagem!$O$9&amp;""'""),
if('Time 2'!C6 = ""Kurul"", query(IMPORTRANGE(cd_planilha, ""Armas!B3:G""), ""Select Col1 Where Col2 = '""&amp;Personagem!$P$8&amp;""' or Col2 = '""&amp;Personagem!$P$9&amp;""' ""),
if('Time 2'!C6 = ""Lancaster"", query(IMPO"&amp;"RTRANGE(cd_planilha, ""Armas!B3:G""), ""Select Col1 Where Col2 = '""&amp;Personagem!$Q$8&amp;""' or Col2 = '""&amp;Personagem!$Q$9&amp;""'""),
if('Time 2'!C6 = ""Lorelei"", query(IMPORTRANGE(cd_planilha, ""Armas!B3:G""), ""Select Col1 Where Col2 = '""&amp;Personagem!$R$8&amp;""'"&amp;" or Col2 = '""&amp;Personagem!$R$9&amp;""' ""),
if('Time 2'!C6 = ""Louca"", query(IMPORTRANGE(cd_planilha, ""Armas!B3:G""), ""Select Col1 Where Col2 = '""&amp;Personagem!$S$8&amp;""' or Col2 = '""&amp;Personagem!$S$9&amp;""' ""),
if('Time 2'!C6 = ""Melina"", query(IMPORTRANGE(cd"&amp;"_planilha, ""Armas!B3:G""), ""Select Col1 Where Col2 = '""&amp;Personagem!$T$8&amp;""' or Col2 = '""&amp;Personagem!$T$9&amp;""'""),
if('Time 2'!C6 = ""Mila"", query(IMPORTRANGE(cd_planilha, ""Armas!B3:G""), ""Select Col1 Where Col2 = '""&amp;Personagem!$U$8&amp;""' or Col2 = '"&amp;"""&amp;Personagem!$U$9&amp;""' ""),
if('Time 2'!C6 = ""Minh"", query(IMPORTRANGE(cd_planilha, ""Armas!B3:G""), ""Select Col1 Where Col2 = '""&amp;Personagem!$V$8&amp;""' or Col2 = '""&amp;Personagem!$V$9&amp;""' ""),
if('Time 2'!C6 = ""Mojian"", query(IMPORTRANGE(cd_planilha, """&amp;"Armas!B3:G""), ""Select Col1 Where Col2 = '""&amp;Personagem!$W$8&amp;""' or Col2 = '""&amp;Personagem!$W$9&amp;""'""),
if('Time 2'!C6 = ""Nya"", query(IMPORTRANGE(cd_planilha, ""Armas!B3:G""), ""Select Col1 Where Col2 = '""&amp;Personagem!$X$8&amp;""' or Col2 = '""&amp;Personagem!$"&amp;"X$9&amp;""' ""),
if('Time 2'!C6 = ""Odette"", query(IMPORTRANGE(cd_planilha, ""Armas!B3:G""), ""Select Col1 Where Col2 = '""&amp;Personagem!$Y$8&amp;""' or Col2 = '""&amp;Personagem!$Y$9&amp;""'""),
if('Time 2'!C6 = ""Oneira"", query(IMPORTRANGE(cd_planilha, ""Armas!B3:G""),"&amp;" ""Select Col1 Where Col2 = '""&amp;Personagem!$Z$8&amp;""' or Col2 = '""&amp;Personagem!$Z$9&amp;""' ""),
if('Time 2'!C6 = ""Palash"", query(IMPORTRANGE(cd_planilha, ""Armas!B3:G""), ""Select Col1 Where Col2 = '""&amp;Personagem!$AA$8&amp;""' or Col2 = '""&amp;Personagem!$AA$9&amp;""'"&amp;"""),
if('Time 2'!C6 = ""Theor"", query(IMPORTRANGE(cd_planilha, ""Armas!B3:G""), ""Select Col1 Where Col2 = '""&amp;Personagem!$AB$8&amp;""' or Col2 = '""&amp;Personagem!$AB$9&amp;""' ""),
if('Time 2'!C6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F1" s="241"/>
      <c r="AG1" s="241" t="str">
        <f>IFERROR(__xludf.DUMMYFUNCTION("if('Time 2'!C7 = ""Albert"", query(IMPORTRANGE(cd_planilha, ""Armas!B3:G""), ""Select Col1 Where Col2 = '""&amp;Personagem!$B$8&amp;""' or Col2 = '""&amp;Personagem!$B$9&amp;""'""),     
if('Time 2'!C7 = ""Alicia"", query(IMPORTRANGE(cd_planilha, ""Armas!B3:G""), ""Selec"&amp;"t Col1 Where Col2 = '""&amp;Personagem!$C$8&amp;""' or Col2 = '""&amp;Personagem!$C$9&amp;""'""),
if('Time 2'!C7 = ""Azula"", query(IMPORTRANGE(cd_planilha, ""Armas!B3:G""), ""Select Col1 Where Col2 = '""&amp;Personagem!$D$8&amp;""' or Col2 = '""&amp;Personagem!$D$9&amp;""' ""),
if('Tim"&amp;"e 2'!C7 = ""Charles"", query(IMPORTRANGE(cd_planilha, ""Armas!B3:G""), ""Select Col1 Where Col2 = '""&amp;Personagem!$E$8&amp;""' or Col2 = '""&amp;Personagem!$E$9&amp;""'""),
if('Time 2'!C7 = ""Clovis"", query(IMPORTRANGE(cd_planilha, ""Armas!B3:G""), ""Select Col1 Wher"&amp;"e Col2 = '""&amp;Personagem!$F$8&amp;""' or Col2 = '""&amp;Personagem!$F$9&amp;""' ""),
if('Time 2'!C7 = ""Darthos"", query(IMPORTRANGE(cd_planilha, ""Armas!B3:G""), ""Select Col1 Where Col2 = '""&amp;Personagem!$G$8&amp;""' or Col2 = '""&amp;Personagem!$G$9&amp;""'""),
if('Time 2'!C7 ="&amp;" ""Edward"", query(IMPORTRANGE(cd_planilha, ""Armas!B3:G""), ""Select Col1 Where Col2 = '""&amp;Personagem!$H$8&amp;""' or Col2 = '""&amp;Personagem!$H$9&amp;""' ""),
if('Time 2'!C7 = ""Fiora"", query(IMPORTRANGE(cd_planilha, ""Armas!B3:G""), ""Select Col1 Where Col2 = '"&amp;"""&amp;Personagem!$I$8&amp;""' or Col2 = '""&amp;Personagem!$I$9&amp;""' ""),
if('Time 2'!C7 = ""Francesca"", query(IMPORTRANGE(cd_planilha, ""Armas!B3:G""), ""Select Col1 Where Col2 = '""&amp;Personagem!$J$8&amp;""' or Col2 = '""&amp;Personagem!$J$9&amp;""'""),
if('Time 2'!C7 = ""Garre"&amp;"th"", query(IMPORTRANGE(cd_planilha, ""Armas!B3:G""), ""Select Col1 Where Col2 = '""&amp;Personagem!$K$8&amp;""' or Col2 = '""&amp;Personagem!$K$9&amp;""'""),
if('Time 2'!C7 = ""Gauvin"", query(IMPORTRANGE(cd_planilha, ""Armas!B3:G""), ""Select Col1 Where Col2 = '""&amp;Pers"&amp;"onagem!$L$8&amp;""' or Col2 = '""&amp;Personagem!$L$9&amp;""' ""),
if('Time 2'!C7 = ""Irene"", query(IMPORTRANGE(cd_planilha, ""Armas!B3:G""), ""Select Col1 Where Col2 = '""&amp;Personagem!$M$8&amp;""' or Col2 = '""&amp;Personagem!$M$9&amp;""' ""),
if('Time 2'!C7 = ""Karal"", query("&amp;"IMPORTRANGE(cd_planilha, ""Armas!B3:G""), ""Select Col1 Where Col2 = '""&amp;Personagem!$N$8&amp;""' or Col2 = '""&amp;Personagem!$N$9&amp;""' ""),
if('Time 2'!C7 = ""Kuro Shobi"", query(IMPORTRANGE(cd_planilha, ""Armas!B3:G""), ""Select Col1 Where Col2 = '""&amp;Personagem!"&amp;"$O$8&amp;""' or Col2 = '""&amp;Personagem!$O$9&amp;""'""),
if('Time 2'!C7 = ""Kurul"", query(IMPORTRANGE(cd_planilha, ""Armas!B3:G""), ""Select Col1 Where Col2 = '""&amp;Personagem!$P$8&amp;""' or Col2 = '""&amp;Personagem!$P$9&amp;""' ""),
if('Time 2'!C7 = ""Lancaster"", query(IMPO"&amp;"RTRANGE(cd_planilha, ""Armas!B3:G""), ""Select Col1 Where Col2 = '""&amp;Personagem!$Q$8&amp;""' or Col2 = '""&amp;Personagem!$Q$9&amp;""'""),
if('Time 2'!C7 = ""Lorelei"", query(IMPORTRANGE(cd_planilha, ""Armas!B3:G""), ""Select Col1 Where Col2 = '""&amp;Personagem!$R$8&amp;""'"&amp;" or Col2 = '""&amp;Personagem!$R$9&amp;""' ""),
if('Time 2'!C7 = ""Louca"", query(IMPORTRANGE(cd_planilha, ""Armas!B3:G""), ""Select Col1 Where Col2 = '""&amp;Personagem!$S$8&amp;""' or Col2 = '""&amp;Personagem!$S$9&amp;""' ""),
if('Time 2'!C7 = ""Melina"", query(IMPORTRANGE(cd"&amp;"_planilha, ""Armas!B3:G""), ""Select Col1 Where Col2 = '""&amp;Personagem!$T$8&amp;""' or Col2 = '""&amp;Personagem!$T$9&amp;""'""),
if('Time 2'!C7 = ""Mila"", query(IMPORTRANGE(cd_planilha, ""Armas!B3:G""), ""Select Col1 Where Col2 = '""&amp;Personagem!$U$8&amp;""' or Col2 = '"&amp;"""&amp;Personagem!$U$9&amp;""' ""),
if('Time 2'!C7 = ""Minh"", query(IMPORTRANGE(cd_planilha, ""Armas!B3:G""), ""Select Col1 Where Col2 = '""&amp;Personagem!$V$8&amp;""' or Col2 = '""&amp;Personagem!$V$9&amp;""' ""),
if('Time 2'!C7 = ""Mojian"", query(IMPORTRANGE(cd_planilha, """&amp;"Armas!B3:G""), ""Select Col1 Where Col2 = '""&amp;Personagem!$W$8&amp;""' or Col2 = '""&amp;Personagem!$W$9&amp;""'""),
if('Time 2'!C7 = ""Nya"", query(IMPORTRANGE(cd_planilha, ""Armas!B3:G""), ""Select Col1 Where Col2 = '""&amp;Personagem!$X$8&amp;""' or Col2 = '""&amp;Personagem!$"&amp;"X$9&amp;""' ""),
if('Time 2'!C7 = ""Odette"", query(IMPORTRANGE(cd_planilha, ""Armas!B3:G""), ""Select Col1 Where Col2 = '""&amp;Personagem!$Y$8&amp;""' or Col2 = '""&amp;Personagem!$Y$9&amp;""'""),
if('Time 2'!C7 = ""Oneira"", query(IMPORTRANGE(cd_planilha, ""Armas!B3:G""),"&amp;" ""Select Col1 Where Col2 = '""&amp;Personagem!$Z$8&amp;""' or Col2 = '""&amp;Personagem!$Z$9&amp;""' ""),
if('Time 2'!C7 = ""Palash"", query(IMPORTRANGE(cd_planilha, ""Armas!B3:G""), ""Select Col1 Where Col2 = '""&amp;Personagem!$AA$8&amp;""' or Col2 = '""&amp;Personagem!$AA$9&amp;""'"&amp;"""),
if('Time 2'!C7 = ""Theor"", query(IMPORTRANGE(cd_planilha, ""Armas!B3:G""), ""Select Col1 Where Col2 = '""&amp;Personagem!$AB$8&amp;""' or Col2 = '""&amp;Personagem!$AB$9&amp;""' ""),
if('Time 2'!C7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H1" s="241"/>
      <c r="AI1" s="241" t="str">
        <f>IFERROR(__xludf.DUMMYFUNCTION("if('Time 2'!C8 = ""Albert"", query(IMPORTRANGE(cd_planilha, ""Armas!B3:G""), ""Select Col1 Where Col2 = '""&amp;Personagem!$B$8&amp;""' or Col2 = '""&amp;Personagem!$B$9&amp;""'""),     
if('Time 2'!C8 = ""Alicia"", query(IMPORTRANGE(cd_planilha, ""Armas!B3:G""), ""Selec"&amp;"t Col1 Where Col2 = '""&amp;Personagem!$C$8&amp;""' or Col2 = '""&amp;Personagem!$C$9&amp;""'""),
if('Time 2'!C8 = ""Azula"", query(IMPORTRANGE(cd_planilha, ""Armas!B3:G""), ""Select Col1 Where Col2 = '""&amp;Personagem!$D$8&amp;""' or Col2 = '""&amp;Personagem!$D$9&amp;""' ""),
if('Tim"&amp;"e 2'!C8 = ""Charles"", query(IMPORTRANGE(cd_planilha, ""Armas!B3:G""), ""Select Col1 Where Col2 = '""&amp;Personagem!$E$8&amp;""' or Col2 = '""&amp;Personagem!$E$9&amp;""'""),
if('Time 2'!C8 = ""Clovis"", query(IMPORTRANGE(cd_planilha, ""Armas!B3:G""), ""Select Col1 Wher"&amp;"e Col2 = '""&amp;Personagem!$F$8&amp;""' or Col2 = '""&amp;Personagem!$F$9&amp;""' ""),
if('Time 2'!C8 = ""Darthos"", query(IMPORTRANGE(cd_planilha, ""Armas!B3:G""), ""Select Col1 Where Col2 = '""&amp;Personagem!$G$8&amp;""' or Col2 = '""&amp;Personagem!$G$9&amp;""'""),
if('Time 2'!C8 ="&amp;" ""Edward"", query(IMPORTRANGE(cd_planilha, ""Armas!B3:G""), ""Select Col1 Where Col2 = '""&amp;Personagem!$H$8&amp;""' or Col2 = '""&amp;Personagem!$H$9&amp;""' ""),
if('Time 2'!C8 = ""Fiora"", query(IMPORTRANGE(cd_planilha, ""Armas!B3:G""), ""Select Col1 Where Col2 = '"&amp;"""&amp;Personagem!$I$8&amp;""' or Col2 = '""&amp;Personagem!$I$9&amp;""' ""),
if('Time 2'!C8 = ""Francesca"", query(IMPORTRANGE(cd_planilha, ""Armas!B3:G""), ""Select Col1 Where Col2 = '""&amp;Personagem!$J$8&amp;""' or Col2 = '""&amp;Personagem!$J$9&amp;""'""),
if('Time 2'!C8 = ""Garre"&amp;"th"", query(IMPORTRANGE(cd_planilha, ""Armas!B3:G""), ""Select Col1 Where Col2 = '""&amp;Personagem!$K$8&amp;""' or Col2 = '""&amp;Personagem!$K$9&amp;""'""),
if('Time 2'!C8 = ""Gauvin"", query(IMPORTRANGE(cd_planilha, ""Armas!B3:G""), ""Select Col1 Where Col2 = '""&amp;Pers"&amp;"onagem!$L$8&amp;""' or Col2 = '""&amp;Personagem!$L$9&amp;""' ""),
if('Time 2'!C8 = ""Irene"", query(IMPORTRANGE(cd_planilha, ""Armas!B3:G""), ""Select Col1 Where Col2 = '""&amp;Personagem!$M$8&amp;""' or Col2 = '""&amp;Personagem!$M$9&amp;""' ""),
if('Time 2'!C8 = ""Karal"", query("&amp;"IMPORTRANGE(cd_planilha, ""Armas!B3:G""), ""Select Col1 Where Col2 = '""&amp;Personagem!$N$8&amp;""' or Col2 = '""&amp;Personagem!$N$9&amp;""' ""),
if('Time 2'!C8 = ""Kuro Shobi"", query(IMPORTRANGE(cd_planilha, ""Armas!B3:G""), ""Select Col1 Where Col2 = '""&amp;Personagem!"&amp;"$O$8&amp;""' or Col2 = '""&amp;Personagem!$O$9&amp;""'""),
if('Time 2'!C8 = ""Kurul"", query(IMPORTRANGE(cd_planilha, ""Armas!B3:G""), ""Select Col1 Where Col2 = '""&amp;Personagem!$P$8&amp;""' or Col2 = '""&amp;Personagem!$P$9&amp;""' ""),
if('Time 2'!C8 = ""Lancaster"", query(IMPO"&amp;"RTRANGE(cd_planilha, ""Armas!B3:G""), ""Select Col1 Where Col2 = '""&amp;Personagem!$Q$8&amp;""' or Col2 = '""&amp;Personagem!$Q$9&amp;""'""),
if('Time 2'!C8 = ""Lorelei"", query(IMPORTRANGE(cd_planilha, ""Armas!B3:G""), ""Select Col1 Where Col2 = '""&amp;Personagem!$R$8&amp;""'"&amp;" or Col2 = '""&amp;Personagem!$R$9&amp;""' ""),
if('Time 2'!C8 = ""Louca"", query(IMPORTRANGE(cd_planilha, ""Armas!B3:G""), ""Select Col1 Where Col2 = '""&amp;Personagem!$S$8&amp;""' or Col2 = '""&amp;Personagem!$S$9&amp;""' ""),
if('Time 2'!C8 = ""Melina"", query(IMPORTRANGE(cd"&amp;"_planilha, ""Armas!B3:G""), ""Select Col1 Where Col2 = '""&amp;Personagem!$T$8&amp;""' or Col2 = '""&amp;Personagem!$T$9&amp;""'""),
if('Time 2'!C8 = ""Mila"", query(IMPORTRANGE(cd_planilha, ""Armas!B3:G""), ""Select Col1 Where Col2 = '""&amp;Personagem!$U$8&amp;""' or Col2 = '"&amp;"""&amp;Personagem!$U$9&amp;""' ""),
if('Time 2'!C8 = ""Minh"", query(IMPORTRANGE(cd_planilha, ""Armas!B3:G""), ""Select Col1 Where Col2 = '""&amp;Personagem!$V$8&amp;""' or Col2 = '""&amp;Personagem!$V$9&amp;""' ""),
if('Time 2'!C8 = ""Mojian"", query(IMPORTRANGE(cd_planilha, """&amp;"Armas!B3:G""), ""Select Col1 Where Col2 = '""&amp;Personagem!$W$8&amp;""' or Col2 = '""&amp;Personagem!$W$9&amp;""'""),
if('Time 2'!C8 = ""Nya"", query(IMPORTRANGE(cd_planilha, ""Armas!B3:G""), ""Select Col1 Where Col2 = '""&amp;Personagem!$X$8&amp;""' or Col2 = '""&amp;Personagem!$"&amp;"X$9&amp;""' ""),
if('Time 2'!C8 = ""Odette"", query(IMPORTRANGE(cd_planilha, ""Armas!B3:G""), ""Select Col1 Where Col2 = '""&amp;Personagem!$Y$8&amp;""' or Col2 = '""&amp;Personagem!$Y$9&amp;""'""),
if('Time 2'!C8 = ""Oneira"", query(IMPORTRANGE(cd_planilha, ""Armas!B3:G""),"&amp;" ""Select Col1 Where Col2 = '""&amp;Personagem!$Z$8&amp;""' or Col2 = '""&amp;Personagem!$Z$9&amp;""' ""),
if('Time 2'!C8 = ""Palash"", query(IMPORTRANGE(cd_planilha, ""Armas!B3:G""), ""Select Col1 Where Col2 = '""&amp;Personagem!$AA$8&amp;""' or Col2 = '""&amp;Personagem!$AA$9&amp;""'"&amp;"""),
if('Time 2'!C8 = ""Theor"", query(IMPORTRANGE(cd_planilha, ""Armas!B3:G""), ""Select Col1 Where Col2 = '""&amp;Personagem!$AB$8&amp;""' or Col2 = '""&amp;Personagem!$AB$9&amp;""' ""),
if('Time 2'!C8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J1" s="242"/>
    </row>
    <row r="2">
      <c r="A2" s="241" t="str">
        <f>IFERROR(__xludf.DUMMYFUNCTION("""COMPUTED_VALUE"""),"Olho de falcão")</f>
        <v>Olho de falcão</v>
      </c>
      <c r="B2" s="241"/>
      <c r="C2" s="241" t="str">
        <f>IFERROR(__xludf.DUMMYFUNCTION("""COMPUTED_VALUE"""),"Espada Vorpal")</f>
        <v>Espada Vorpal</v>
      </c>
      <c r="D2" s="241"/>
      <c r="E2" s="241" t="str">
        <f>IFERROR(__xludf.DUMMYFUNCTION("""COMPUTED_VALUE"""),"Espada Vorpal")</f>
        <v>Espada Vorpal</v>
      </c>
      <c r="F2" s="241"/>
      <c r="G2" s="241" t="str">
        <f>IFERROR(__xludf.DUMMYFUNCTION("""COMPUTED_VALUE"""),"Tronco de árvore")</f>
        <v>Tronco de árvore</v>
      </c>
      <c r="H2" s="241"/>
      <c r="I2" s="241" t="str">
        <f>IFERROR(__xludf.DUMMYFUNCTION("""COMPUTED_VALUE"""),"Olho de falcão")</f>
        <v>Olho de falcão</v>
      </c>
      <c r="J2" s="241"/>
      <c r="K2" s="241" t="str">
        <f>IFERROR(__xludf.DUMMYFUNCTION("""COMPUTED_VALUE"""),"Begala do faraó")</f>
        <v>Begala do faraó</v>
      </c>
      <c r="L2" s="242"/>
      <c r="M2" s="241" t="str">
        <f>IFERROR(__xludf.DUMMYFUNCTION("""COMPUTED_VALUE"""),"Toga do Mago")</f>
        <v>Toga do Mago</v>
      </c>
      <c r="N2" s="241"/>
      <c r="O2" s="241" t="str">
        <f>IFERROR(__xludf.DUMMYFUNCTION("""COMPUTED_VALUE"""),"Armadura Nobre")</f>
        <v>Armadura Nobre</v>
      </c>
      <c r="P2" s="241"/>
      <c r="Q2" s="241" t="str">
        <f>IFERROR(__xludf.DUMMYFUNCTION("""COMPUTED_VALUE"""),"Armadura Nobre")</f>
        <v>Armadura Nobre</v>
      </c>
      <c r="R2" s="241"/>
      <c r="S2" s="241" t="str">
        <f>IFERROR(__xludf.DUMMYFUNCTION("""COMPUTED_VALUE"""),"Veste Revestida")</f>
        <v>Veste Revestida</v>
      </c>
      <c r="T2" s="241"/>
      <c r="U2" s="241" t="str">
        <f>IFERROR(__xludf.DUMMYFUNCTION("""COMPUTED_VALUE"""),"Armadura Nobre")</f>
        <v>Armadura Nobre</v>
      </c>
      <c r="V2" s="241"/>
      <c r="W2" s="241" t="str">
        <f>IFERROR(__xludf.DUMMYFUNCTION("""COMPUTED_VALUE"""),"Toga do Mago")</f>
        <v>Toga do Mago</v>
      </c>
      <c r="X2" s="242"/>
      <c r="Y2" s="241" t="str">
        <f>IFERROR(__xludf.DUMMYFUNCTION("""COMPUTED_VALUE"""),"Coroa Dourada")</f>
        <v>Coroa Dourada</v>
      </c>
      <c r="Z2" s="241"/>
      <c r="AA2" s="241" t="str">
        <f>IFERROR(__xludf.DUMMYFUNCTION("""COMPUTED_VALUE"""),"Elmo do Paladino")</f>
        <v>Elmo do Paladino</v>
      </c>
      <c r="AB2" s="241"/>
      <c r="AC2" s="241" t="str">
        <f>IFERROR(__xludf.DUMMYFUNCTION("""COMPUTED_VALUE"""),"Elmo do Paladino")</f>
        <v>Elmo do Paladino</v>
      </c>
      <c r="AD2" s="241"/>
      <c r="AE2" s="241" t="str">
        <f>IFERROR(__xludf.DUMMYFUNCTION("""COMPUTED_VALUE"""),"Coroa Dourada")</f>
        <v>Coroa Dourada</v>
      </c>
      <c r="AF2" s="241"/>
      <c r="AG2" s="241" t="str">
        <f>IFERROR(__xludf.DUMMYFUNCTION("""COMPUTED_VALUE"""),"Coroa Dourada")</f>
        <v>Coroa Dourada</v>
      </c>
      <c r="AH2" s="241"/>
      <c r="AI2" s="241" t="str">
        <f>IFERROR(__xludf.DUMMYFUNCTION("""COMPUTED_VALUE"""),"Coroa Dourada")</f>
        <v>Coroa Dourada</v>
      </c>
      <c r="AJ2" s="242"/>
    </row>
    <row r="3" hidden="1">
      <c r="A3" s="241" t="str">
        <f>IFERROR(__xludf.DUMMYFUNCTION("""COMPUTED_VALUE"""),"Autocarregador")</f>
        <v>Autocarregador</v>
      </c>
      <c r="B3" s="241"/>
      <c r="C3" s="241" t="str">
        <f>IFERROR(__xludf.DUMMYFUNCTION("""COMPUTED_VALUE"""),"Aço frio")</f>
        <v>Aço frio</v>
      </c>
      <c r="D3" s="241"/>
      <c r="E3" s="241" t="str">
        <f>IFERROR(__xludf.DUMMYFUNCTION("""COMPUTED_VALUE"""),"Aço frio")</f>
        <v>Aço frio</v>
      </c>
      <c r="F3" s="241"/>
      <c r="G3" s="241" t="str">
        <f>IFERROR(__xludf.DUMMYFUNCTION("""COMPUTED_VALUE"""),"Martelo-Punho")</f>
        <v>Martelo-Punho</v>
      </c>
      <c r="H3" s="241"/>
      <c r="I3" s="241" t="str">
        <f>IFERROR(__xludf.DUMMYFUNCTION("""COMPUTED_VALUE"""),"Autocarregador")</f>
        <v>Autocarregador</v>
      </c>
      <c r="J3" s="241"/>
      <c r="K3" s="241" t="str">
        <f>IFERROR(__xludf.DUMMYFUNCTION("""COMPUTED_VALUE"""),"Cetro Lunar")</f>
        <v>Cetro Lunar</v>
      </c>
      <c r="L3" s="242"/>
      <c r="M3" s="241" t="str">
        <f>IFERROR(__xludf.DUMMYFUNCTION("""COMPUTED_VALUE"""),"Poseidon's Toga")</f>
        <v>Poseidon's Toga</v>
      </c>
      <c r="N3" s="241"/>
      <c r="O3" s="241" t="str">
        <f>IFERROR(__xludf.DUMMYFUNCTION("""COMPUTED_VALUE"""),"Correio de Honra")</f>
        <v>Correio de Honra</v>
      </c>
      <c r="P3" s="241"/>
      <c r="Q3" s="241" t="str">
        <f>IFERROR(__xludf.DUMMYFUNCTION("""COMPUTED_VALUE"""),"Correio de Honra")</f>
        <v>Correio de Honra</v>
      </c>
      <c r="R3" s="241"/>
      <c r="S3" s="241" t="str">
        <f>IFERROR(__xludf.DUMMYFUNCTION("""COMPUTED_VALUE"""),"Couro com óleo")</f>
        <v>Couro com óleo</v>
      </c>
      <c r="T3" s="241"/>
      <c r="U3" s="241" t="str">
        <f>IFERROR(__xludf.DUMMYFUNCTION("""COMPUTED_VALUE"""),"Correio de Honra")</f>
        <v>Correio de Honra</v>
      </c>
      <c r="V3" s="241"/>
      <c r="W3" s="241" t="str">
        <f>IFERROR(__xludf.DUMMYFUNCTION("""COMPUTED_VALUE"""),"Poseidon's Toga")</f>
        <v>Poseidon's Toga</v>
      </c>
      <c r="X3" s="242"/>
      <c r="Y3" s="241" t="str">
        <f>IFERROR(__xludf.DUMMYFUNCTION("""COMPUTED_VALUE"""),"Coifa Sábia ")</f>
        <v>Coifa Sábia </v>
      </c>
      <c r="Z3" s="241"/>
      <c r="AA3" s="241" t="str">
        <f>IFERROR(__xludf.DUMMYFUNCTION("""COMPUTED_VALUE"""),"Elmo Congelado")</f>
        <v>Elmo Congelado</v>
      </c>
      <c r="AB3" s="241"/>
      <c r="AC3" s="241" t="str">
        <f>IFERROR(__xludf.DUMMYFUNCTION("""COMPUTED_VALUE"""),"Elmo Congelado")</f>
        <v>Elmo Congelado</v>
      </c>
      <c r="AD3" s="241"/>
      <c r="AE3" s="241" t="str">
        <f>IFERROR(__xludf.DUMMYFUNCTION("""COMPUTED_VALUE"""),"Coifa Sábia ")</f>
        <v>Coifa Sábia </v>
      </c>
      <c r="AF3" s="241"/>
      <c r="AG3" s="241" t="str">
        <f>IFERROR(__xludf.DUMMYFUNCTION("""COMPUTED_VALUE"""),"Coifa Sábia ")</f>
        <v>Coifa Sábia </v>
      </c>
      <c r="AH3" s="241"/>
      <c r="AI3" s="241" t="str">
        <f>IFERROR(__xludf.DUMMYFUNCTION("""COMPUTED_VALUE"""),"Coifa Sábia ")</f>
        <v>Coifa Sábia </v>
      </c>
      <c r="AJ3" s="242"/>
    </row>
    <row r="4" hidden="1">
      <c r="A4" s="241" t="str">
        <f>IFERROR(__xludf.DUMMYFUNCTION("""COMPUTED_VALUE"""),"Olho de águia")</f>
        <v>Olho de águia</v>
      </c>
      <c r="B4" s="241"/>
      <c r="C4" s="241" t="str">
        <f>IFERROR(__xludf.DUMMYFUNCTION("""COMPUTED_VALUE"""),"Espada de Relíquia")</f>
        <v>Espada de Relíquia</v>
      </c>
      <c r="D4" s="241"/>
      <c r="E4" s="241" t="str">
        <f>IFERROR(__xludf.DUMMYFUNCTION("""COMPUTED_VALUE"""),"Espada de Relíquia")</f>
        <v>Espada de Relíquia</v>
      </c>
      <c r="F4" s="241"/>
      <c r="G4" s="241" t="str">
        <f>IFERROR(__xludf.DUMMYFUNCTION("""COMPUTED_VALUE"""),"Cetro Real")</f>
        <v>Cetro Real</v>
      </c>
      <c r="H4" s="241"/>
      <c r="I4" s="241" t="str">
        <f>IFERROR(__xludf.DUMMYFUNCTION("""COMPUTED_VALUE"""),"Olho de águia")</f>
        <v>Olho de águia</v>
      </c>
      <c r="J4" s="241"/>
      <c r="K4" s="241" t="str">
        <f>IFERROR(__xludf.DUMMYFUNCTION("""COMPUTED_VALUE"""),"Líquido apanhador de inseto")</f>
        <v>Líquido apanhador de inseto</v>
      </c>
      <c r="L4" s="242"/>
      <c r="M4" s="241" t="str">
        <f>IFERROR(__xludf.DUMMYFUNCTION("""COMPUTED_VALUE"""),"Traje de Tempestade")</f>
        <v>Traje de Tempestade</v>
      </c>
      <c r="N4" s="241"/>
      <c r="O4" s="241" t="str">
        <f>IFERROR(__xludf.DUMMYFUNCTION("""COMPUTED_VALUE"""),"Armadura do Caos")</f>
        <v>Armadura do Caos</v>
      </c>
      <c r="P4" s="241"/>
      <c r="Q4" s="241" t="str">
        <f>IFERROR(__xludf.DUMMYFUNCTION("""COMPUTED_VALUE"""),"Armadura do Caos")</f>
        <v>Armadura do Caos</v>
      </c>
      <c r="R4" s="241"/>
      <c r="S4" s="241" t="str">
        <f>IFERROR(__xludf.DUMMYFUNCTION("""COMPUTED_VALUE"""),"Pele de Serpente")</f>
        <v>Pele de Serpente</v>
      </c>
      <c r="T4" s="241"/>
      <c r="U4" s="241" t="str">
        <f>IFERROR(__xludf.DUMMYFUNCTION("""COMPUTED_VALUE"""),"Armadura do Caos")</f>
        <v>Armadura do Caos</v>
      </c>
      <c r="V4" s="241"/>
      <c r="W4" s="241" t="str">
        <f>IFERROR(__xludf.DUMMYFUNCTION("""COMPUTED_VALUE"""),"Traje de Tempestade")</f>
        <v>Traje de Tempestade</v>
      </c>
      <c r="X4" s="242"/>
      <c r="Y4" s="241" t="str">
        <f>IFERROR(__xludf.DUMMYFUNCTION("""COMPUTED_VALUE"""),"Tiara Rúnica")</f>
        <v>Tiara Rúnica</v>
      </c>
      <c r="Z4" s="241"/>
      <c r="AA4" s="241" t="str">
        <f>IFERROR(__xludf.DUMMYFUNCTION("""COMPUTED_VALUE"""),"Elmo do Aventureiro")</f>
        <v>Elmo do Aventureiro</v>
      </c>
      <c r="AB4" s="241"/>
      <c r="AC4" s="241" t="str">
        <f>IFERROR(__xludf.DUMMYFUNCTION("""COMPUTED_VALUE"""),"Elmo do Aventureiro")</f>
        <v>Elmo do Aventureiro</v>
      </c>
      <c r="AD4" s="241"/>
      <c r="AE4" s="241" t="str">
        <f>IFERROR(__xludf.DUMMYFUNCTION("""COMPUTED_VALUE"""),"Tiara Rúnica")</f>
        <v>Tiara Rúnica</v>
      </c>
      <c r="AF4" s="241"/>
      <c r="AG4" s="241" t="str">
        <f>IFERROR(__xludf.DUMMYFUNCTION("""COMPUTED_VALUE"""),"Tiara Rúnica")</f>
        <v>Tiara Rúnica</v>
      </c>
      <c r="AH4" s="241"/>
      <c r="AI4" s="241" t="str">
        <f>IFERROR(__xludf.DUMMYFUNCTION("""COMPUTED_VALUE"""),"Tiara Rúnica")</f>
        <v>Tiara Rúnica</v>
      </c>
      <c r="AJ4" s="242"/>
    </row>
    <row r="5" hidden="1">
      <c r="A5" s="241" t="str">
        <f>IFERROR(__xludf.DUMMYFUNCTION("""COMPUTED_VALUE"""),"Evelyn")</f>
        <v>Evelyn</v>
      </c>
      <c r="B5" s="241"/>
      <c r="C5" s="241" t="str">
        <f>IFERROR(__xludf.DUMMYFUNCTION("""COMPUTED_VALUE"""),"Marca Abissal")</f>
        <v>Marca Abissal</v>
      </c>
      <c r="D5" s="241"/>
      <c r="E5" s="241" t="str">
        <f>IFERROR(__xludf.DUMMYFUNCTION("""COMPUTED_VALUE"""),"Marca Abissal")</f>
        <v>Marca Abissal</v>
      </c>
      <c r="F5" s="241"/>
      <c r="G5" s="241" t="str">
        <f>IFERROR(__xludf.DUMMYFUNCTION("""COMPUTED_VALUE"""),"Martelo Relíquia")</f>
        <v>Martelo Relíquia</v>
      </c>
      <c r="H5" s="241"/>
      <c r="I5" s="241" t="str">
        <f>IFERROR(__xludf.DUMMYFUNCTION("""COMPUTED_VALUE"""),"Evelyn")</f>
        <v>Evelyn</v>
      </c>
      <c r="J5" s="241"/>
      <c r="K5" s="241" t="str">
        <f>IFERROR(__xludf.DUMMYFUNCTION("""COMPUTED_VALUE"""),"Cetro Sagrado")</f>
        <v>Cetro Sagrado</v>
      </c>
      <c r="L5" s="242"/>
      <c r="M5" s="241" t="str">
        <f>IFERROR(__xludf.DUMMYFUNCTION("""COMPUTED_VALUE"""),"Toga do Bruxo ")</f>
        <v>Toga do Bruxo </v>
      </c>
      <c r="N5" s="241"/>
      <c r="O5" s="241" t="str">
        <f>IFERROR(__xludf.DUMMYFUNCTION("""COMPUTED_VALUE"""),"Malha Eldritch")</f>
        <v>Malha Eldritch</v>
      </c>
      <c r="P5" s="241"/>
      <c r="Q5" s="241" t="str">
        <f>IFERROR(__xludf.DUMMYFUNCTION("""COMPUTED_VALUE"""),"Malha Eldritch")</f>
        <v>Malha Eldritch</v>
      </c>
      <c r="R5" s="241"/>
      <c r="S5" s="241" t="str">
        <f>IFERROR(__xludf.DUMMYFUNCTION("""COMPUTED_VALUE"""),"Platemail de Aquiles")</f>
        <v>Platemail de Aquiles</v>
      </c>
      <c r="T5" s="241"/>
      <c r="U5" s="241" t="str">
        <f>IFERROR(__xludf.DUMMYFUNCTION("""COMPUTED_VALUE"""),"Malha Eldritch")</f>
        <v>Malha Eldritch</v>
      </c>
      <c r="V5" s="241"/>
      <c r="W5" s="241" t="str">
        <f>IFERROR(__xludf.DUMMYFUNCTION("""COMPUTED_VALUE"""),"Toga do Bruxo ")</f>
        <v>Toga do Bruxo </v>
      </c>
      <c r="X5" s="242"/>
      <c r="Y5" s="241" t="str">
        <f>IFERROR(__xludf.DUMMYFUNCTION("""COMPUTED_VALUE"""),"Coroa do trovão")</f>
        <v>Coroa do trovão</v>
      </c>
      <c r="Z5" s="241"/>
      <c r="AA5" s="241" t="str">
        <f>IFERROR(__xludf.DUMMYFUNCTION("""COMPUTED_VALUE"""),"Elmo da Fênix")</f>
        <v>Elmo da Fênix</v>
      </c>
      <c r="AB5" s="241"/>
      <c r="AC5" s="241" t="str">
        <f>IFERROR(__xludf.DUMMYFUNCTION("""COMPUTED_VALUE"""),"Elmo da Fênix")</f>
        <v>Elmo da Fênix</v>
      </c>
      <c r="AD5" s="241"/>
      <c r="AE5" s="241" t="str">
        <f>IFERROR(__xludf.DUMMYFUNCTION("""COMPUTED_VALUE"""),"Coroa do trovão")</f>
        <v>Coroa do trovão</v>
      </c>
      <c r="AF5" s="241"/>
      <c r="AG5" s="241" t="str">
        <f>IFERROR(__xludf.DUMMYFUNCTION("""COMPUTED_VALUE"""),"Coroa do trovão")</f>
        <v>Coroa do trovão</v>
      </c>
      <c r="AH5" s="241"/>
      <c r="AI5" s="241" t="str">
        <f>IFERROR(__xludf.DUMMYFUNCTION("""COMPUTED_VALUE"""),"Coroa do trovão")</f>
        <v>Coroa do trovão</v>
      </c>
      <c r="AJ5" s="242"/>
    </row>
    <row r="6" hidden="1">
      <c r="A6" s="241" t="str">
        <f>IFERROR(__xludf.DUMMYFUNCTION("""COMPUTED_VALUE"""),"Olho de dragão")</f>
        <v>Olho de dragão</v>
      </c>
      <c r="B6" s="241"/>
      <c r="C6" s="241" t="str">
        <f>IFERROR(__xludf.DUMMYFUNCTION("""COMPUTED_VALUE"""),"Tempestuosa")</f>
        <v>Tempestuosa</v>
      </c>
      <c r="D6" s="241"/>
      <c r="E6" s="241" t="str">
        <f>IFERROR(__xludf.DUMMYFUNCTION("""COMPUTED_VALUE"""),"Tempestuosa")</f>
        <v>Tempestuosa</v>
      </c>
      <c r="F6" s="241"/>
      <c r="G6" s="241" t="str">
        <f>IFERROR(__xludf.DUMMYFUNCTION("""COMPUTED_VALUE"""),"Apocalipto")</f>
        <v>Apocalipto</v>
      </c>
      <c r="H6" s="241"/>
      <c r="I6" s="241" t="str">
        <f>IFERROR(__xludf.DUMMYFUNCTION("""COMPUTED_VALUE"""),"Olho de dragão")</f>
        <v>Olho de dragão</v>
      </c>
      <c r="J6" s="241"/>
      <c r="K6" s="241" t="str">
        <f>IFERROR(__xludf.DUMMYFUNCTION("""COMPUTED_VALUE"""),"Varinha Estelar")</f>
        <v>Varinha Estelar</v>
      </c>
      <c r="L6" s="242"/>
      <c r="M6" s="241" t="str">
        <f>IFERROR(__xludf.DUMMYFUNCTION("""COMPUTED_VALUE"""),"Life Vest")</f>
        <v>Life Vest</v>
      </c>
      <c r="N6" s="241"/>
      <c r="O6" s="241" t="str">
        <f>IFERROR(__xludf.DUMMYFUNCTION("""COMPUTED_VALUE"""),"Fortaleza de Gaia")</f>
        <v>Fortaleza de Gaia</v>
      </c>
      <c r="P6" s="241"/>
      <c r="Q6" s="241" t="str">
        <f>IFERROR(__xludf.DUMMYFUNCTION("""COMPUTED_VALUE"""),"Fortaleza de Gaia")</f>
        <v>Fortaleza de Gaia</v>
      </c>
      <c r="R6" s="241"/>
      <c r="S6" s="241" t="str">
        <f>IFERROR(__xludf.DUMMYFUNCTION("""COMPUTED_VALUE"""),"Revestimento de Couro Pirata")</f>
        <v>Revestimento de Couro Pirata</v>
      </c>
      <c r="T6" s="241"/>
      <c r="U6" s="241" t="str">
        <f>IFERROR(__xludf.DUMMYFUNCTION("""COMPUTED_VALUE"""),"Fortaleza de Gaia")</f>
        <v>Fortaleza de Gaia</v>
      </c>
      <c r="V6" s="241"/>
      <c r="W6" s="241" t="str">
        <f>IFERROR(__xludf.DUMMYFUNCTION("""COMPUTED_VALUE"""),"Life Vest")</f>
        <v>Life Vest</v>
      </c>
      <c r="X6" s="242"/>
      <c r="Y6" s="241" t="str">
        <f>IFERROR(__xludf.DUMMYFUNCTION("""COMPUTED_VALUE"""),"Acessório cobra")</f>
        <v>Acessório cobra</v>
      </c>
      <c r="Z6" s="241"/>
      <c r="AA6" s="241" t="str">
        <f>IFERROR(__xludf.DUMMYFUNCTION("""COMPUTED_VALUE"""),"Elmo de Guerra de Lu Bu")</f>
        <v>Elmo de Guerra de Lu Bu</v>
      </c>
      <c r="AB6" s="241"/>
      <c r="AC6" s="241" t="str">
        <f>IFERROR(__xludf.DUMMYFUNCTION("""COMPUTED_VALUE"""),"Elmo de Guerra de Lu Bu")</f>
        <v>Elmo de Guerra de Lu Bu</v>
      </c>
      <c r="AD6" s="241"/>
      <c r="AE6" s="241" t="str">
        <f>IFERROR(__xludf.DUMMYFUNCTION("""COMPUTED_VALUE"""),"Acessório cobra")</f>
        <v>Acessório cobra</v>
      </c>
      <c r="AF6" s="241"/>
      <c r="AG6" s="241" t="str">
        <f>IFERROR(__xludf.DUMMYFUNCTION("""COMPUTED_VALUE"""),"Acessório cobra")</f>
        <v>Acessório cobra</v>
      </c>
      <c r="AH6" s="241"/>
      <c r="AI6" s="241" t="str">
        <f>IFERROR(__xludf.DUMMYFUNCTION("""COMPUTED_VALUE"""),"Acessório cobra")</f>
        <v>Acessório cobra</v>
      </c>
      <c r="AJ6" s="242"/>
    </row>
    <row r="7" hidden="1">
      <c r="A7" s="241" t="str">
        <f>IFERROR(__xludf.DUMMYFUNCTION("""COMPUTED_VALUE"""),"Besta de adamantium")</f>
        <v>Besta de adamantium</v>
      </c>
      <c r="B7" s="241"/>
      <c r="C7" s="241" t="str">
        <f>IFERROR(__xludf.DUMMYFUNCTION("""COMPUTED_VALUE"""),"Balmung")</f>
        <v>Balmung</v>
      </c>
      <c r="D7" s="241"/>
      <c r="E7" s="241" t="str">
        <f>IFERROR(__xludf.DUMMYFUNCTION("""COMPUTED_VALUE"""),"Balmung")</f>
        <v>Balmung</v>
      </c>
      <c r="F7" s="241"/>
      <c r="G7" s="241" t="str">
        <f>IFERROR(__xludf.DUMMYFUNCTION("""COMPUTED_VALUE"""),"Estrela Noturna")</f>
        <v>Estrela Noturna</v>
      </c>
      <c r="H7" s="241"/>
      <c r="I7" s="241" t="str">
        <f>IFERROR(__xludf.DUMMYFUNCTION("""COMPUTED_VALUE"""),"Besta de adamantium")</f>
        <v>Besta de adamantium</v>
      </c>
      <c r="J7" s="241"/>
      <c r="K7" s="241" t="str">
        <f>IFERROR(__xludf.DUMMYFUNCTION("""COMPUTED_VALUE"""),"Varinha Imperial")</f>
        <v>Varinha Imperial</v>
      </c>
      <c r="L7" s="242"/>
      <c r="M7" s="241" t="str">
        <f>IFERROR(__xludf.DUMMYFUNCTION("""COMPUTED_VALUE"""),"Toga Plásmica")</f>
        <v>Toga Plásmica</v>
      </c>
      <c r="N7" s="241"/>
      <c r="O7" s="241" t="str">
        <f>IFERROR(__xludf.DUMMYFUNCTION("""COMPUTED_VALUE"""),"Armadura Dragônica")</f>
        <v>Armadura Dragônica</v>
      </c>
      <c r="P7" s="241"/>
      <c r="Q7" s="241" t="str">
        <f>IFERROR(__xludf.DUMMYFUNCTION("""COMPUTED_VALUE"""),"Armadura Dragônica")</f>
        <v>Armadura Dragônica</v>
      </c>
      <c r="R7" s="241"/>
      <c r="S7" s="241" t="str">
        <f>IFERROR(__xludf.DUMMYFUNCTION("""COMPUTED_VALUE"""),"Shadow Lurker")</f>
        <v>Shadow Lurker</v>
      </c>
      <c r="T7" s="241"/>
      <c r="U7" s="241" t="str">
        <f>IFERROR(__xludf.DUMMYFUNCTION("""COMPUTED_VALUE"""),"Armadura Dragônica")</f>
        <v>Armadura Dragônica</v>
      </c>
      <c r="V7" s="241"/>
      <c r="W7" s="241" t="str">
        <f>IFERROR(__xludf.DUMMYFUNCTION("""COMPUTED_VALUE"""),"Toga Plásmica")</f>
        <v>Toga Plásmica</v>
      </c>
      <c r="X7" s="242"/>
      <c r="Y7" s="241" t="str">
        <f>IFERROR(__xludf.DUMMYFUNCTION("""COMPUTED_VALUE"""),"Face demoníaca")</f>
        <v>Face demoníaca</v>
      </c>
      <c r="Z7" s="241"/>
      <c r="AA7" s="241" t="str">
        <f>IFERROR(__xludf.DUMMYFUNCTION("""COMPUTED_VALUE"""),"Elmo de Escamas de Dragão")</f>
        <v>Elmo de Escamas de Dragão</v>
      </c>
      <c r="AB7" s="241"/>
      <c r="AC7" s="241" t="str">
        <f>IFERROR(__xludf.DUMMYFUNCTION("""COMPUTED_VALUE"""),"Elmo de Escamas de Dragão")</f>
        <v>Elmo de Escamas de Dragão</v>
      </c>
      <c r="AD7" s="241"/>
      <c r="AE7" s="241" t="str">
        <f>IFERROR(__xludf.DUMMYFUNCTION("""COMPUTED_VALUE"""),"Face demoníaca")</f>
        <v>Face demoníaca</v>
      </c>
      <c r="AF7" s="241"/>
      <c r="AG7" s="241" t="str">
        <f>IFERROR(__xludf.DUMMYFUNCTION("""COMPUTED_VALUE"""),"Face demoníaca")</f>
        <v>Face demoníaca</v>
      </c>
      <c r="AH7" s="241"/>
      <c r="AI7" s="241" t="str">
        <f>IFERROR(__xludf.DUMMYFUNCTION("""COMPUTED_VALUE"""),"Face demoníaca")</f>
        <v>Face demoníaca</v>
      </c>
      <c r="AJ7" s="242"/>
    </row>
    <row r="8" hidden="1">
      <c r="A8" s="241" t="str">
        <f>IFERROR(__xludf.DUMMYFUNCTION("""COMPUTED_VALUE"""),"Besta de repetição")</f>
        <v>Besta de repetição</v>
      </c>
      <c r="B8" s="241"/>
      <c r="C8" s="241" t="str">
        <f>IFERROR(__xludf.DUMMYFUNCTION("""COMPUTED_VALUE"""),"Mata-Dragão")</f>
        <v>Mata-Dragão</v>
      </c>
      <c r="D8" s="241"/>
      <c r="E8" s="241" t="str">
        <f>IFERROR(__xludf.DUMMYFUNCTION("""COMPUTED_VALUE"""),"Mata-Dragão")</f>
        <v>Mata-Dragão</v>
      </c>
      <c r="F8" s="241"/>
      <c r="G8" s="241" t="str">
        <f>IFERROR(__xludf.DUMMYFUNCTION("""COMPUTED_VALUE"""),"Cem-Toneladas")</f>
        <v>Cem-Toneladas</v>
      </c>
      <c r="H8" s="241"/>
      <c r="I8" s="241" t="str">
        <f>IFERROR(__xludf.DUMMYFUNCTION("""COMPUTED_VALUE"""),"Besta de repetição")</f>
        <v>Besta de repetição</v>
      </c>
      <c r="J8" s="241"/>
      <c r="K8" s="241" t="str">
        <f>IFERROR(__xludf.DUMMYFUNCTION("""COMPUTED_VALUE"""),"Rei-Sol")</f>
        <v>Rei-Sol</v>
      </c>
      <c r="L8" s="242"/>
      <c r="M8" s="241" t="str">
        <f>IFERROR(__xludf.DUMMYFUNCTION("""COMPUTED_VALUE"""),"Toga do Arquimago")</f>
        <v>Toga do Arquimago</v>
      </c>
      <c r="N8" s="241"/>
      <c r="O8" s="241" t="str">
        <f>IFERROR(__xludf.DUMMYFUNCTION("""COMPUTED_VALUE"""),"Malha da Terra")</f>
        <v>Malha da Terra</v>
      </c>
      <c r="P8" s="241"/>
      <c r="Q8" s="241" t="str">
        <f>IFERROR(__xludf.DUMMYFUNCTION("""COMPUTED_VALUE"""),"Malha da Terra")</f>
        <v>Malha da Terra</v>
      </c>
      <c r="R8" s="241"/>
      <c r="S8" s="241" t="str">
        <f>IFERROR(__xludf.DUMMYFUNCTION("""COMPUTED_VALUE"""),"Pele de Dragão")</f>
        <v>Pele de Dragão</v>
      </c>
      <c r="T8" s="241"/>
      <c r="U8" s="241" t="str">
        <f>IFERROR(__xludf.DUMMYFUNCTION("""COMPUTED_VALUE"""),"Malha da Terra")</f>
        <v>Malha da Terra</v>
      </c>
      <c r="V8" s="241"/>
      <c r="W8" s="241" t="str">
        <f>IFERROR(__xludf.DUMMYFUNCTION("""COMPUTED_VALUE"""),"Toga do Arquimago")</f>
        <v>Toga do Arquimago</v>
      </c>
      <c r="X8" s="242"/>
      <c r="Y8" s="241" t="str">
        <f>IFERROR(__xludf.DUMMYFUNCTION("""COMPUTED_VALUE"""),"Diadema Condenado")</f>
        <v>Diadema Condenado</v>
      </c>
      <c r="Z8" s="241"/>
      <c r="AA8" s="241" t="str">
        <f>IFERROR(__xludf.DUMMYFUNCTION("""COMPUTED_VALUE"""),"Coroa de Korra")</f>
        <v>Coroa de Korra</v>
      </c>
      <c r="AB8" s="241"/>
      <c r="AC8" s="241" t="str">
        <f>IFERROR(__xludf.DUMMYFUNCTION("""COMPUTED_VALUE"""),"Coroa de Korra")</f>
        <v>Coroa de Korra</v>
      </c>
      <c r="AD8" s="241"/>
      <c r="AE8" s="241" t="str">
        <f>IFERROR(__xludf.DUMMYFUNCTION("""COMPUTED_VALUE"""),"Diadema Condenado")</f>
        <v>Diadema Condenado</v>
      </c>
      <c r="AF8" s="241"/>
      <c r="AG8" s="241" t="str">
        <f>IFERROR(__xludf.DUMMYFUNCTION("""COMPUTED_VALUE"""),"Diadema Condenado")</f>
        <v>Diadema Condenado</v>
      </c>
      <c r="AH8" s="241"/>
      <c r="AI8" s="241" t="str">
        <f>IFERROR(__xludf.DUMMYFUNCTION("""COMPUTED_VALUE"""),"Diadema Condenado")</f>
        <v>Diadema Condenado</v>
      </c>
      <c r="AJ8" s="242"/>
    </row>
    <row r="9" hidden="1">
      <c r="A9" s="241" t="str">
        <f>IFERROR(__xludf.DUMMYFUNCTION("""COMPUTED_VALUE"""),"Arco dos elfos")</f>
        <v>Arco dos elfos</v>
      </c>
      <c r="B9" s="241"/>
      <c r="C9" s="241" t="str">
        <f>IFERROR(__xludf.DUMMYFUNCTION("""COMPUTED_VALUE"""),"Lâmina do Fogo-gelo")</f>
        <v>Lâmina do Fogo-gelo</v>
      </c>
      <c r="D9" s="241"/>
      <c r="E9" s="241" t="str">
        <f>IFERROR(__xludf.DUMMYFUNCTION("""COMPUTED_VALUE"""),"Lâmina do Fogo-gelo")</f>
        <v>Lâmina do Fogo-gelo</v>
      </c>
      <c r="F9" s="241"/>
      <c r="G9" s="241" t="str">
        <f>IFERROR(__xludf.DUMMYFUNCTION("""COMPUTED_VALUE"""),"Esmagador")</f>
        <v>Esmagador</v>
      </c>
      <c r="H9" s="241"/>
      <c r="I9" s="241" t="str">
        <f>IFERROR(__xludf.DUMMYFUNCTION("""COMPUTED_VALUE"""),"Arco dos elfos")</f>
        <v>Arco dos elfos</v>
      </c>
      <c r="J9" s="241"/>
      <c r="K9" s="241" t="str">
        <f>IFERROR(__xludf.DUMMYFUNCTION("""COMPUTED_VALUE"""),"Montagem das fadas")</f>
        <v>Montagem das fadas</v>
      </c>
      <c r="L9" s="242"/>
      <c r="M9" s="241" t="str">
        <f>IFERROR(__xludf.DUMMYFUNCTION("""COMPUTED_VALUE"""),"Veste do Dragão ")</f>
        <v>Veste do Dragão </v>
      </c>
      <c r="N9" s="241"/>
      <c r="O9" s="241" t="str">
        <f>IFERROR(__xludf.DUMMYFUNCTION("""COMPUTED_VALUE"""),"Armadura do Oráculo")</f>
        <v>Armadura do Oráculo</v>
      </c>
      <c r="P9" s="241"/>
      <c r="Q9" s="241" t="str">
        <f>IFERROR(__xludf.DUMMYFUNCTION("""COMPUTED_VALUE"""),"Armadura do Oráculo")</f>
        <v>Armadura do Oráculo</v>
      </c>
      <c r="R9" s="241"/>
      <c r="S9" s="241" t="str">
        <f>IFERROR(__xludf.DUMMYFUNCTION("""COMPUTED_VALUE"""),"Vampire Hunter")</f>
        <v>Vampire Hunter</v>
      </c>
      <c r="T9" s="241"/>
      <c r="U9" s="241" t="str">
        <f>IFERROR(__xludf.DUMMYFUNCTION("""COMPUTED_VALUE"""),"Armadura do Oráculo")</f>
        <v>Armadura do Oráculo</v>
      </c>
      <c r="V9" s="241"/>
      <c r="W9" s="241" t="str">
        <f>IFERROR(__xludf.DUMMYFUNCTION("""COMPUTED_VALUE"""),"Veste do Dragão ")</f>
        <v>Veste do Dragão </v>
      </c>
      <c r="X9" s="242"/>
      <c r="Y9" s="241" t="str">
        <f>IFERROR(__xludf.DUMMYFUNCTION("""COMPUTED_VALUE"""),"Medley Floral")</f>
        <v>Medley Floral</v>
      </c>
      <c r="Z9" s="241"/>
      <c r="AA9" s="241" t="str">
        <f>IFERROR(__xludf.DUMMYFUNCTION("""COMPUTED_VALUE"""),"Elmo de Adamantium")</f>
        <v>Elmo de Adamantium</v>
      </c>
      <c r="AB9" s="241"/>
      <c r="AC9" s="241" t="str">
        <f>IFERROR(__xludf.DUMMYFUNCTION("""COMPUTED_VALUE"""),"Elmo de Adamantium")</f>
        <v>Elmo de Adamantium</v>
      </c>
      <c r="AD9" s="241"/>
      <c r="AE9" s="241" t="str">
        <f>IFERROR(__xludf.DUMMYFUNCTION("""COMPUTED_VALUE"""),"Medley Floral")</f>
        <v>Medley Floral</v>
      </c>
      <c r="AF9" s="241"/>
      <c r="AG9" s="241" t="str">
        <f>IFERROR(__xludf.DUMMYFUNCTION("""COMPUTED_VALUE"""),"Medley Floral")</f>
        <v>Medley Floral</v>
      </c>
      <c r="AH9" s="241"/>
      <c r="AI9" s="241" t="str">
        <f>IFERROR(__xludf.DUMMYFUNCTION("""COMPUTED_VALUE"""),"Medley Floral")</f>
        <v>Medley Floral</v>
      </c>
      <c r="AJ9" s="242"/>
    </row>
    <row r="10" hidden="1">
      <c r="A10" s="241" t="str">
        <f>IFERROR(__xludf.DUMMYFUNCTION("""COMPUTED_VALUE"""),"Arco do deus do sol")</f>
        <v>Arco do deus do sol</v>
      </c>
      <c r="B10" s="241"/>
      <c r="C10" s="241" t="str">
        <f>IFERROR(__xludf.DUMMYFUNCTION("""COMPUTED_VALUE"""),"Durindana")</f>
        <v>Durindana</v>
      </c>
      <c r="D10" s="241"/>
      <c r="E10" s="241" t="str">
        <f>IFERROR(__xludf.DUMMYFUNCTION("""COMPUTED_VALUE"""),"Durindana")</f>
        <v>Durindana</v>
      </c>
      <c r="F10" s="241"/>
      <c r="G10" s="241" t="str">
        <f>IFERROR(__xludf.DUMMYFUNCTION("""COMPUTED_VALUE"""),"Amaciador")</f>
        <v>Amaciador</v>
      </c>
      <c r="H10" s="241"/>
      <c r="I10" s="241" t="str">
        <f>IFERROR(__xludf.DUMMYFUNCTION("""COMPUTED_VALUE"""),"Arco do deus do sol")</f>
        <v>Arco do deus do sol</v>
      </c>
      <c r="J10" s="241"/>
      <c r="K10" s="241" t="str">
        <f>IFERROR(__xludf.DUMMYFUNCTION("""COMPUTED_VALUE"""),"Guardião das almas")</f>
        <v>Guardião das almas</v>
      </c>
      <c r="L10" s="242"/>
      <c r="M10" s="241" t="str">
        <f>IFERROR(__xludf.DUMMYFUNCTION("""COMPUTED_VALUE"""),"Dublê de Mago")</f>
        <v>Dublê de Mago</v>
      </c>
      <c r="N10" s="241"/>
      <c r="O10" s="241" t="str">
        <f>IFERROR(__xludf.DUMMYFUNCTION("""COMPUTED_VALUE"""),"Malha negra")</f>
        <v>Malha negra</v>
      </c>
      <c r="P10" s="241"/>
      <c r="Q10" s="241" t="str">
        <f>IFERROR(__xludf.DUMMYFUNCTION("""COMPUTED_VALUE"""),"Malha negra")</f>
        <v>Malha negra</v>
      </c>
      <c r="R10" s="241"/>
      <c r="S10" s="241" t="str">
        <f>IFERROR(__xludf.DUMMYFUNCTION("""COMPUTED_VALUE"""),"Couro do Oceano")</f>
        <v>Couro do Oceano</v>
      </c>
      <c r="T10" s="241"/>
      <c r="U10" s="241" t="str">
        <f>IFERROR(__xludf.DUMMYFUNCTION("""COMPUTED_VALUE"""),"Malha negra")</f>
        <v>Malha negra</v>
      </c>
      <c r="V10" s="241"/>
      <c r="W10" s="241" t="str">
        <f>IFERROR(__xludf.DUMMYFUNCTION("""COMPUTED_VALUE"""),"Dublê de Mago")</f>
        <v>Dublê de Mago</v>
      </c>
      <c r="X10" s="242"/>
      <c r="Y10" s="241" t="str">
        <f>IFERROR(__xludf.DUMMYFUNCTION("""COMPUTED_VALUE"""),"Capuz do cultista")</f>
        <v>Capuz do cultista</v>
      </c>
      <c r="Z10" s="241"/>
      <c r="AA10" s="241" t="str">
        <f>IFERROR(__xludf.DUMMYFUNCTION("""COMPUTED_VALUE"""),"Barbuta de Fogo-Gelo")</f>
        <v>Barbuta de Fogo-Gelo</v>
      </c>
      <c r="AB10" s="241"/>
      <c r="AC10" s="241" t="str">
        <f>IFERROR(__xludf.DUMMYFUNCTION("""COMPUTED_VALUE"""),"Barbuta de Fogo-Gelo")</f>
        <v>Barbuta de Fogo-Gelo</v>
      </c>
      <c r="AD10" s="241"/>
      <c r="AE10" s="241" t="str">
        <f>IFERROR(__xludf.DUMMYFUNCTION("""COMPUTED_VALUE"""),"Capuz do cultista")</f>
        <v>Capuz do cultista</v>
      </c>
      <c r="AF10" s="241"/>
      <c r="AG10" s="241" t="str">
        <f>IFERROR(__xludf.DUMMYFUNCTION("""COMPUTED_VALUE"""),"Capuz do cultista")</f>
        <v>Capuz do cultista</v>
      </c>
      <c r="AH10" s="241"/>
      <c r="AI10" s="241" t="str">
        <f>IFERROR(__xludf.DUMMYFUNCTION("""COMPUTED_VALUE"""),"Capuz do cultista")</f>
        <v>Capuz do cultista</v>
      </c>
      <c r="AJ10" s="242"/>
    </row>
    <row r="11" hidden="1">
      <c r="A11" s="241" t="str">
        <f>IFERROR(__xludf.DUMMYFUNCTION("""COMPUTED_VALUE"""),"Fura-Vento")</f>
        <v>Fura-Vento</v>
      </c>
      <c r="B11" s="241"/>
      <c r="C11" s="241" t="str">
        <f>IFERROR(__xludf.DUMMYFUNCTION("""COMPUTED_VALUE"""),"Cyberblade da Internet")</f>
        <v>Cyberblade da Internet</v>
      </c>
      <c r="D11" s="241"/>
      <c r="E11" s="241" t="str">
        <f>IFERROR(__xludf.DUMMYFUNCTION("""COMPUTED_VALUE"""),"Cyberblade da Internet")</f>
        <v>Cyberblade da Internet</v>
      </c>
      <c r="F11" s="241"/>
      <c r="G11" s="241" t="str">
        <f>IFERROR(__xludf.DUMMYFUNCTION("""COMPUTED_VALUE"""),"Rainmakers")</f>
        <v>Rainmakers</v>
      </c>
      <c r="H11" s="241"/>
      <c r="I11" s="241" t="str">
        <f>IFERROR(__xludf.DUMMYFUNCTION("""COMPUTED_VALUE"""),"Fura-Vento")</f>
        <v>Fura-Vento</v>
      </c>
      <c r="J11" s="241"/>
      <c r="K11" s="241" t="str">
        <f>IFERROR(__xludf.DUMMYFUNCTION("""COMPUTED_VALUE"""),"Varinha estilhaçada")</f>
        <v>Varinha estilhaçada</v>
      </c>
      <c r="L11" s="242"/>
      <c r="M11" s="241" t="str">
        <f>IFERROR(__xludf.DUMMYFUNCTION("""COMPUTED_VALUE"""),"Holy Tunic")</f>
        <v>Holy Tunic</v>
      </c>
      <c r="N11" s="241"/>
      <c r="O11" s="241" t="str">
        <f>IFERROR(__xludf.DUMMYFUNCTION("""COMPUTED_VALUE"""),"Wyvern Plate")</f>
        <v>Wyvern Plate</v>
      </c>
      <c r="P11" s="241"/>
      <c r="Q11" s="241" t="str">
        <f>IFERROR(__xludf.DUMMYFUNCTION("""COMPUTED_VALUE"""),"Wyvern Plate")</f>
        <v>Wyvern Plate</v>
      </c>
      <c r="R11" s="241"/>
      <c r="S11" s="241" t="str">
        <f>IFERROR(__xludf.DUMMYFUNCTION("""COMPUTED_VALUE"""),"Colete Místico")</f>
        <v>Colete Místico</v>
      </c>
      <c r="T11" s="241"/>
      <c r="U11" s="241" t="str">
        <f>IFERROR(__xludf.DUMMYFUNCTION("""COMPUTED_VALUE"""),"Wyvern Plate")</f>
        <v>Wyvern Plate</v>
      </c>
      <c r="V11" s="241"/>
      <c r="W11" s="241" t="str">
        <f>IFERROR(__xludf.DUMMYFUNCTION("""COMPUTED_VALUE"""),"Holy Tunic")</f>
        <v>Holy Tunic</v>
      </c>
      <c r="X11" s="242"/>
      <c r="Y11" s="241" t="str">
        <f>IFERROR(__xludf.DUMMYFUNCTION("""COMPUTED_VALUE"""),"Chapéu Ártico")</f>
        <v>Chapéu Ártico</v>
      </c>
      <c r="Z11" s="241"/>
      <c r="AA11" s="241" t="str">
        <f>IFERROR(__xludf.DUMMYFUNCTION("""COMPUTED_VALUE"""),"Inteligência Artifical")</f>
        <v>Inteligência Artifical</v>
      </c>
      <c r="AB11" s="241"/>
      <c r="AC11" s="241" t="str">
        <f>IFERROR(__xludf.DUMMYFUNCTION("""COMPUTED_VALUE"""),"Inteligência Artifical")</f>
        <v>Inteligência Artifical</v>
      </c>
      <c r="AD11" s="241"/>
      <c r="AE11" s="241" t="str">
        <f>IFERROR(__xludf.DUMMYFUNCTION("""COMPUTED_VALUE"""),"Chapéu Ártico")</f>
        <v>Chapéu Ártico</v>
      </c>
      <c r="AF11" s="241"/>
      <c r="AG11" s="241" t="str">
        <f>IFERROR(__xludf.DUMMYFUNCTION("""COMPUTED_VALUE"""),"Chapéu Ártico")</f>
        <v>Chapéu Ártico</v>
      </c>
      <c r="AH11" s="241"/>
      <c r="AI11" s="241" t="str">
        <f>IFERROR(__xludf.DUMMYFUNCTION("""COMPUTED_VALUE"""),"Chapéu Ártico")</f>
        <v>Chapéu Ártico</v>
      </c>
      <c r="AJ11" s="242"/>
    </row>
    <row r="12" hidden="1">
      <c r="A12" s="241" t="str">
        <f>IFERROR(__xludf.DUMMYFUNCTION("""COMPUTED_VALUE"""),"Assassino licantropo")</f>
        <v>Assassino licantropo</v>
      </c>
      <c r="B12" s="241"/>
      <c r="C12" s="241" t="str">
        <f>IFERROR(__xludf.DUMMYFUNCTION("""COMPUTED_VALUE"""),"Skofnung")</f>
        <v>Skofnung</v>
      </c>
      <c r="D12" s="241"/>
      <c r="E12" s="241" t="str">
        <f>IFERROR(__xludf.DUMMYFUNCTION("""COMPUTED_VALUE"""),"Skofnung")</f>
        <v>Skofnung</v>
      </c>
      <c r="F12" s="241"/>
      <c r="G12" s="241" t="str">
        <f>IFERROR(__xludf.DUMMYFUNCTION("""COMPUTED_VALUE"""),"Shattering Core")</f>
        <v>Shattering Core</v>
      </c>
      <c r="H12" s="241"/>
      <c r="I12" s="241" t="str">
        <f>IFERROR(__xludf.DUMMYFUNCTION("""COMPUTED_VALUE"""),"Assassino licantropo")</f>
        <v>Assassino licantropo</v>
      </c>
      <c r="J12" s="241"/>
      <c r="K12" s="241" t="str">
        <f>IFERROR(__xludf.DUMMYFUNCTION("""COMPUTED_VALUE"""),"Cajado necormante")</f>
        <v>Cajado necormante</v>
      </c>
      <c r="L12" s="242"/>
      <c r="M12" s="241" t="str">
        <f>IFERROR(__xludf.DUMMYFUNCTION("""COMPUTED_VALUE"""),"Toga da Alvorada")</f>
        <v>Toga da Alvorada</v>
      </c>
      <c r="N12" s="241"/>
      <c r="O12" s="241"/>
      <c r="P12" s="241"/>
      <c r="Q12" s="241"/>
      <c r="R12" s="241"/>
      <c r="S12" s="241" t="str">
        <f>IFERROR(__xludf.DUMMYFUNCTION("""COMPUTED_VALUE"""),"Esmeralda Marcha")</f>
        <v>Esmeralda Marcha</v>
      </c>
      <c r="T12" s="241"/>
      <c r="U12" s="241" t="str">
        <f>IFERROR(__xludf.DUMMYFUNCTION("""COMPUTED_VALUE"""),"Guaxinim Guardião")</f>
        <v>Guaxinim Guardião</v>
      </c>
      <c r="V12" s="241"/>
      <c r="W12" s="241" t="str">
        <f>IFERROR(__xludf.DUMMYFUNCTION("""COMPUTED_VALUE"""),"Toga da Alvorada")</f>
        <v>Toga da Alvorada</v>
      </c>
      <c r="X12" s="242"/>
      <c r="Y12" s="241" t="str">
        <f>IFERROR(__xludf.DUMMYFUNCTION("""COMPUTED_VALUE"""),"Tiara real")</f>
        <v>Tiara real</v>
      </c>
      <c r="Z12" s="241"/>
      <c r="AA12" s="241" t="str">
        <f>IFERROR(__xludf.DUMMYFUNCTION("""COMPUTED_VALUE"""),"Elmo de Jade")</f>
        <v>Elmo de Jade</v>
      </c>
      <c r="AB12" s="241"/>
      <c r="AC12" s="241" t="str">
        <f>IFERROR(__xludf.DUMMYFUNCTION("""COMPUTED_VALUE"""),"Elmo de Jade")</f>
        <v>Elmo de Jade</v>
      </c>
      <c r="AD12" s="241"/>
      <c r="AE12" s="241" t="str">
        <f>IFERROR(__xludf.DUMMYFUNCTION("""COMPUTED_VALUE"""),"Tiara real")</f>
        <v>Tiara real</v>
      </c>
      <c r="AF12" s="241"/>
      <c r="AG12" s="241" t="str">
        <f>IFERROR(__xludf.DUMMYFUNCTION("""COMPUTED_VALUE"""),"Tiara real")</f>
        <v>Tiara real</v>
      </c>
      <c r="AH12" s="241"/>
      <c r="AI12" s="241" t="str">
        <f>IFERROR(__xludf.DUMMYFUNCTION("""COMPUTED_VALUE"""),"Tiara real")</f>
        <v>Tiara real</v>
      </c>
      <c r="AJ12" s="242"/>
    </row>
    <row r="13" hidden="1">
      <c r="A13" s="241" t="str">
        <f>IFERROR(__xludf.DUMMYFUNCTION("""COMPUTED_VALUE"""),"Arco de Artemisa")</f>
        <v>Arco de Artemisa</v>
      </c>
      <c r="B13" s="241"/>
      <c r="C13" s="241" t="str">
        <f>IFERROR(__xludf.DUMMYFUNCTION("""COMPUTED_VALUE"""),"Olhar Sinistro")</f>
        <v>Olhar Sinistro</v>
      </c>
      <c r="D13" s="241"/>
      <c r="E13" s="241" t="str">
        <f>IFERROR(__xludf.DUMMYFUNCTION("""COMPUTED_VALUE"""),"Olhar Sinistro")</f>
        <v>Olhar Sinistro</v>
      </c>
      <c r="F13" s="241"/>
      <c r="G13" s="241" t="str">
        <f>IFERROR(__xludf.DUMMYFUNCTION("""COMPUTED_VALUE"""),"Pharaoh Flail")</f>
        <v>Pharaoh Flail</v>
      </c>
      <c r="H13" s="241"/>
      <c r="I13" s="241" t="str">
        <f>IFERROR(__xludf.DUMMYFUNCTION("""COMPUTED_VALUE"""),"Arco de Artemisa")</f>
        <v>Arco de Artemisa</v>
      </c>
      <c r="J13" s="241"/>
      <c r="K13" s="241" t="str">
        <f>IFERROR(__xludf.DUMMYFUNCTION("""COMPUTED_VALUE"""),"Luna")</f>
        <v>Luna</v>
      </c>
      <c r="L13" s="242"/>
      <c r="M13" s="241" t="str">
        <f>IFERROR(__xludf.DUMMYFUNCTION("""COMPUTED_VALUE"""),"Celtic Coat")</f>
        <v>Celtic Coat</v>
      </c>
      <c r="N13" s="241"/>
      <c r="O13" s="241"/>
      <c r="P13" s="241"/>
      <c r="Q13" s="241"/>
      <c r="R13" s="241"/>
      <c r="S13" s="241" t="str">
        <f>IFERROR(__xludf.DUMMYFUNCTION("""COMPUTED_VALUE"""),"Corvo Negro")</f>
        <v>Corvo Negro</v>
      </c>
      <c r="T13" s="241"/>
      <c r="U13" s="241" t="str">
        <f>IFERROR(__xludf.DUMMYFUNCTION("""COMPUTED_VALUE"""),"Veste Revestida")</f>
        <v>Veste Revestida</v>
      </c>
      <c r="V13" s="241"/>
      <c r="W13" s="241" t="str">
        <f>IFERROR(__xludf.DUMMYFUNCTION("""COMPUTED_VALUE"""),"Celtic Coat")</f>
        <v>Celtic Coat</v>
      </c>
      <c r="X13" s="242"/>
      <c r="Y13" s="241" t="str">
        <f>IFERROR(__xludf.DUMMYFUNCTION("""COMPUTED_VALUE"""),"Coroa do subterrâneo")</f>
        <v>Coroa do subterrâneo</v>
      </c>
      <c r="Z13" s="241"/>
      <c r="AA13" s="241" t="str">
        <f>IFERROR(__xludf.DUMMYFUNCTION("""COMPUTED_VALUE"""),"Viper Headdress")</f>
        <v>Viper Headdress</v>
      </c>
      <c r="AB13" s="241"/>
      <c r="AC13" s="241" t="str">
        <f>IFERROR(__xludf.DUMMYFUNCTION("""COMPUTED_VALUE"""),"Viper Headdress")</f>
        <v>Viper Headdress</v>
      </c>
      <c r="AD13" s="241"/>
      <c r="AE13" s="241" t="str">
        <f>IFERROR(__xludf.DUMMYFUNCTION("""COMPUTED_VALUE"""),"Coroa do subterrâneo")</f>
        <v>Coroa do subterrâneo</v>
      </c>
      <c r="AF13" s="241"/>
      <c r="AG13" s="241" t="str">
        <f>IFERROR(__xludf.DUMMYFUNCTION("""COMPUTED_VALUE"""),"Coroa do subterrâneo")</f>
        <v>Coroa do subterrâneo</v>
      </c>
      <c r="AH13" s="241"/>
      <c r="AI13" s="241" t="str">
        <f>IFERROR(__xludf.DUMMYFUNCTION("""COMPUTED_VALUE"""),"Coroa do subterrâneo")</f>
        <v>Coroa do subterrâneo</v>
      </c>
      <c r="AJ13" s="242"/>
    </row>
    <row r="14" hidden="1">
      <c r="A14" s="241" t="str">
        <f>IFERROR(__xludf.DUMMYFUNCTION("""COMPUTED_VALUE"""),"Meteoros")</f>
        <v>Meteoros</v>
      </c>
      <c r="B14" s="241"/>
      <c r="C14" s="241" t="str">
        <f>IFERROR(__xludf.DUMMYFUNCTION("""COMPUTED_VALUE"""),"Ponta Perseguidora")</f>
        <v>Ponta Perseguidora</v>
      </c>
      <c r="D14" s="241"/>
      <c r="E14" s="241" t="str">
        <f>IFERROR(__xludf.DUMMYFUNCTION("""COMPUTED_VALUE"""),"Ponta Perseguidora")</f>
        <v>Ponta Perseguidora</v>
      </c>
      <c r="F14" s="241"/>
      <c r="G14" s="241" t="str">
        <f>IFERROR(__xludf.DUMMYFUNCTION("""COMPUTED_VALUE"""),"Rifle")</f>
        <v>Rifle</v>
      </c>
      <c r="H14" s="241"/>
      <c r="I14" s="241" t="str">
        <f>IFERROR(__xludf.DUMMYFUNCTION("""COMPUTED_VALUE"""),"Meteoros")</f>
        <v>Meteoros</v>
      </c>
      <c r="J14" s="241"/>
      <c r="K14" s="241" t="str">
        <f>IFERROR(__xludf.DUMMYFUNCTION("""COMPUTED_VALUE"""),"Cetro da Pixie")</f>
        <v>Cetro da Pixie</v>
      </c>
      <c r="L14" s="242"/>
      <c r="M14" s="241" t="str">
        <f>IFERROR(__xludf.DUMMYFUNCTION("""COMPUTED_VALUE"""),"Guaxinim Guardião")</f>
        <v>Guaxinim Guardião</v>
      </c>
      <c r="N14" s="241"/>
      <c r="O14" s="241"/>
      <c r="P14" s="241"/>
      <c r="Q14" s="241"/>
      <c r="R14" s="241"/>
      <c r="S14" s="241" t="str">
        <f>IFERROR(__xludf.DUMMYFUNCTION("""COMPUTED_VALUE"""),"Couraça Real")</f>
        <v>Couraça Real</v>
      </c>
      <c r="T14" s="241"/>
      <c r="U14" s="241" t="str">
        <f>IFERROR(__xludf.DUMMYFUNCTION("""COMPUTED_VALUE"""),"Couro com óleo")</f>
        <v>Couro com óleo</v>
      </c>
      <c r="V14" s="241"/>
      <c r="W14" s="241"/>
      <c r="X14" s="242"/>
      <c r="Y14" s="241" t="str">
        <f>IFERROR(__xludf.DUMMYFUNCTION("""COMPUTED_VALUE"""),"Chapéu Carangueijo")</f>
        <v>Chapéu Carangueijo</v>
      </c>
      <c r="Z14" s="241"/>
      <c r="AA14" s="241" t="str">
        <f>IFERROR(__xludf.DUMMYFUNCTION("""COMPUTED_VALUE"""),"Coroa Serrilhada")</f>
        <v>Coroa Serrilhada</v>
      </c>
      <c r="AB14" s="241"/>
      <c r="AC14" s="241" t="str">
        <f>IFERROR(__xludf.DUMMYFUNCTION("""COMPUTED_VALUE"""),"Coroa Serrilhada")</f>
        <v>Coroa Serrilhada</v>
      </c>
      <c r="AD14" s="241"/>
      <c r="AE14" s="241" t="str">
        <f>IFERROR(__xludf.DUMMYFUNCTION("""COMPUTED_VALUE"""),"Chapéu Carangueijo")</f>
        <v>Chapéu Carangueijo</v>
      </c>
      <c r="AF14" s="241"/>
      <c r="AG14" s="241" t="str">
        <f>IFERROR(__xludf.DUMMYFUNCTION("""COMPUTED_VALUE"""),"Chapéu Carangueijo")</f>
        <v>Chapéu Carangueijo</v>
      </c>
      <c r="AH14" s="241"/>
      <c r="AI14" s="241" t="str">
        <f>IFERROR(__xludf.DUMMYFUNCTION("""COMPUTED_VALUE"""),"Chapéu Carangueijo")</f>
        <v>Chapéu Carangueijo</v>
      </c>
      <c r="AJ14" s="242"/>
    </row>
    <row r="15" hidden="1">
      <c r="A15" s="241" t="str">
        <f>IFERROR(__xludf.DUMMYFUNCTION("""COMPUTED_VALUE"""),"Fúria da Natureza")</f>
        <v>Fúria da Natureza</v>
      </c>
      <c r="B15" s="241"/>
      <c r="C15" s="241" t="str">
        <f>IFERROR(__xludf.DUMMYFUNCTION("""COMPUTED_VALUE"""),"Ponta de Veneno")</f>
        <v>Ponta de Veneno</v>
      </c>
      <c r="D15" s="241"/>
      <c r="E15" s="241" t="str">
        <f>IFERROR(__xludf.DUMMYFUNCTION("""COMPUTED_VALUE"""),"Ponta de Veneno")</f>
        <v>Ponta de Veneno</v>
      </c>
      <c r="F15" s="241"/>
      <c r="G15" s="241" t="str">
        <f>IFERROR(__xludf.DUMMYFUNCTION("""COMPUTED_VALUE"""),"Espingarda Negra")</f>
        <v>Espingarda Negra</v>
      </c>
      <c r="H15" s="241"/>
      <c r="I15" s="241" t="str">
        <f>IFERROR(__xludf.DUMMYFUNCTION("""COMPUTED_VALUE"""),"Fúria da Natureza")</f>
        <v>Fúria da Natureza</v>
      </c>
      <c r="J15" s="241"/>
      <c r="K15" s="241" t="str">
        <f>IFERROR(__xludf.DUMMYFUNCTION("""COMPUTED_VALUE"""),"Adaga Branca")</f>
        <v>Adaga Branca</v>
      </c>
      <c r="L15" s="242"/>
      <c r="M15" s="241" t="str">
        <f>IFERROR(__xludf.DUMMYFUNCTION("""COMPUTED_VALUE"""),"Veste Revestida")</f>
        <v>Veste Revestida</v>
      </c>
      <c r="N15" s="241"/>
      <c r="O15" s="241"/>
      <c r="P15" s="241"/>
      <c r="Q15" s="241"/>
      <c r="R15" s="241"/>
      <c r="S15" s="241" t="str">
        <f>IFERROR(__xludf.DUMMYFUNCTION("""COMPUTED_VALUE"""),"Invincible Scales")</f>
        <v>Invincible Scales</v>
      </c>
      <c r="T15" s="241"/>
      <c r="U15" s="241" t="str">
        <f>IFERROR(__xludf.DUMMYFUNCTION("""COMPUTED_VALUE"""),"Pele de Serpente")</f>
        <v>Pele de Serpente</v>
      </c>
      <c r="V15" s="241"/>
      <c r="W15" s="241"/>
      <c r="X15" s="242"/>
      <c r="Y15" s="241" t="str">
        <f>IFERROR(__xludf.DUMMYFUNCTION("""COMPUTED_VALUE"""),"Capô de Guerra")</f>
        <v>Capô de Guerra</v>
      </c>
      <c r="Z15" s="241"/>
      <c r="AA15" s="241"/>
      <c r="AB15" s="241"/>
      <c r="AC15" s="241"/>
      <c r="AD15" s="241"/>
      <c r="AE15" s="241" t="str">
        <f>IFERROR(__xludf.DUMMYFUNCTION("""COMPUTED_VALUE"""),"Capô de Guerra")</f>
        <v>Capô de Guerra</v>
      </c>
      <c r="AF15" s="241"/>
      <c r="AG15" s="241" t="str">
        <f>IFERROR(__xludf.DUMMYFUNCTION("""COMPUTED_VALUE"""),"Capô de Guerra")</f>
        <v>Capô de Guerra</v>
      </c>
      <c r="AH15" s="241"/>
      <c r="AI15" s="241" t="str">
        <f>IFERROR(__xludf.DUMMYFUNCTION("""COMPUTED_VALUE"""),"Capô de Guerra")</f>
        <v>Capô de Guerra</v>
      </c>
      <c r="AJ15" s="242"/>
    </row>
    <row r="16" hidden="1">
      <c r="A16" s="241" t="str">
        <f>IFERROR(__xludf.DUMMYFUNCTION("""COMPUTED_VALUE"""),"Lâmina de fogo")</f>
        <v>Lâmina de fogo</v>
      </c>
      <c r="B16" s="241"/>
      <c r="C16" s="241" t="str">
        <f>IFERROR(__xludf.DUMMYFUNCTION("""COMPUTED_VALUE"""),"Lança Pesca")</f>
        <v>Lança Pesca</v>
      </c>
      <c r="D16" s="241"/>
      <c r="E16" s="241" t="str">
        <f>IFERROR(__xludf.DUMMYFUNCTION("""COMPUTED_VALUE"""),"Lança Pesca")</f>
        <v>Lança Pesca</v>
      </c>
      <c r="F16" s="241"/>
      <c r="G16" s="241" t="str">
        <f>IFERROR(__xludf.DUMMYFUNCTION("""COMPUTED_VALUE"""),"Conquistador")</f>
        <v>Conquistador</v>
      </c>
      <c r="H16" s="241"/>
      <c r="I16" s="241" t="str">
        <f>IFERROR(__xludf.DUMMYFUNCTION("""COMPUTED_VALUE"""),"Lâmina de fogo")</f>
        <v>Lâmina de fogo</v>
      </c>
      <c r="J16" s="241"/>
      <c r="K16" s="241" t="str">
        <f>IFERROR(__xludf.DUMMYFUNCTION("""COMPUTED_VALUE"""),"Coração Rubro")</f>
        <v>Coração Rubro</v>
      </c>
      <c r="L16" s="242"/>
      <c r="M16" s="241" t="str">
        <f>IFERROR(__xludf.DUMMYFUNCTION("""COMPUTED_VALUE"""),"Couro com óleo")</f>
        <v>Couro com óleo</v>
      </c>
      <c r="N16" s="241"/>
      <c r="O16" s="241"/>
      <c r="P16" s="241"/>
      <c r="Q16" s="241"/>
      <c r="R16" s="241"/>
      <c r="S16" s="241"/>
      <c r="T16" s="241"/>
      <c r="U16" s="241" t="str">
        <f>IFERROR(__xludf.DUMMYFUNCTION("""COMPUTED_VALUE"""),"Platemail de Aquiles")</f>
        <v>Platemail de Aquiles</v>
      </c>
      <c r="V16" s="241"/>
      <c r="W16" s="241"/>
      <c r="X16" s="242"/>
      <c r="Y16" s="241"/>
      <c r="Z16" s="241"/>
      <c r="AA16" s="241"/>
      <c r="AB16" s="241"/>
      <c r="AC16" s="241"/>
      <c r="AD16" s="241"/>
      <c r="AE16" s="241"/>
      <c r="AF16" s="241"/>
      <c r="AG16" s="241" t="str">
        <f>IFERROR(__xludf.DUMMYFUNCTION("""COMPUTED_VALUE"""),"Coifa da Lua")</f>
        <v>Coifa da Lua</v>
      </c>
      <c r="AH16" s="241"/>
      <c r="AI16" s="241"/>
      <c r="AJ16" s="242"/>
    </row>
    <row r="17" hidden="1">
      <c r="A17" s="241" t="str">
        <f>IFERROR(__xludf.DUMMYFUNCTION("""COMPUTED_VALUE"""),"Espada Vorpal")</f>
        <v>Espada Vorpal</v>
      </c>
      <c r="B17" s="241"/>
      <c r="C17" s="241" t="str">
        <f>IFERROR(__xludf.DUMMYFUNCTION("""COMPUTED_VALUE"""),"Garfo de prata")</f>
        <v>Garfo de prata</v>
      </c>
      <c r="D17" s="241"/>
      <c r="E17" s="241" t="str">
        <f>IFERROR(__xludf.DUMMYFUNCTION("""COMPUTED_VALUE"""),"Garfo de prata")</f>
        <v>Garfo de prata</v>
      </c>
      <c r="F17" s="241"/>
      <c r="G17" s="241" t="str">
        <f>IFERROR(__xludf.DUMMYFUNCTION("""COMPUTED_VALUE"""),"A Respiração de Dragão")</f>
        <v>A Respiração de Dragão</v>
      </c>
      <c r="H17" s="241"/>
      <c r="I17" s="241" t="str">
        <f>IFERROR(__xludf.DUMMYFUNCTION("""COMPUTED_VALUE"""),"Espada Vorpal")</f>
        <v>Espada Vorpal</v>
      </c>
      <c r="J17" s="241"/>
      <c r="K17" s="241" t="str">
        <f>IFERROR(__xludf.DUMMYFUNCTION("""COMPUTED_VALUE"""),"Katar Fantasma")</f>
        <v>Katar Fantasma</v>
      </c>
      <c r="L17" s="242"/>
      <c r="M17" s="241" t="str">
        <f>IFERROR(__xludf.DUMMYFUNCTION("""COMPUTED_VALUE"""),"Pele de Serpente")</f>
        <v>Pele de Serpente</v>
      </c>
      <c r="N17" s="241"/>
      <c r="O17" s="241"/>
      <c r="P17" s="241"/>
      <c r="Q17" s="241"/>
      <c r="R17" s="241"/>
      <c r="S17" s="241"/>
      <c r="T17" s="241"/>
      <c r="U17" s="241" t="str">
        <f>IFERROR(__xludf.DUMMYFUNCTION("""COMPUTED_VALUE"""),"Revestimento de Couro Pirata")</f>
        <v>Revestimento de Couro Pirata</v>
      </c>
      <c r="V17" s="241"/>
      <c r="W17" s="241"/>
      <c r="X17" s="242"/>
      <c r="Y17" s="241"/>
      <c r="Z17" s="241"/>
      <c r="AA17" s="241"/>
      <c r="AB17" s="241"/>
      <c r="AC17" s="241"/>
      <c r="AD17" s="241"/>
      <c r="AE17" s="241"/>
      <c r="AF17" s="241"/>
      <c r="AG17" s="241" t="str">
        <f>IFERROR(__xludf.DUMMYFUNCTION("""COMPUTED_VALUE"""),"Elmo do Paladino")</f>
        <v>Elmo do Paladino</v>
      </c>
      <c r="AH17" s="241"/>
      <c r="AI17" s="241"/>
      <c r="AJ17" s="242"/>
    </row>
    <row r="18" hidden="1">
      <c r="A18" s="241" t="str">
        <f>IFERROR(__xludf.DUMMYFUNCTION("""COMPUTED_VALUE"""),"Aço frio")</f>
        <v>Aço frio</v>
      </c>
      <c r="B18" s="241"/>
      <c r="C18" s="241" t="str">
        <f>IFERROR(__xludf.DUMMYFUNCTION("""COMPUTED_VALUE"""),"Voulgue da Lua")</f>
        <v>Voulgue da Lua</v>
      </c>
      <c r="D18" s="241"/>
      <c r="E18" s="241" t="str">
        <f>IFERROR(__xludf.DUMMYFUNCTION("""COMPUTED_VALUE"""),"Voulgue da Lua")</f>
        <v>Voulgue da Lua</v>
      </c>
      <c r="F18" s="241"/>
      <c r="G18" s="241" t="str">
        <f>IFERROR(__xludf.DUMMYFUNCTION("""COMPUTED_VALUE"""),"Arcabuz de relíquia")</f>
        <v>Arcabuz de relíquia</v>
      </c>
      <c r="H18" s="241"/>
      <c r="I18" s="241" t="str">
        <f>IFERROR(__xludf.DUMMYFUNCTION("""COMPUTED_VALUE"""),"Aço frio")</f>
        <v>Aço frio</v>
      </c>
      <c r="J18" s="241"/>
      <c r="K18" s="241" t="str">
        <f>IFERROR(__xludf.DUMMYFUNCTION("""COMPUTED_VALUE"""),"Sweet Surprise")</f>
        <v>Sweet Surprise</v>
      </c>
      <c r="L18" s="242"/>
      <c r="M18" s="241" t="str">
        <f>IFERROR(__xludf.DUMMYFUNCTION("""COMPUTED_VALUE"""),"Platemail de Aquiles")</f>
        <v>Platemail de Aquiles</v>
      </c>
      <c r="N18" s="241"/>
      <c r="O18" s="241"/>
      <c r="P18" s="241"/>
      <c r="Q18" s="241"/>
      <c r="R18" s="241"/>
      <c r="S18" s="241"/>
      <c r="T18" s="241"/>
      <c r="U18" s="241" t="str">
        <f>IFERROR(__xludf.DUMMYFUNCTION("""COMPUTED_VALUE"""),"Shadow Lurker")</f>
        <v>Shadow Lurker</v>
      </c>
      <c r="V18" s="241"/>
      <c r="W18" s="241"/>
      <c r="X18" s="242"/>
      <c r="Y18" s="241"/>
      <c r="Z18" s="241"/>
      <c r="AA18" s="241"/>
      <c r="AB18" s="241"/>
      <c r="AC18" s="241"/>
      <c r="AD18" s="241"/>
      <c r="AE18" s="241"/>
      <c r="AF18" s="241"/>
      <c r="AG18" s="241" t="str">
        <f>IFERROR(__xludf.DUMMYFUNCTION("""COMPUTED_VALUE"""),"Elmo Congelado")</f>
        <v>Elmo Congelado</v>
      </c>
      <c r="AH18" s="241"/>
      <c r="AI18" s="241"/>
      <c r="AJ18" s="242"/>
    </row>
    <row r="19" hidden="1">
      <c r="A19" s="241" t="str">
        <f>IFERROR(__xludf.DUMMYFUNCTION("""COMPUTED_VALUE"""),"Espada de Relíquia")</f>
        <v>Espada de Relíquia</v>
      </c>
      <c r="B19" s="241"/>
      <c r="C19" s="241" t="str">
        <f>IFERROR(__xludf.DUMMYFUNCTION("""COMPUTED_VALUE"""),"Espeto da Noite")</f>
        <v>Espeto da Noite</v>
      </c>
      <c r="D19" s="241"/>
      <c r="E19" s="241" t="str">
        <f>IFERROR(__xludf.DUMMYFUNCTION("""COMPUTED_VALUE"""),"Espeto da Noite")</f>
        <v>Espeto da Noite</v>
      </c>
      <c r="F19" s="241"/>
      <c r="G19" s="241" t="str">
        <f>IFERROR(__xludf.DUMMYFUNCTION("""COMPUTED_VALUE"""),"Julgamento")</f>
        <v>Julgamento</v>
      </c>
      <c r="H19" s="241"/>
      <c r="I19" s="241" t="str">
        <f>IFERROR(__xludf.DUMMYFUNCTION("""COMPUTED_VALUE"""),"Espada de Relíquia")</f>
        <v>Espada de Relíquia</v>
      </c>
      <c r="J19" s="241"/>
      <c r="K19" s="241" t="str">
        <f>IFERROR(__xludf.DUMMYFUNCTION("""COMPUTED_VALUE"""),"Traidora")</f>
        <v>Traidora</v>
      </c>
      <c r="L19" s="242"/>
      <c r="M19" s="241" t="str">
        <f>IFERROR(__xludf.DUMMYFUNCTION("""COMPUTED_VALUE"""),"Revestimento de Couro Pirata")</f>
        <v>Revestimento de Couro Pirata</v>
      </c>
      <c r="N19" s="241"/>
      <c r="O19" s="241"/>
      <c r="P19" s="241"/>
      <c r="Q19" s="241"/>
      <c r="R19" s="241"/>
      <c r="S19" s="241"/>
      <c r="T19" s="241"/>
      <c r="U19" s="241" t="str">
        <f>IFERROR(__xludf.DUMMYFUNCTION("""COMPUTED_VALUE"""),"Pele de Dragão")</f>
        <v>Pele de Dragão</v>
      </c>
      <c r="V19" s="241"/>
      <c r="W19" s="241"/>
      <c r="X19" s="242"/>
      <c r="Y19" s="241"/>
      <c r="Z19" s="241"/>
      <c r="AA19" s="241"/>
      <c r="AB19" s="241"/>
      <c r="AC19" s="241"/>
      <c r="AD19" s="241"/>
      <c r="AE19" s="241"/>
      <c r="AF19" s="241"/>
      <c r="AG19" s="241" t="str">
        <f>IFERROR(__xludf.DUMMYFUNCTION("""COMPUTED_VALUE"""),"Elmo do Aventureiro")</f>
        <v>Elmo do Aventureiro</v>
      </c>
      <c r="AH19" s="241"/>
      <c r="AI19" s="241"/>
      <c r="AJ19" s="242"/>
    </row>
    <row r="20" hidden="1">
      <c r="A20" s="241" t="str">
        <f>IFERROR(__xludf.DUMMYFUNCTION("""COMPUTED_VALUE"""),"Marca Abissal")</f>
        <v>Marca Abissal</v>
      </c>
      <c r="B20" s="241"/>
      <c r="C20" s="241" t="str">
        <f>IFERROR(__xludf.DUMMYFUNCTION("""COMPUTED_VALUE"""),"Raio Divino")</f>
        <v>Raio Divino</v>
      </c>
      <c r="D20" s="241"/>
      <c r="E20" s="241" t="str">
        <f>IFERROR(__xludf.DUMMYFUNCTION("""COMPUTED_VALUE"""),"Raio Divino")</f>
        <v>Raio Divino</v>
      </c>
      <c r="F20" s="241"/>
      <c r="G20" s="241" t="str">
        <f>IFERROR(__xludf.DUMMYFUNCTION("""COMPUTED_VALUE"""),"Lança Bombas")</f>
        <v>Lança Bombas</v>
      </c>
      <c r="H20" s="241"/>
      <c r="I20" s="241" t="str">
        <f>IFERROR(__xludf.DUMMYFUNCTION("""COMPUTED_VALUE"""),"Marca Abissal")</f>
        <v>Marca Abissal</v>
      </c>
      <c r="J20" s="241"/>
      <c r="K20" s="241" t="str">
        <f>IFERROR(__xludf.DUMMYFUNCTION("""COMPUTED_VALUE"""),"Sete Estrelas")</f>
        <v>Sete Estrelas</v>
      </c>
      <c r="L20" s="242"/>
      <c r="M20" s="241" t="str">
        <f>IFERROR(__xludf.DUMMYFUNCTION("""COMPUTED_VALUE"""),"Shadow Lurker")</f>
        <v>Shadow Lurker</v>
      </c>
      <c r="N20" s="241"/>
      <c r="O20" s="241"/>
      <c r="P20" s="241"/>
      <c r="Q20" s="241"/>
      <c r="R20" s="241"/>
      <c r="S20" s="241"/>
      <c r="T20" s="241"/>
      <c r="U20" s="241" t="str">
        <f>IFERROR(__xludf.DUMMYFUNCTION("""COMPUTED_VALUE"""),"Vampire Hunter")</f>
        <v>Vampire Hunter</v>
      </c>
      <c r="V20" s="241"/>
      <c r="W20" s="241"/>
      <c r="X20" s="242"/>
      <c r="Y20" s="241"/>
      <c r="Z20" s="241"/>
      <c r="AA20" s="241"/>
      <c r="AB20" s="241"/>
      <c r="AC20" s="241"/>
      <c r="AD20" s="241"/>
      <c r="AE20" s="241"/>
      <c r="AF20" s="241"/>
      <c r="AG20" s="241" t="str">
        <f>IFERROR(__xludf.DUMMYFUNCTION("""COMPUTED_VALUE"""),"Elmo da Fênix")</f>
        <v>Elmo da Fênix</v>
      </c>
      <c r="AH20" s="241"/>
      <c r="AI20" s="241"/>
      <c r="AJ20" s="242"/>
    </row>
    <row r="21" hidden="1">
      <c r="A21" s="241" t="str">
        <f>IFERROR(__xludf.DUMMYFUNCTION("""COMPUTED_VALUE"""),"Tempestuosa")</f>
        <v>Tempestuosa</v>
      </c>
      <c r="B21" s="241"/>
      <c r="C21" s="241" t="str">
        <f>IFERROR(__xludf.DUMMYFUNCTION("""COMPUTED_VALUE"""),"Pique Fangtiano")</f>
        <v>Pique Fangtiano</v>
      </c>
      <c r="D21" s="241"/>
      <c r="E21" s="241" t="str">
        <f>IFERROR(__xludf.DUMMYFUNCTION("""COMPUTED_VALUE"""),"Pique Fangtiano")</f>
        <v>Pique Fangtiano</v>
      </c>
      <c r="F21" s="241"/>
      <c r="G21" s="241" t="str">
        <f>IFERROR(__xludf.DUMMYFUNCTION("""COMPUTED_VALUE"""),"Guerra Nórdica")</f>
        <v>Guerra Nórdica</v>
      </c>
      <c r="H21" s="241"/>
      <c r="I21" s="241" t="str">
        <f>IFERROR(__xludf.DUMMYFUNCTION("""COMPUTED_VALUE"""),"Tempestuosa")</f>
        <v>Tempestuosa</v>
      </c>
      <c r="J21" s="241"/>
      <c r="K21" s="241" t="str">
        <f>IFERROR(__xludf.DUMMYFUNCTION("""COMPUTED_VALUE"""),"Presa de Dragão")</f>
        <v>Presa de Dragão</v>
      </c>
      <c r="L21" s="242"/>
      <c r="M21" s="241" t="str">
        <f>IFERROR(__xludf.DUMMYFUNCTION("""COMPUTED_VALUE"""),"Pele de Dragão")</f>
        <v>Pele de Dragão</v>
      </c>
      <c r="N21" s="241"/>
      <c r="O21" s="241"/>
      <c r="P21" s="241"/>
      <c r="Q21" s="241"/>
      <c r="R21" s="241"/>
      <c r="S21" s="241"/>
      <c r="T21" s="241"/>
      <c r="U21" s="241" t="str">
        <f>IFERROR(__xludf.DUMMYFUNCTION("""COMPUTED_VALUE"""),"Couro do Oceano")</f>
        <v>Couro do Oceano</v>
      </c>
      <c r="V21" s="241"/>
      <c r="W21" s="241"/>
      <c r="X21" s="242"/>
      <c r="Y21" s="241"/>
      <c r="Z21" s="241"/>
      <c r="AA21" s="241"/>
      <c r="AB21" s="241"/>
      <c r="AC21" s="241"/>
      <c r="AD21" s="241"/>
      <c r="AE21" s="241"/>
      <c r="AF21" s="241"/>
      <c r="AG21" s="241" t="str">
        <f>IFERROR(__xludf.DUMMYFUNCTION("""COMPUTED_VALUE"""),"Elmo de Guerra de Lu Bu")</f>
        <v>Elmo de Guerra de Lu Bu</v>
      </c>
      <c r="AH21" s="241"/>
      <c r="AI21" s="241"/>
      <c r="AJ21" s="242"/>
    </row>
    <row r="22" hidden="1">
      <c r="A22" s="241" t="str">
        <f>IFERROR(__xludf.DUMMYFUNCTION("""COMPUTED_VALUE"""),"Balmung")</f>
        <v>Balmung</v>
      </c>
      <c r="B22" s="241"/>
      <c r="C22" s="241" t="str">
        <f>IFERROR(__xludf.DUMMYFUNCTION("""COMPUTED_VALUE"""),"Alabarda de Obsidiana")</f>
        <v>Alabarda de Obsidiana</v>
      </c>
      <c r="D22" s="241"/>
      <c r="E22" s="241" t="str">
        <f>IFERROR(__xludf.DUMMYFUNCTION("""COMPUTED_VALUE"""),"Alabarda de Obsidiana")</f>
        <v>Alabarda de Obsidiana</v>
      </c>
      <c r="F22" s="241"/>
      <c r="G22" s="241" t="str">
        <f>IFERROR(__xludf.DUMMYFUNCTION("""COMPUTED_VALUE"""),"Pilgrim Blunderbus")</f>
        <v>Pilgrim Blunderbus</v>
      </c>
      <c r="H22" s="241"/>
      <c r="I22" s="241" t="str">
        <f>IFERROR(__xludf.DUMMYFUNCTION("""COMPUTED_VALUE"""),"Balmung")</f>
        <v>Balmung</v>
      </c>
      <c r="J22" s="241"/>
      <c r="K22" s="241" t="str">
        <f>IFERROR(__xludf.DUMMYFUNCTION("""COMPUTED_VALUE"""),"Punhal Indiano")</f>
        <v>Punhal Indiano</v>
      </c>
      <c r="L22" s="242"/>
      <c r="M22" s="241" t="str">
        <f>IFERROR(__xludf.DUMMYFUNCTION("""COMPUTED_VALUE"""),"Vampire Hunter")</f>
        <v>Vampire Hunter</v>
      </c>
      <c r="N22" s="241"/>
      <c r="O22" s="241"/>
      <c r="P22" s="241"/>
      <c r="Q22" s="241"/>
      <c r="R22" s="241"/>
      <c r="S22" s="241"/>
      <c r="T22" s="241"/>
      <c r="U22" s="241" t="str">
        <f>IFERROR(__xludf.DUMMYFUNCTION("""COMPUTED_VALUE"""),"Colete Místico")</f>
        <v>Colete Místico</v>
      </c>
      <c r="V22" s="241"/>
      <c r="W22" s="241"/>
      <c r="X22" s="242"/>
      <c r="Y22" s="241"/>
      <c r="Z22" s="241"/>
      <c r="AA22" s="241"/>
      <c r="AB22" s="241"/>
      <c r="AC22" s="241"/>
      <c r="AD22" s="241"/>
      <c r="AE22" s="241"/>
      <c r="AF22" s="241"/>
      <c r="AG22" s="241" t="str">
        <f>IFERROR(__xludf.DUMMYFUNCTION("""COMPUTED_VALUE"""),"Elmo de Escamas de Dragão")</f>
        <v>Elmo de Escamas de Dragão</v>
      </c>
      <c r="AH22" s="241"/>
      <c r="AI22" s="241"/>
      <c r="AJ22" s="242"/>
    </row>
    <row r="23" hidden="1">
      <c r="A23" s="241" t="str">
        <f>IFERROR(__xludf.DUMMYFUNCTION("""COMPUTED_VALUE"""),"Mata-Dragão")</f>
        <v>Mata-Dragão</v>
      </c>
      <c r="B23" s="241"/>
      <c r="C23" s="241" t="str">
        <f>IFERROR(__xludf.DUMMYFUNCTION("""COMPUTED_VALUE"""),"Tridente Primordial")</f>
        <v>Tridente Primordial</v>
      </c>
      <c r="D23" s="241"/>
      <c r="E23" s="241" t="str">
        <f>IFERROR(__xludf.DUMMYFUNCTION("""COMPUTED_VALUE"""),"Tridente Primordial")</f>
        <v>Tridente Primordial</v>
      </c>
      <c r="F23" s="241"/>
      <c r="G23" s="241" t="str">
        <f>IFERROR(__xludf.DUMMYFUNCTION("""COMPUTED_VALUE"""),"Pistola de Pirata")</f>
        <v>Pistola de Pirata</v>
      </c>
      <c r="H23" s="241"/>
      <c r="I23" s="241" t="str">
        <f>IFERROR(__xludf.DUMMYFUNCTION("""COMPUTED_VALUE"""),"Mata-Dragão")</f>
        <v>Mata-Dragão</v>
      </c>
      <c r="J23" s="241"/>
      <c r="K23" s="241" t="str">
        <f>IFERROR(__xludf.DUMMYFUNCTION("""COMPUTED_VALUE"""),"Adaga de Obsidiana")</f>
        <v>Adaga de Obsidiana</v>
      </c>
      <c r="L23" s="242"/>
      <c r="M23" s="241" t="str">
        <f>IFERROR(__xludf.DUMMYFUNCTION("""COMPUTED_VALUE"""),"Couro do Oceano")</f>
        <v>Couro do Oceano</v>
      </c>
      <c r="N23" s="241"/>
      <c r="O23" s="241"/>
      <c r="P23" s="241"/>
      <c r="Q23" s="241"/>
      <c r="R23" s="241"/>
      <c r="S23" s="241"/>
      <c r="T23" s="241"/>
      <c r="U23" s="241" t="str">
        <f>IFERROR(__xludf.DUMMYFUNCTION("""COMPUTED_VALUE"""),"Esmeralda Marcha")</f>
        <v>Esmeralda Marcha</v>
      </c>
      <c r="V23" s="241"/>
      <c r="W23" s="241"/>
      <c r="X23" s="242"/>
      <c r="Y23" s="241"/>
      <c r="Z23" s="241"/>
      <c r="AA23" s="241"/>
      <c r="AB23" s="241"/>
      <c r="AC23" s="241"/>
      <c r="AD23" s="241"/>
      <c r="AE23" s="241"/>
      <c r="AF23" s="241"/>
      <c r="AG23" s="241" t="str">
        <f>IFERROR(__xludf.DUMMYFUNCTION("""COMPUTED_VALUE"""),"Coroa de Korra")</f>
        <v>Coroa de Korra</v>
      </c>
      <c r="AH23" s="241"/>
      <c r="AI23" s="241"/>
      <c r="AJ23" s="242"/>
    </row>
    <row r="24" hidden="1">
      <c r="A24" s="241" t="str">
        <f>IFERROR(__xludf.DUMMYFUNCTION("""COMPUTED_VALUE"""),"Lâmina do Fogo-gelo")</f>
        <v>Lâmina do Fogo-gelo</v>
      </c>
      <c r="B24" s="241"/>
      <c r="C24" s="241" t="str">
        <f>IFERROR(__xludf.DUMMYFUNCTION("""COMPUTED_VALUE"""),"Gungnir")</f>
        <v>Gungnir</v>
      </c>
      <c r="D24" s="241"/>
      <c r="E24" s="241" t="str">
        <f>IFERROR(__xludf.DUMMYFUNCTION("""COMPUTED_VALUE"""),"Gungnir")</f>
        <v>Gungnir</v>
      </c>
      <c r="F24" s="241"/>
      <c r="G24" s="241" t="str">
        <f>IFERROR(__xludf.DUMMYFUNCTION("""COMPUTED_VALUE"""),"Arma Grandona")</f>
        <v>Arma Grandona</v>
      </c>
      <c r="H24" s="241"/>
      <c r="I24" s="241" t="str">
        <f>IFERROR(__xludf.DUMMYFUNCTION("""COMPUTED_VALUE"""),"Lâmina do Fogo-gelo")</f>
        <v>Lâmina do Fogo-gelo</v>
      </c>
      <c r="J24" s="241"/>
      <c r="K24" s="241" t="str">
        <f>IFERROR(__xludf.DUMMYFUNCTION("""COMPUTED_VALUE"""),"Canivete Afótico")</f>
        <v>Canivete Afótico</v>
      </c>
      <c r="L24" s="242"/>
      <c r="M24" s="241" t="str">
        <f>IFERROR(__xludf.DUMMYFUNCTION("""COMPUTED_VALUE"""),"Colete Místico")</f>
        <v>Colete Místico</v>
      </c>
      <c r="N24" s="241"/>
      <c r="O24" s="241"/>
      <c r="P24" s="241"/>
      <c r="Q24" s="241"/>
      <c r="R24" s="241"/>
      <c r="S24" s="241"/>
      <c r="T24" s="241"/>
      <c r="U24" s="241" t="str">
        <f>IFERROR(__xludf.DUMMYFUNCTION("""COMPUTED_VALUE"""),"Corvo Negro")</f>
        <v>Corvo Negro</v>
      </c>
      <c r="V24" s="241"/>
      <c r="W24" s="241"/>
      <c r="X24" s="242"/>
      <c r="Y24" s="241"/>
      <c r="Z24" s="241"/>
      <c r="AA24" s="241"/>
      <c r="AB24" s="241"/>
      <c r="AC24" s="241"/>
      <c r="AD24" s="241"/>
      <c r="AE24" s="241"/>
      <c r="AF24" s="241"/>
      <c r="AG24" s="241" t="str">
        <f>IFERROR(__xludf.DUMMYFUNCTION("""COMPUTED_VALUE"""),"Elmo de Adamantium")</f>
        <v>Elmo de Adamantium</v>
      </c>
      <c r="AH24" s="241"/>
      <c r="AI24" s="241"/>
      <c r="AJ24" s="242"/>
    </row>
    <row r="25" hidden="1">
      <c r="A25" s="241" t="str">
        <f>IFERROR(__xludf.DUMMYFUNCTION("""COMPUTED_VALUE"""),"Durindana")</f>
        <v>Durindana</v>
      </c>
      <c r="B25" s="241"/>
      <c r="C25" s="241" t="str">
        <f>IFERROR(__xludf.DUMMYFUNCTION("""COMPUTED_VALUE"""),"Perfurador Abrasador")</f>
        <v>Perfurador Abrasador</v>
      </c>
      <c r="D25" s="241"/>
      <c r="E25" s="241" t="str">
        <f>IFERROR(__xludf.DUMMYFUNCTION("""COMPUTED_VALUE"""),"Perfurador Abrasador")</f>
        <v>Perfurador Abrasador</v>
      </c>
      <c r="F25" s="241"/>
      <c r="G25" s="241" t="str">
        <f>IFERROR(__xludf.DUMMYFUNCTION("""COMPUTED_VALUE"""),"Lança Estacas")</f>
        <v>Lança Estacas</v>
      </c>
      <c r="H25" s="241"/>
      <c r="I25" s="241" t="str">
        <f>IFERROR(__xludf.DUMMYFUNCTION("""COMPUTED_VALUE"""),"Durindana")</f>
        <v>Durindana</v>
      </c>
      <c r="J25" s="241"/>
      <c r="K25" s="241" t="str">
        <f>IFERROR(__xludf.DUMMYFUNCTION("""COMPUTED_VALUE"""),"Adaga Primordial")</f>
        <v>Adaga Primordial</v>
      </c>
      <c r="L25" s="242"/>
      <c r="M25" s="241" t="str">
        <f>IFERROR(__xludf.DUMMYFUNCTION("""COMPUTED_VALUE"""),"Esmeralda Marcha")</f>
        <v>Esmeralda Marcha</v>
      </c>
      <c r="N25" s="241"/>
      <c r="O25" s="241"/>
      <c r="P25" s="241"/>
      <c r="Q25" s="241"/>
      <c r="R25" s="241"/>
      <c r="S25" s="241"/>
      <c r="T25" s="241"/>
      <c r="U25" s="241" t="str">
        <f>IFERROR(__xludf.DUMMYFUNCTION("""COMPUTED_VALUE"""),"Couraça Real")</f>
        <v>Couraça Real</v>
      </c>
      <c r="V25" s="241"/>
      <c r="W25" s="241"/>
      <c r="X25" s="242"/>
      <c r="Y25" s="241"/>
      <c r="Z25" s="241"/>
      <c r="AA25" s="241"/>
      <c r="AB25" s="241"/>
      <c r="AC25" s="241"/>
      <c r="AD25" s="241"/>
      <c r="AE25" s="241"/>
      <c r="AF25" s="241"/>
      <c r="AG25" s="241" t="str">
        <f>IFERROR(__xludf.DUMMYFUNCTION("""COMPUTED_VALUE"""),"Barbuta de Fogo-Gelo")</f>
        <v>Barbuta de Fogo-Gelo</v>
      </c>
      <c r="AH25" s="241"/>
      <c r="AI25" s="241"/>
      <c r="AJ25" s="242"/>
    </row>
    <row r="26" hidden="1">
      <c r="A26" s="241" t="str">
        <f>IFERROR(__xludf.DUMMYFUNCTION("""COMPUTED_VALUE"""),"Cyberblade da Internet")</f>
        <v>Cyberblade da Internet</v>
      </c>
      <c r="B26" s="241"/>
      <c r="C26" s="241" t="str">
        <f>IFERROR(__xludf.DUMMYFUNCTION("""COMPUTED_VALUE"""),"Rebelião")</f>
        <v>Rebelião</v>
      </c>
      <c r="D26" s="241"/>
      <c r="E26" s="241" t="str">
        <f>IFERROR(__xludf.DUMMYFUNCTION("""COMPUTED_VALUE"""),"Rebelião")</f>
        <v>Rebelião</v>
      </c>
      <c r="F26" s="241"/>
      <c r="G26" s="241" t="str">
        <f>IFERROR(__xludf.DUMMYFUNCTION("""COMPUTED_VALUE"""),"Disparo do Demônio")</f>
        <v>Disparo do Demônio</v>
      </c>
      <c r="H26" s="241"/>
      <c r="I26" s="241" t="str">
        <f>IFERROR(__xludf.DUMMYFUNCTION("""COMPUTED_VALUE"""),"Cyberblade da Internet")</f>
        <v>Cyberblade da Internet</v>
      </c>
      <c r="J26" s="241"/>
      <c r="K26" s="241" t="str">
        <f>IFERROR(__xludf.DUMMYFUNCTION("""COMPUTED_VALUE"""),"Mistilteinn")</f>
        <v>Mistilteinn</v>
      </c>
      <c r="L26" s="242"/>
      <c r="M26" s="241" t="str">
        <f>IFERROR(__xludf.DUMMYFUNCTION("""COMPUTED_VALUE"""),"Corvo Negro")</f>
        <v>Corvo Negro</v>
      </c>
      <c r="N26" s="241"/>
      <c r="O26" s="241"/>
      <c r="P26" s="241"/>
      <c r="Q26" s="241"/>
      <c r="R26" s="241"/>
      <c r="S26" s="241"/>
      <c r="T26" s="241"/>
      <c r="U26" s="241" t="str">
        <f>IFERROR(__xludf.DUMMYFUNCTION("""COMPUTED_VALUE"""),"Invincible Scales")</f>
        <v>Invincible Scales</v>
      </c>
      <c r="V26" s="241"/>
      <c r="W26" s="241"/>
      <c r="X26" s="242"/>
      <c r="Y26" s="241"/>
      <c r="Z26" s="241"/>
      <c r="AA26" s="241"/>
      <c r="AB26" s="241"/>
      <c r="AC26" s="241"/>
      <c r="AD26" s="241"/>
      <c r="AE26" s="241"/>
      <c r="AF26" s="241"/>
      <c r="AG26" s="241" t="str">
        <f>IFERROR(__xludf.DUMMYFUNCTION("""COMPUTED_VALUE"""),"Inteligência Artifical")</f>
        <v>Inteligência Artifical</v>
      </c>
      <c r="AH26" s="241"/>
      <c r="AI26" s="241"/>
      <c r="AJ26" s="242"/>
    </row>
    <row r="27" hidden="1">
      <c r="A27" s="241" t="str">
        <f>IFERROR(__xludf.DUMMYFUNCTION("""COMPUTED_VALUE"""),"Skofnung")</f>
        <v>Skofnung</v>
      </c>
      <c r="B27" s="241"/>
      <c r="C27" s="241" t="str">
        <f>IFERROR(__xludf.DUMMYFUNCTION("""COMPUTED_VALUE"""),"Scorpion Tail")</f>
        <v>Scorpion Tail</v>
      </c>
      <c r="D27" s="241"/>
      <c r="E27" s="241" t="str">
        <f>IFERROR(__xludf.DUMMYFUNCTION("""COMPUTED_VALUE"""),"Scorpion Tail")</f>
        <v>Scorpion Tail</v>
      </c>
      <c r="F27" s="241"/>
      <c r="G27" s="241" t="str">
        <f>IFERROR(__xludf.DUMMYFUNCTION("""COMPUTED_VALUE"""),"Dragon Fire")</f>
        <v>Dragon Fire</v>
      </c>
      <c r="H27" s="241"/>
      <c r="I27" s="241" t="str">
        <f>IFERROR(__xludf.DUMMYFUNCTION("""COMPUTED_VALUE"""),"Skofnung")</f>
        <v>Skofnung</v>
      </c>
      <c r="J27" s="241"/>
      <c r="K27" s="241" t="str">
        <f>IFERROR(__xludf.DUMMYFUNCTION("""COMPUTED_VALUE"""),"Ponta Perseguidora")</f>
        <v>Ponta Perseguidora</v>
      </c>
      <c r="L27" s="242"/>
      <c r="M27" s="241" t="str">
        <f>IFERROR(__xludf.DUMMYFUNCTION("""COMPUTED_VALUE"""),"Couraça Real")</f>
        <v>Couraça Real</v>
      </c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2"/>
      <c r="Y27" s="241"/>
      <c r="Z27" s="241"/>
      <c r="AA27" s="241"/>
      <c r="AB27" s="241"/>
      <c r="AC27" s="241"/>
      <c r="AD27" s="241"/>
      <c r="AE27" s="241"/>
      <c r="AF27" s="241"/>
      <c r="AG27" s="241" t="str">
        <f>IFERROR(__xludf.DUMMYFUNCTION("""COMPUTED_VALUE"""),"Elmo de Jade")</f>
        <v>Elmo de Jade</v>
      </c>
      <c r="AH27" s="241"/>
      <c r="AI27" s="241"/>
      <c r="AJ27" s="242"/>
    </row>
    <row r="28" hidden="1">
      <c r="A28" s="241" t="str">
        <f>IFERROR(__xludf.DUMMYFUNCTION("""COMPUTED_VALUE"""),"Olhar Sinistro")</f>
        <v>Olhar Sinistro</v>
      </c>
      <c r="B28" s="241"/>
      <c r="C28" s="241" t="str">
        <f>IFERROR(__xludf.DUMMYFUNCTION("""COMPUTED_VALUE"""),"Tiamat")</f>
        <v>Tiamat</v>
      </c>
      <c r="D28" s="241"/>
      <c r="E28" s="241" t="str">
        <f>IFERROR(__xludf.DUMMYFUNCTION("""COMPUTED_VALUE"""),"Tiamat")</f>
        <v>Tiamat</v>
      </c>
      <c r="F28" s="241"/>
      <c r="G28" s="241" t="str">
        <f>IFERROR(__xludf.DUMMYFUNCTION("""COMPUTED_VALUE"""),"Arma Pirata")</f>
        <v>Arma Pirata</v>
      </c>
      <c r="H28" s="241"/>
      <c r="I28" s="241" t="str">
        <f>IFERROR(__xludf.DUMMYFUNCTION("""COMPUTED_VALUE"""),"Olhar Sinistro")</f>
        <v>Olhar Sinistro</v>
      </c>
      <c r="J28" s="241"/>
      <c r="K28" s="241" t="str">
        <f>IFERROR(__xludf.DUMMYFUNCTION("""COMPUTED_VALUE"""),"Ponta de Veneno")</f>
        <v>Ponta de Veneno</v>
      </c>
      <c r="L28" s="242"/>
      <c r="M28" s="241" t="str">
        <f>IFERROR(__xludf.DUMMYFUNCTION("""COMPUTED_VALUE"""),"Invincible Scales")</f>
        <v>Invincible Scales</v>
      </c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2"/>
      <c r="Y28" s="241"/>
      <c r="Z28" s="241"/>
      <c r="AA28" s="241"/>
      <c r="AB28" s="241"/>
      <c r="AC28" s="241"/>
      <c r="AD28" s="241"/>
      <c r="AE28" s="241"/>
      <c r="AF28" s="241"/>
      <c r="AG28" s="241" t="str">
        <f>IFERROR(__xludf.DUMMYFUNCTION("""COMPUTED_VALUE"""),"Viper Headdress")</f>
        <v>Viper Headdress</v>
      </c>
      <c r="AH28" s="241"/>
      <c r="AI28" s="241"/>
      <c r="AJ28" s="242"/>
    </row>
    <row r="29" hidden="1">
      <c r="A29" s="241" t="str">
        <f>IFERROR(__xludf.DUMMYFUNCTION("""COMPUTED_VALUE"""),"Adaga Branca")</f>
        <v>Adaga Branca</v>
      </c>
      <c r="B29" s="241"/>
      <c r="C29" s="241" t="str">
        <f>IFERROR(__xludf.DUMMYFUNCTION("""COMPUTED_VALUE"""),"Machado de Berserker")</f>
        <v>Machado de Berserker</v>
      </c>
      <c r="D29" s="241"/>
      <c r="E29" s="241" t="str">
        <f>IFERROR(__xludf.DUMMYFUNCTION("""COMPUTED_VALUE"""),"Machado de Berserker")</f>
        <v>Machado de Berserker</v>
      </c>
      <c r="F29" s="241"/>
      <c r="G29" s="241"/>
      <c r="H29" s="241"/>
      <c r="I29" s="241" t="str">
        <f>IFERROR(__xludf.DUMMYFUNCTION("""COMPUTED_VALUE"""),"Ponta Perseguidora")</f>
        <v>Ponta Perseguidora</v>
      </c>
      <c r="J29" s="241"/>
      <c r="K29" s="241" t="str">
        <f>IFERROR(__xludf.DUMMYFUNCTION("""COMPUTED_VALUE"""),"Lança Pesca")</f>
        <v>Lança Pesca</v>
      </c>
      <c r="L29" s="242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2"/>
      <c r="Y29" s="241"/>
      <c r="Z29" s="241"/>
      <c r="AA29" s="241"/>
      <c r="AB29" s="241"/>
      <c r="AC29" s="241"/>
      <c r="AD29" s="241"/>
      <c r="AE29" s="241"/>
      <c r="AF29" s="241"/>
      <c r="AG29" s="241" t="str">
        <f>IFERROR(__xludf.DUMMYFUNCTION("""COMPUTED_VALUE"""),"Coroa Serrilhada")</f>
        <v>Coroa Serrilhada</v>
      </c>
      <c r="AH29" s="241"/>
      <c r="AI29" s="241"/>
      <c r="AJ29" s="242"/>
    </row>
    <row r="30" hidden="1">
      <c r="A30" s="241" t="str">
        <f>IFERROR(__xludf.DUMMYFUNCTION("""COMPUTED_VALUE"""),"Coração Rubro")</f>
        <v>Coração Rubro</v>
      </c>
      <c r="B30" s="241"/>
      <c r="C30" s="241" t="str">
        <f>IFERROR(__xludf.DUMMYFUNCTION("""COMPUTED_VALUE"""),"Presa Afiada")</f>
        <v>Presa Afiada</v>
      </c>
      <c r="D30" s="241"/>
      <c r="E30" s="241" t="str">
        <f>IFERROR(__xludf.DUMMYFUNCTION("""COMPUTED_VALUE"""),"Presa Afiada")</f>
        <v>Presa Afiada</v>
      </c>
      <c r="F30" s="241"/>
      <c r="G30" s="241"/>
      <c r="H30" s="241"/>
      <c r="I30" s="241" t="str">
        <f>IFERROR(__xludf.DUMMYFUNCTION("""COMPUTED_VALUE"""),"Ponta de Veneno")</f>
        <v>Ponta de Veneno</v>
      </c>
      <c r="J30" s="241"/>
      <c r="K30" s="241" t="str">
        <f>IFERROR(__xludf.DUMMYFUNCTION("""COMPUTED_VALUE"""),"Garfo de prata")</f>
        <v>Garfo de prata</v>
      </c>
      <c r="L30" s="242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2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2"/>
    </row>
    <row r="31" hidden="1">
      <c r="A31" s="241" t="str">
        <f>IFERROR(__xludf.DUMMYFUNCTION("""COMPUTED_VALUE"""),"Katar Fantasma")</f>
        <v>Katar Fantasma</v>
      </c>
      <c r="B31" s="241"/>
      <c r="C31" s="241" t="str">
        <f>IFERROR(__xludf.DUMMYFUNCTION("""COMPUTED_VALUE"""),"Faz Viúva")</f>
        <v>Faz Viúva</v>
      </c>
      <c r="D31" s="241"/>
      <c r="E31" s="241" t="str">
        <f>IFERROR(__xludf.DUMMYFUNCTION("""COMPUTED_VALUE"""),"Faz Viúva")</f>
        <v>Faz Viúva</v>
      </c>
      <c r="F31" s="241"/>
      <c r="G31" s="241"/>
      <c r="H31" s="241"/>
      <c r="I31" s="241" t="str">
        <f>IFERROR(__xludf.DUMMYFUNCTION("""COMPUTED_VALUE"""),"Lança Pesca")</f>
        <v>Lança Pesca</v>
      </c>
      <c r="J31" s="241"/>
      <c r="K31" s="241" t="str">
        <f>IFERROR(__xludf.DUMMYFUNCTION("""COMPUTED_VALUE"""),"Voulgue da Lua")</f>
        <v>Voulgue da Lua</v>
      </c>
      <c r="L31" s="242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2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2"/>
    </row>
    <row r="32" hidden="1">
      <c r="A32" s="241" t="str">
        <f>IFERROR(__xludf.DUMMYFUNCTION("""COMPUTED_VALUE"""),"Sweet Surprise")</f>
        <v>Sweet Surprise</v>
      </c>
      <c r="B32" s="241"/>
      <c r="C32" s="241" t="str">
        <f>IFERROR(__xludf.DUMMYFUNCTION("""COMPUTED_VALUE"""),"Ira infernal")</f>
        <v>Ira infernal</v>
      </c>
      <c r="D32" s="241"/>
      <c r="E32" s="241" t="str">
        <f>IFERROR(__xludf.DUMMYFUNCTION("""COMPUTED_VALUE"""),"Ira infernal")</f>
        <v>Ira infernal</v>
      </c>
      <c r="F32" s="241"/>
      <c r="G32" s="241"/>
      <c r="H32" s="241"/>
      <c r="I32" s="241" t="str">
        <f>IFERROR(__xludf.DUMMYFUNCTION("""COMPUTED_VALUE"""),"Garfo de prata")</f>
        <v>Garfo de prata</v>
      </c>
      <c r="J32" s="241"/>
      <c r="K32" s="241" t="str">
        <f>IFERROR(__xludf.DUMMYFUNCTION("""COMPUTED_VALUE"""),"Espeto da Noite")</f>
        <v>Espeto da Noite</v>
      </c>
      <c r="L32" s="242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2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2"/>
    </row>
    <row r="33" hidden="1">
      <c r="A33" s="241" t="str">
        <f>IFERROR(__xludf.DUMMYFUNCTION("""COMPUTED_VALUE"""),"Traidora")</f>
        <v>Traidora</v>
      </c>
      <c r="B33" s="241"/>
      <c r="C33" s="241" t="str">
        <f>IFERROR(__xludf.DUMMYFUNCTION("""COMPUTED_VALUE"""),"Lâmina do Ragnarok")</f>
        <v>Lâmina do Ragnarok</v>
      </c>
      <c r="D33" s="241"/>
      <c r="E33" s="241" t="str">
        <f>IFERROR(__xludf.DUMMYFUNCTION("""COMPUTED_VALUE"""),"Lâmina do Ragnarok")</f>
        <v>Lâmina do Ragnarok</v>
      </c>
      <c r="F33" s="241"/>
      <c r="G33" s="241"/>
      <c r="H33" s="241"/>
      <c r="I33" s="241" t="str">
        <f>IFERROR(__xludf.DUMMYFUNCTION("""COMPUTED_VALUE"""),"Voulgue da Lua")</f>
        <v>Voulgue da Lua</v>
      </c>
      <c r="J33" s="241"/>
      <c r="K33" s="241" t="str">
        <f>IFERROR(__xludf.DUMMYFUNCTION("""COMPUTED_VALUE"""),"Raio Divino")</f>
        <v>Raio Divino</v>
      </c>
      <c r="L33" s="242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2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2"/>
    </row>
    <row r="34" hidden="1">
      <c r="A34" s="241" t="str">
        <f>IFERROR(__xludf.DUMMYFUNCTION("""COMPUTED_VALUE"""),"Sete Estrelas")</f>
        <v>Sete Estrelas</v>
      </c>
      <c r="B34" s="241"/>
      <c r="C34" s="241" t="str">
        <f>IFERROR(__xludf.DUMMYFUNCTION("""COMPUTED_VALUE"""),"Machado Irado")</f>
        <v>Machado Irado</v>
      </c>
      <c r="D34" s="241"/>
      <c r="E34" s="241" t="str">
        <f>IFERROR(__xludf.DUMMYFUNCTION("""COMPUTED_VALUE"""),"Machado Irado")</f>
        <v>Machado Irado</v>
      </c>
      <c r="F34" s="241"/>
      <c r="G34" s="241"/>
      <c r="H34" s="241"/>
      <c r="I34" s="241" t="str">
        <f>IFERROR(__xludf.DUMMYFUNCTION("""COMPUTED_VALUE"""),"Espeto da Noite")</f>
        <v>Espeto da Noite</v>
      </c>
      <c r="J34" s="241"/>
      <c r="K34" s="241" t="str">
        <f>IFERROR(__xludf.DUMMYFUNCTION("""COMPUTED_VALUE"""),"Pique Fangtiano")</f>
        <v>Pique Fangtiano</v>
      </c>
      <c r="L34" s="242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2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2"/>
    </row>
    <row r="35" hidden="1">
      <c r="A35" s="241" t="str">
        <f>IFERROR(__xludf.DUMMYFUNCTION("""COMPUTED_VALUE"""),"Presa de Dragão")</f>
        <v>Presa de Dragão</v>
      </c>
      <c r="B35" s="241"/>
      <c r="C35" s="241" t="str">
        <f>IFERROR(__xludf.DUMMYFUNCTION("""COMPUTED_VALUE"""),"Machado da Sombra")</f>
        <v>Machado da Sombra</v>
      </c>
      <c r="D35" s="241"/>
      <c r="E35" s="241" t="str">
        <f>IFERROR(__xludf.DUMMYFUNCTION("""COMPUTED_VALUE"""),"Machado da Sombra")</f>
        <v>Machado da Sombra</v>
      </c>
      <c r="F35" s="241"/>
      <c r="G35" s="241"/>
      <c r="H35" s="241"/>
      <c r="I35" s="241" t="str">
        <f>IFERROR(__xludf.DUMMYFUNCTION("""COMPUTED_VALUE"""),"Raio Divino")</f>
        <v>Raio Divino</v>
      </c>
      <c r="J35" s="241"/>
      <c r="K35" s="241" t="str">
        <f>IFERROR(__xludf.DUMMYFUNCTION("""COMPUTED_VALUE"""),"Alabarda de Obsidiana")</f>
        <v>Alabarda de Obsidiana</v>
      </c>
      <c r="L35" s="242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2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2"/>
    </row>
    <row r="36" hidden="1">
      <c r="A36" s="241" t="str">
        <f>IFERROR(__xludf.DUMMYFUNCTION("""COMPUTED_VALUE"""),"Punhal Indiano")</f>
        <v>Punhal Indiano</v>
      </c>
      <c r="B36" s="241"/>
      <c r="C36" s="241" t="str">
        <f>IFERROR(__xludf.DUMMYFUNCTION("""COMPUTED_VALUE"""),"Labrys de Hefesto")</f>
        <v>Labrys de Hefesto</v>
      </c>
      <c r="D36" s="241"/>
      <c r="E36" s="241" t="str">
        <f>IFERROR(__xludf.DUMMYFUNCTION("""COMPUTED_VALUE"""),"Labrys de Hefesto")</f>
        <v>Labrys de Hefesto</v>
      </c>
      <c r="F36" s="241"/>
      <c r="G36" s="241"/>
      <c r="H36" s="241"/>
      <c r="I36" s="241" t="str">
        <f>IFERROR(__xludf.DUMMYFUNCTION("""COMPUTED_VALUE"""),"Pique Fangtiano")</f>
        <v>Pique Fangtiano</v>
      </c>
      <c r="J36" s="241"/>
      <c r="K36" s="241" t="str">
        <f>IFERROR(__xludf.DUMMYFUNCTION("""COMPUTED_VALUE"""),"Tridente Primordial")</f>
        <v>Tridente Primordial</v>
      </c>
      <c r="L36" s="242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2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2"/>
    </row>
    <row r="37" hidden="1">
      <c r="A37" s="241" t="str">
        <f>IFERROR(__xludf.DUMMYFUNCTION("""COMPUTED_VALUE"""),"Adaga de Obsidiana")</f>
        <v>Adaga de Obsidiana</v>
      </c>
      <c r="B37" s="241"/>
      <c r="C37" s="241" t="str">
        <f>IFERROR(__xludf.DUMMYFUNCTION("""COMPUTED_VALUE"""),"Forseti's Axe")</f>
        <v>Forseti's Axe</v>
      </c>
      <c r="D37" s="241"/>
      <c r="E37" s="241" t="str">
        <f>IFERROR(__xludf.DUMMYFUNCTION("""COMPUTED_VALUE"""),"Forseti's Axe")</f>
        <v>Forseti's Axe</v>
      </c>
      <c r="F37" s="241"/>
      <c r="G37" s="241"/>
      <c r="H37" s="241"/>
      <c r="I37" s="241" t="str">
        <f>IFERROR(__xludf.DUMMYFUNCTION("""COMPUTED_VALUE"""),"Alabarda de Obsidiana")</f>
        <v>Alabarda de Obsidiana</v>
      </c>
      <c r="J37" s="241"/>
      <c r="K37" s="241" t="str">
        <f>IFERROR(__xludf.DUMMYFUNCTION("""COMPUTED_VALUE"""),"Gungnir")</f>
        <v>Gungnir</v>
      </c>
      <c r="L37" s="242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2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2"/>
    </row>
    <row r="38" hidden="1">
      <c r="A38" s="241" t="str">
        <f>IFERROR(__xludf.DUMMYFUNCTION("""COMPUTED_VALUE"""),"Canivete Afótico")</f>
        <v>Canivete Afótico</v>
      </c>
      <c r="B38" s="241"/>
      <c r="C38" s="241" t="str">
        <f>IFERROR(__xludf.DUMMYFUNCTION("""COMPUTED_VALUE"""),"Estrela D'alva")</f>
        <v>Estrela D'alva</v>
      </c>
      <c r="D38" s="241"/>
      <c r="E38" s="241" t="str">
        <f>IFERROR(__xludf.DUMMYFUNCTION("""COMPUTED_VALUE"""),"Estrela D'alva")</f>
        <v>Estrela D'alva</v>
      </c>
      <c r="F38" s="241"/>
      <c r="G38" s="241"/>
      <c r="H38" s="241"/>
      <c r="I38" s="241" t="str">
        <f>IFERROR(__xludf.DUMMYFUNCTION("""COMPUTED_VALUE"""),"Tridente Primordial")</f>
        <v>Tridente Primordial</v>
      </c>
      <c r="J38" s="241"/>
      <c r="K38" s="241" t="str">
        <f>IFERROR(__xludf.DUMMYFUNCTION("""COMPUTED_VALUE"""),"Perfurador Abrasador")</f>
        <v>Perfurador Abrasador</v>
      </c>
      <c r="L38" s="242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2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2"/>
    </row>
    <row r="39" hidden="1">
      <c r="A39" s="241" t="str">
        <f>IFERROR(__xludf.DUMMYFUNCTION("""COMPUTED_VALUE"""),"Adaga Primordial")</f>
        <v>Adaga Primordial</v>
      </c>
      <c r="B39" s="241"/>
      <c r="C39" s="241" t="str">
        <f>IFERROR(__xludf.DUMMYFUNCTION("""COMPUTED_VALUE"""),"Tronco de árvore")</f>
        <v>Tronco de árvore</v>
      </c>
      <c r="D39" s="241"/>
      <c r="E39" s="241" t="str">
        <f>IFERROR(__xludf.DUMMYFUNCTION("""COMPUTED_VALUE"""),"Tronco de árvore")</f>
        <v>Tronco de árvore</v>
      </c>
      <c r="F39" s="241"/>
      <c r="G39" s="241"/>
      <c r="H39" s="241"/>
      <c r="I39" s="241" t="str">
        <f>IFERROR(__xludf.DUMMYFUNCTION("""COMPUTED_VALUE"""),"Gungnir")</f>
        <v>Gungnir</v>
      </c>
      <c r="J39" s="241"/>
      <c r="K39" s="241" t="str">
        <f>IFERROR(__xludf.DUMMYFUNCTION("""COMPUTED_VALUE"""),"Rebelião")</f>
        <v>Rebelião</v>
      </c>
      <c r="L39" s="242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2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2"/>
    </row>
    <row r="40" hidden="1">
      <c r="A40" s="241" t="str">
        <f>IFERROR(__xludf.DUMMYFUNCTION("""COMPUTED_VALUE"""),"Mistilteinn")</f>
        <v>Mistilteinn</v>
      </c>
      <c r="B40" s="241"/>
      <c r="C40" s="241" t="str">
        <f>IFERROR(__xludf.DUMMYFUNCTION("""COMPUTED_VALUE"""),"Martelo-Punho")</f>
        <v>Martelo-Punho</v>
      </c>
      <c r="D40" s="241"/>
      <c r="E40" s="241" t="str">
        <f>IFERROR(__xludf.DUMMYFUNCTION("""COMPUTED_VALUE"""),"Martelo-Punho")</f>
        <v>Martelo-Punho</v>
      </c>
      <c r="F40" s="241"/>
      <c r="G40" s="241"/>
      <c r="H40" s="241"/>
      <c r="I40" s="241" t="str">
        <f>IFERROR(__xludf.DUMMYFUNCTION("""COMPUTED_VALUE"""),"Perfurador Abrasador")</f>
        <v>Perfurador Abrasador</v>
      </c>
      <c r="J40" s="241"/>
      <c r="K40" s="241" t="str">
        <f>IFERROR(__xludf.DUMMYFUNCTION("""COMPUTED_VALUE"""),"Scorpion Tail")</f>
        <v>Scorpion Tail</v>
      </c>
      <c r="L40" s="242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2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2"/>
    </row>
    <row r="41" hidden="1">
      <c r="A41" s="241" t="str">
        <f>IFERROR(__xludf.DUMMYFUNCTION("""COMPUTED_VALUE"""),"Rifle")</f>
        <v>Rifle</v>
      </c>
      <c r="B41" s="241"/>
      <c r="C41" s="241" t="str">
        <f>IFERROR(__xludf.DUMMYFUNCTION("""COMPUTED_VALUE"""),"Cetro Real")</f>
        <v>Cetro Real</v>
      </c>
      <c r="D41" s="241"/>
      <c r="E41" s="241" t="str">
        <f>IFERROR(__xludf.DUMMYFUNCTION("""COMPUTED_VALUE"""),"Cetro Real")</f>
        <v>Cetro Real</v>
      </c>
      <c r="F41" s="241"/>
      <c r="G41" s="241"/>
      <c r="H41" s="241"/>
      <c r="I41" s="241" t="str">
        <f>IFERROR(__xludf.DUMMYFUNCTION("""COMPUTED_VALUE"""),"Rebelião")</f>
        <v>Rebelião</v>
      </c>
      <c r="J41" s="241"/>
      <c r="K41" s="241"/>
      <c r="L41" s="242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2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</row>
    <row r="42" hidden="1">
      <c r="A42" s="241" t="str">
        <f>IFERROR(__xludf.DUMMYFUNCTION("""COMPUTED_VALUE"""),"Espingarda Negra")</f>
        <v>Espingarda Negra</v>
      </c>
      <c r="B42" s="241"/>
      <c r="C42" s="241" t="str">
        <f>IFERROR(__xludf.DUMMYFUNCTION("""COMPUTED_VALUE"""),"Martelo Relíquia")</f>
        <v>Martelo Relíquia</v>
      </c>
      <c r="D42" s="241"/>
      <c r="E42" s="241" t="str">
        <f>IFERROR(__xludf.DUMMYFUNCTION("""COMPUTED_VALUE"""),"Martelo Relíquia")</f>
        <v>Martelo Relíquia</v>
      </c>
      <c r="F42" s="241"/>
      <c r="G42" s="241"/>
      <c r="H42" s="241"/>
      <c r="I42" s="241" t="str">
        <f>IFERROR(__xludf.DUMMYFUNCTION("""COMPUTED_VALUE"""),"Scorpion Tail")</f>
        <v>Scorpion Tail</v>
      </c>
      <c r="J42" s="241"/>
      <c r="K42" s="241"/>
      <c r="L42" s="242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2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2"/>
    </row>
    <row r="43" hidden="1">
      <c r="A43" s="241" t="str">
        <f>IFERROR(__xludf.DUMMYFUNCTION("""COMPUTED_VALUE"""),"Conquistador")</f>
        <v>Conquistador</v>
      </c>
      <c r="B43" s="241"/>
      <c r="C43" s="241" t="str">
        <f>IFERROR(__xludf.DUMMYFUNCTION("""COMPUTED_VALUE"""),"Apocalipto")</f>
        <v>Apocalipto</v>
      </c>
      <c r="D43" s="241"/>
      <c r="E43" s="241" t="str">
        <f>IFERROR(__xludf.DUMMYFUNCTION("""COMPUTED_VALUE"""),"Apocalipto")</f>
        <v>Apocalipto</v>
      </c>
      <c r="F43" s="241"/>
      <c r="G43" s="241"/>
      <c r="H43" s="241"/>
      <c r="I43" s="241"/>
      <c r="J43" s="241"/>
      <c r="K43" s="241"/>
      <c r="L43" s="242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2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2"/>
    </row>
    <row r="44" hidden="1">
      <c r="A44" s="241" t="str">
        <f>IFERROR(__xludf.DUMMYFUNCTION("""COMPUTED_VALUE"""),"A Respiração de Dragão")</f>
        <v>A Respiração de Dragão</v>
      </c>
      <c r="B44" s="241"/>
      <c r="C44" s="241" t="str">
        <f>IFERROR(__xludf.DUMMYFUNCTION("""COMPUTED_VALUE"""),"Estrela Noturna")</f>
        <v>Estrela Noturna</v>
      </c>
      <c r="D44" s="241"/>
      <c r="E44" s="241" t="str">
        <f>IFERROR(__xludf.DUMMYFUNCTION("""COMPUTED_VALUE"""),"Estrela Noturna")</f>
        <v>Estrela Noturna</v>
      </c>
      <c r="F44" s="241"/>
      <c r="G44" s="241"/>
      <c r="H44" s="241"/>
      <c r="I44" s="241"/>
      <c r="J44" s="241"/>
      <c r="K44" s="241"/>
      <c r="L44" s="242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2"/>
    </row>
    <row r="45" hidden="1">
      <c r="A45" s="241" t="str">
        <f>IFERROR(__xludf.DUMMYFUNCTION("""COMPUTED_VALUE"""),"Arcabuz de relíquia")</f>
        <v>Arcabuz de relíquia</v>
      </c>
      <c r="B45" s="241"/>
      <c r="C45" s="241" t="str">
        <f>IFERROR(__xludf.DUMMYFUNCTION("""COMPUTED_VALUE"""),"Cem-Toneladas")</f>
        <v>Cem-Toneladas</v>
      </c>
      <c r="D45" s="241"/>
      <c r="E45" s="241" t="str">
        <f>IFERROR(__xludf.DUMMYFUNCTION("""COMPUTED_VALUE"""),"Cem-Toneladas")</f>
        <v>Cem-Toneladas</v>
      </c>
      <c r="F45" s="241"/>
      <c r="G45" s="241"/>
      <c r="H45" s="241"/>
      <c r="I45" s="241"/>
      <c r="J45" s="241"/>
      <c r="K45" s="241"/>
      <c r="L45" s="242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2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2"/>
    </row>
    <row r="46" hidden="1">
      <c r="A46" s="241" t="str">
        <f>IFERROR(__xludf.DUMMYFUNCTION("""COMPUTED_VALUE"""),"Julgamento")</f>
        <v>Julgamento</v>
      </c>
      <c r="B46" s="241"/>
      <c r="C46" s="241" t="str">
        <f>IFERROR(__xludf.DUMMYFUNCTION("""COMPUTED_VALUE"""),"Esmagador")</f>
        <v>Esmagador</v>
      </c>
      <c r="D46" s="241"/>
      <c r="E46" s="241" t="str">
        <f>IFERROR(__xludf.DUMMYFUNCTION("""COMPUTED_VALUE"""),"Esmagador")</f>
        <v>Esmagador</v>
      </c>
      <c r="F46" s="241"/>
      <c r="G46" s="241"/>
      <c r="H46" s="241"/>
      <c r="I46" s="241"/>
      <c r="J46" s="241"/>
      <c r="K46" s="241"/>
      <c r="L46" s="242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2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2"/>
    </row>
    <row r="47" hidden="1">
      <c r="A47" s="241" t="str">
        <f>IFERROR(__xludf.DUMMYFUNCTION("""COMPUTED_VALUE"""),"Lança Bombas")</f>
        <v>Lança Bombas</v>
      </c>
      <c r="B47" s="241"/>
      <c r="C47" s="241" t="str">
        <f>IFERROR(__xludf.DUMMYFUNCTION("""COMPUTED_VALUE"""),"Amaciador")</f>
        <v>Amaciador</v>
      </c>
      <c r="D47" s="241"/>
      <c r="E47" s="241" t="str">
        <f>IFERROR(__xludf.DUMMYFUNCTION("""COMPUTED_VALUE"""),"Amaciador")</f>
        <v>Amaciador</v>
      </c>
      <c r="F47" s="241"/>
      <c r="G47" s="241"/>
      <c r="H47" s="241"/>
      <c r="I47" s="241"/>
      <c r="J47" s="241"/>
      <c r="K47" s="241"/>
      <c r="L47" s="242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2"/>
    </row>
    <row r="48" hidden="1">
      <c r="A48" s="241" t="str">
        <f>IFERROR(__xludf.DUMMYFUNCTION("""COMPUTED_VALUE"""),"Guerra Nórdica")</f>
        <v>Guerra Nórdica</v>
      </c>
      <c r="B48" s="241"/>
      <c r="C48" s="241" t="str">
        <f>IFERROR(__xludf.DUMMYFUNCTION("""COMPUTED_VALUE"""),"Rainmakers")</f>
        <v>Rainmakers</v>
      </c>
      <c r="D48" s="241"/>
      <c r="E48" s="241" t="str">
        <f>IFERROR(__xludf.DUMMYFUNCTION("""COMPUTED_VALUE"""),"Rainmakers")</f>
        <v>Rainmakers</v>
      </c>
      <c r="F48" s="241"/>
      <c r="G48" s="241"/>
      <c r="H48" s="241"/>
      <c r="I48" s="241"/>
      <c r="J48" s="241"/>
      <c r="K48" s="241"/>
      <c r="L48" s="242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2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2"/>
    </row>
    <row r="49" hidden="1">
      <c r="A49" s="241" t="str">
        <f>IFERROR(__xludf.DUMMYFUNCTION("""COMPUTED_VALUE"""),"Pilgrim Blunderbus")</f>
        <v>Pilgrim Blunderbus</v>
      </c>
      <c r="B49" s="241"/>
      <c r="C49" s="241" t="str">
        <f>IFERROR(__xludf.DUMMYFUNCTION("""COMPUTED_VALUE"""),"Shattering Core")</f>
        <v>Shattering Core</v>
      </c>
      <c r="D49" s="241"/>
      <c r="E49" s="241" t="str">
        <f>IFERROR(__xludf.DUMMYFUNCTION("""COMPUTED_VALUE"""),"Shattering Core")</f>
        <v>Shattering Core</v>
      </c>
      <c r="F49" s="241"/>
      <c r="G49" s="241"/>
      <c r="H49" s="241"/>
      <c r="I49" s="241"/>
      <c r="J49" s="241"/>
      <c r="K49" s="241"/>
      <c r="L49" s="242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2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2"/>
    </row>
    <row r="50" hidden="1">
      <c r="A50" s="241" t="str">
        <f>IFERROR(__xludf.DUMMYFUNCTION("""COMPUTED_VALUE"""),"Pistola de Pirata")</f>
        <v>Pistola de Pirata</v>
      </c>
      <c r="B50" s="241"/>
      <c r="C50" s="241" t="str">
        <f>IFERROR(__xludf.DUMMYFUNCTION("""COMPUTED_VALUE"""),"Pharaoh Flail")</f>
        <v>Pharaoh Flail</v>
      </c>
      <c r="D50" s="241"/>
      <c r="E50" s="241" t="str">
        <f>IFERROR(__xludf.DUMMYFUNCTION("""COMPUTED_VALUE"""),"Pharaoh Flail")</f>
        <v>Pharaoh Flail</v>
      </c>
      <c r="F50" s="241"/>
      <c r="G50" s="241"/>
      <c r="H50" s="241"/>
      <c r="I50" s="241"/>
      <c r="J50" s="241"/>
      <c r="K50" s="241"/>
      <c r="L50" s="242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2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2"/>
    </row>
    <row r="51" hidden="1">
      <c r="A51" s="241" t="str">
        <f>IFERROR(__xludf.DUMMYFUNCTION("""COMPUTED_VALUE"""),"Arma Grandona")</f>
        <v>Arma Grandona</v>
      </c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2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2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2"/>
    </row>
    <row r="52" hidden="1">
      <c r="A52" s="241" t="str">
        <f>IFERROR(__xludf.DUMMYFUNCTION("""COMPUTED_VALUE"""),"Lança Estacas")</f>
        <v>Lança Estacas</v>
      </c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2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2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2"/>
    </row>
    <row r="53" hidden="1">
      <c r="A53" s="241" t="str">
        <f>IFERROR(__xludf.DUMMYFUNCTION("""COMPUTED_VALUE"""),"Disparo do Demônio")</f>
        <v>Disparo do Demônio</v>
      </c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2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2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2"/>
    </row>
    <row r="54" hidden="1">
      <c r="A54" s="241" t="str">
        <f>IFERROR(__xludf.DUMMYFUNCTION("""COMPUTED_VALUE"""),"Dragon Fire")</f>
        <v>Dragon Fire</v>
      </c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2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2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2"/>
    </row>
    <row r="55" hidden="1">
      <c r="A55" s="241" t="str">
        <f>IFERROR(__xludf.DUMMYFUNCTION("""COMPUTED_VALUE"""),"Arma Pirata")</f>
        <v>Arma Pirata</v>
      </c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2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2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2"/>
    </row>
    <row r="56" hidden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2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2"/>
    </row>
    <row r="57" hidden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2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2"/>
    </row>
    <row r="58" hidden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2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2"/>
    </row>
    <row r="59" hidden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2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2"/>
    </row>
    <row r="60" hidden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2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2"/>
    </row>
    <row r="61" hidden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2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2"/>
    </row>
    <row r="62" hidden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2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2"/>
    </row>
    <row r="63" hidden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2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2"/>
    </row>
    <row r="64" hidden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2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2"/>
    </row>
    <row r="65" hidden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2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2"/>
    </row>
    <row r="66" hidden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2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2"/>
    </row>
    <row r="67" hidden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2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2"/>
    </row>
    <row r="68" hidden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2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2"/>
    </row>
    <row r="69" hidden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2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2"/>
    </row>
    <row r="70" hidden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2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2"/>
    </row>
    <row r="71" hidden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2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2"/>
    </row>
    <row r="72" hidden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2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2"/>
    </row>
    <row r="73" hidden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2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2"/>
    </row>
    <row r="74" hidden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2"/>
    </row>
    <row r="75" hidden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2"/>
    </row>
    <row r="76" hidden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2"/>
    </row>
    <row r="77" hidden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2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2"/>
    </row>
    <row r="78" hidden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2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2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2"/>
    </row>
    <row r="79" hidden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2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2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2"/>
    </row>
    <row r="80" hidden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2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2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2"/>
    </row>
    <row r="81" hidden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2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2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2"/>
    </row>
    <row r="82" hidden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2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2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2"/>
    </row>
    <row r="83" hidden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2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2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2"/>
    </row>
    <row r="84" hidden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2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2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2"/>
    </row>
    <row r="85" hidden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2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2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2"/>
    </row>
    <row r="86" hidden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2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2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2"/>
    </row>
    <row r="87" hidden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2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2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2"/>
    </row>
    <row r="88" hidden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2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2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2"/>
    </row>
    <row r="89" hidden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2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2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2"/>
    </row>
    <row r="90" hidden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2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2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2"/>
    </row>
    <row r="91" hidden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2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2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2"/>
    </row>
    <row r="92" hidden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2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2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2"/>
    </row>
    <row r="93" hidden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2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2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2"/>
    </row>
    <row r="94" hidden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2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2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2"/>
    </row>
    <row r="95" hidden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2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2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2"/>
    </row>
    <row r="96" hidden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2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2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2"/>
    </row>
    <row r="97" hidden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2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2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2"/>
    </row>
    <row r="98" hidden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2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2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2"/>
    </row>
    <row r="99" hidden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2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2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2"/>
    </row>
    <row r="100" hidden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2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2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2"/>
    </row>
    <row r="101" hidden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2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2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2"/>
    </row>
    <row r="102" hidden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2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2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2"/>
    </row>
    <row r="103" hidden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2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2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2"/>
    </row>
    <row r="104" hidden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2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2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2"/>
    </row>
    <row r="105" hidden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2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2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2"/>
    </row>
    <row r="106" hidden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2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2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2"/>
    </row>
    <row r="107" hidden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2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2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2"/>
    </row>
    <row r="108" hidden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2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2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2"/>
    </row>
    <row r="109" hidden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2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2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2"/>
    </row>
    <row r="110" hidden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2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2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2"/>
    </row>
    <row r="111" hidden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2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2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2"/>
    </row>
    <row r="112" hidden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2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2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2"/>
    </row>
    <row r="113" hidden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2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2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2"/>
    </row>
    <row r="114" hidden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2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2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2"/>
    </row>
    <row r="115" hidden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2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2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2"/>
    </row>
    <row r="116" hidden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2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2"/>
    </row>
    <row r="117" hidden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2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2"/>
    </row>
    <row r="118" hidden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2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2"/>
    </row>
    <row r="119" hidden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2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2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2"/>
    </row>
    <row r="120" hidden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2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2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2"/>
    </row>
    <row r="121" hidden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2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2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2"/>
    </row>
    <row r="122" hidden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2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2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2"/>
    </row>
    <row r="123" hidden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2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2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2"/>
    </row>
    <row r="124" hidden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2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2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2"/>
    </row>
    <row r="125" hidden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2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2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2"/>
    </row>
    <row r="126" hidden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2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2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2"/>
    </row>
    <row r="127" hidden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2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2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2"/>
    </row>
    <row r="128" hidden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2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2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2"/>
    </row>
    <row r="129" hidden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2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2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2"/>
    </row>
    <row r="130" hidden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2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2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2"/>
    </row>
    <row r="131" hidden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2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2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2"/>
    </row>
    <row r="132" hidden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2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2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2"/>
    </row>
    <row r="133" hidden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2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2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2"/>
    </row>
    <row r="134" hidden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2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2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2"/>
    </row>
    <row r="135" hidden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2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2"/>
    </row>
    <row r="136" hidden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2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2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2"/>
    </row>
    <row r="137" hidden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2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2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2"/>
    </row>
    <row r="138" hidden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2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2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2"/>
    </row>
    <row r="139" hidden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2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2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2"/>
    </row>
    <row r="140" hidden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2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2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2"/>
    </row>
    <row r="141" hidden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2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2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2"/>
    </row>
    <row r="142" hidden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2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2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2"/>
    </row>
    <row r="143" hidden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2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2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2"/>
    </row>
    <row r="144" hidden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2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2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2"/>
    </row>
    <row r="145" hidden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2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2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</row>
    <row r="146" hidden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2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2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2"/>
    </row>
    <row r="147" hidden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2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2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2"/>
    </row>
    <row r="148" hidden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2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2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2"/>
    </row>
    <row r="149" hidden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2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2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2"/>
    </row>
    <row r="150" hidden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2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2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2"/>
    </row>
    <row r="151" hidden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2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2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2"/>
    </row>
    <row r="152" hidden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2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2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2"/>
    </row>
    <row r="153" hidden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2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2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2"/>
    </row>
    <row r="154" hidden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2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2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2"/>
    </row>
    <row r="155" hidden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2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2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2"/>
    </row>
    <row r="156" hidden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2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2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2"/>
    </row>
    <row r="157" hidden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2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2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2"/>
    </row>
    <row r="158" hidden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2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2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2"/>
    </row>
    <row r="159" hidden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2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2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2"/>
    </row>
    <row r="160" hidden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2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2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2"/>
    </row>
    <row r="161" hidden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2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2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2"/>
    </row>
    <row r="162" hidden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2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2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2"/>
    </row>
    <row r="163" hidden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2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2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2"/>
    </row>
    <row r="164" hidden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2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2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2"/>
    </row>
    <row r="165" hidden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2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2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2"/>
    </row>
    <row r="166" hidden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2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2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2"/>
    </row>
    <row r="167" hidden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2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2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2"/>
    </row>
    <row r="168" hidden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2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2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2"/>
    </row>
    <row r="169" hidden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2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2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2"/>
    </row>
    <row r="170" hidden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2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2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2"/>
    </row>
    <row r="171" hidden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2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2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2"/>
    </row>
    <row r="172" hidden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2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2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2"/>
    </row>
    <row r="173" hidden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2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2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2"/>
    </row>
    <row r="174" hidden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2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2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2"/>
    </row>
    <row r="175" hidden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2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2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2"/>
    </row>
    <row r="176" hidden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2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2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2"/>
    </row>
    <row r="177" hidden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2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2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2"/>
    </row>
    <row r="178" hidden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2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2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2"/>
    </row>
    <row r="179" hidden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2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2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2"/>
    </row>
    <row r="180" hidden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2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2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2"/>
    </row>
    <row r="181" hidden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2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2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2"/>
    </row>
    <row r="182" hidden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2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2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2"/>
    </row>
    <row r="183" hidden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2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2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2"/>
    </row>
    <row r="184" hidden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2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2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2"/>
    </row>
    <row r="185" hidden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2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2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2"/>
    </row>
    <row r="186" hidden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2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2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2"/>
    </row>
    <row r="187" hidden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2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2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2"/>
    </row>
    <row r="188" hidden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2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2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2"/>
    </row>
    <row r="189" hidden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2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2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2"/>
    </row>
    <row r="190" hidden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2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2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2"/>
    </row>
    <row r="191" hidden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2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2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2"/>
    </row>
    <row r="192" hidden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2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2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2"/>
    </row>
    <row r="193" hidden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2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2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2"/>
    </row>
    <row r="194" hidden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2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2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2"/>
    </row>
    <row r="195" hidden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2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2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2"/>
    </row>
    <row r="196" hidden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2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2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2"/>
    </row>
    <row r="197" hidden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2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2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2"/>
    </row>
    <row r="198" hidden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2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2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2"/>
    </row>
    <row r="199" hidden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2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2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2"/>
    </row>
    <row r="200" hidden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2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2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2"/>
    </row>
    <row r="201" hidden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2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2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2"/>
    </row>
    <row r="202" hidden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2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2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2"/>
    </row>
    <row r="203" hidden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2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2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2"/>
    </row>
    <row r="204" hidden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2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2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2"/>
    </row>
    <row r="205" hidden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2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2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2"/>
    </row>
    <row r="206" hidden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2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2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2"/>
    </row>
    <row r="207" hidden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2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2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2"/>
    </row>
    <row r="208" hidden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2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2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2"/>
    </row>
    <row r="209" hidden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2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2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2"/>
    </row>
    <row r="210" hidden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2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2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2"/>
    </row>
    <row r="211" hidden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2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2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2"/>
    </row>
    <row r="212" hidden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2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2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2"/>
    </row>
    <row r="213" hidden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2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2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2"/>
    </row>
    <row r="214" hidden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2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2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2"/>
    </row>
    <row r="215" hidden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2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2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2"/>
    </row>
    <row r="216" hidden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2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2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2"/>
    </row>
    <row r="217" hidden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2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2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2"/>
    </row>
    <row r="218" hidden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2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2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2"/>
    </row>
    <row r="219" hidden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2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2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2"/>
    </row>
    <row r="220" hidden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2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2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2"/>
    </row>
    <row r="221" hidden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2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2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2"/>
    </row>
    <row r="222" hidden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2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2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2"/>
    </row>
    <row r="223" hidden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2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2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2"/>
    </row>
    <row r="224" hidden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2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2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2"/>
    </row>
    <row r="225" hidden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2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2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2"/>
    </row>
    <row r="226" hidden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2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2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2"/>
    </row>
    <row r="227" hidden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2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2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2"/>
    </row>
    <row r="228" hidden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2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2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2"/>
    </row>
    <row r="229" hidden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2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2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2"/>
    </row>
    <row r="230" hidden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2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2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2"/>
    </row>
    <row r="231" hidden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2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2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2"/>
    </row>
    <row r="232" hidden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2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2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2"/>
    </row>
    <row r="233" hidden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2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2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2"/>
    </row>
    <row r="234" hidden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2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2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2"/>
    </row>
    <row r="235" hidden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2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2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2"/>
    </row>
    <row r="236" hidden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2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2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2"/>
    </row>
    <row r="237" hidden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2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2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2"/>
    </row>
    <row r="238" hidden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2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2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2"/>
    </row>
    <row r="239" hidden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2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2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2"/>
    </row>
    <row r="240" hidden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2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2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2"/>
    </row>
    <row r="241" hidden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2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2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2"/>
    </row>
    <row r="242" hidden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2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2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2"/>
    </row>
    <row r="243" hidden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2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2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2"/>
    </row>
    <row r="244" hidden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2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2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2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2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2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2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2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2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2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2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2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2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2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2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2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2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2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2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2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2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2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2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2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2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2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2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2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2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2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2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2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2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2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2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2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2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2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2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2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2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2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2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2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2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2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2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2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2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2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2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2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2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2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2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2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2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2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2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2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2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2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2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2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2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2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2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2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2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2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2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2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2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2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2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2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2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2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2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2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2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2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2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2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2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2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2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2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2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2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2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2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2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2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2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2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2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2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2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2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2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2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2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2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2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2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2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2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2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2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2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2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2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2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2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2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2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2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2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2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2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2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2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2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2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2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2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2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2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2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2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2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2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2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2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2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2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2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2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2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2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2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2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2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2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2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2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2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2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2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2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2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2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2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2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2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2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2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2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2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2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2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2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2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2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2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2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2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2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2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2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2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2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2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2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2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2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2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2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2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2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2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2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2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2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2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2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2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2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2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2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2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2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2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2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2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2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2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2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2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2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2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2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2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2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2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2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2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2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2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2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2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2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2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2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2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2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2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2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2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2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2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2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2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2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2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2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2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2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2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2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2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2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2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2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2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2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2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2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2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2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2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2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2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2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2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2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2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2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2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2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2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2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2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2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2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2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2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2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2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2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2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2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2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2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2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2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2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2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2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2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2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2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2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2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2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2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2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2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2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2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2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2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2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2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2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2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2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2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2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2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2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2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2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2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2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2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2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2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2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2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2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2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2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2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2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2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2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2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2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2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2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2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2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2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2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2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2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2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2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2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2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2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2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2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2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2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2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2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2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2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2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2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2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2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2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2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2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2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2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2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2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2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2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2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2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2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2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2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2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2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2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2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2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2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2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2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2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2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2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2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2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2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2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2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2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2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2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2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2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2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2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2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2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2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2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2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2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2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2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2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2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2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2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2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2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2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2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2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2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2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2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2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2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2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2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2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2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2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2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2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2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2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2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2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2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2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2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2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2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2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2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2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2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2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2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2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2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2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2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2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2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2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2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2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2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2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2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2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2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2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2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2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2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2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2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2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2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2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2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2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2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2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2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2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2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2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2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2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2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2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2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2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2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2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2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2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2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2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2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2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2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2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2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2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2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2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2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2"/>
    </row>
    <row r="401" hidden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2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2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2"/>
    </row>
    <row r="402" hidden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2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2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2"/>
    </row>
    <row r="403" hidden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2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2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2"/>
    </row>
    <row r="404" hidden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2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2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2"/>
    </row>
    <row r="405" hidden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2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2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2"/>
    </row>
    <row r="406" hidden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2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2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2"/>
    </row>
    <row r="407" hidden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2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2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2"/>
    </row>
    <row r="408" hidden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2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2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2"/>
    </row>
    <row r="409" hidden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2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2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2"/>
    </row>
    <row r="410" hidden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2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2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2"/>
    </row>
    <row r="411" hidden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2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2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2"/>
    </row>
    <row r="412" hidden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2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2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2"/>
    </row>
    <row r="413" hidden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2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2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2"/>
    </row>
    <row r="414" hidden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2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2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2"/>
    </row>
    <row r="415" hidden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2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2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2"/>
    </row>
    <row r="416" hidden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2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2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2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2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2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2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2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2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2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2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2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2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2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2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2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2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2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2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2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2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2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2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2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2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2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2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2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2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2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2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2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2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2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2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2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2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2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2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2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2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2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2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2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2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2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2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2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2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2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2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2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2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2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2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2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2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2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2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2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2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2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2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2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2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2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2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2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2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2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2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2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2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2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2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2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2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2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2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2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2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2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2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2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2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2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2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2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2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2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2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2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2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2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2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2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2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2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2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2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2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2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2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2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2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2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2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2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2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2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2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2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2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2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2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2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2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2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2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2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2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2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2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2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2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2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2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2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2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2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2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2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2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2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2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2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2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2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2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2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2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2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2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2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2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2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2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2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2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2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2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2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2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2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2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2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2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2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2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2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2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2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2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2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2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2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2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2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2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2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2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2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2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2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2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2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2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2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2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2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2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2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2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2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2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2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2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2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2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2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2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2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2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2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2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2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2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2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2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2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2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2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2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2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2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2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2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2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2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2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2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2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2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2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2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2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2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2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2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2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2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2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2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2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2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2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2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2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2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2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2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2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2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2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2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2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2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2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2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2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2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2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2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2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2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2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2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2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2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2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2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2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2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2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2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2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2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2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2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2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2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2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2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2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2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2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2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2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2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2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2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2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2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2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2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2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2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2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2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2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2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2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2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2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2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2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2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2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2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2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2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2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2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2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2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2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2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2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2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2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2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2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2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2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2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2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2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2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2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2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2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2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2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2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2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2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2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2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2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2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2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2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2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2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2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2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2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2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2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2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2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2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2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2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2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2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2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2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2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2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2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2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2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2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2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2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2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2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2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2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2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2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2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2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2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2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2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2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2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2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2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2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2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2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2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2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2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2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2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2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2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2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2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2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2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2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2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2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2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2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2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2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2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2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2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2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2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2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2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2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2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2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2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2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2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2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2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2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2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2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2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2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2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2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2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2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2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2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2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2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2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2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2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2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2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2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2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2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2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2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2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2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2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2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2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2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2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2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2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2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2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2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2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2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2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2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2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2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2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2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2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2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2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2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2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2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2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2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2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2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2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2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2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2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2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2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2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2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2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2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2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2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2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2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2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2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2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2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2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2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2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2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2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2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2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2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2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2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2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2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2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2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2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2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2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2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2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2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2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2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2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2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2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2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2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2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2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2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2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2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2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2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2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2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2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2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2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2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2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2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2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2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2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2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2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2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2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2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2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2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2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2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2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2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2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2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2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2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2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2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2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2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2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2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2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2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2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2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2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2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2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  <c r="AA597" s="242"/>
      <c r="AB597" s="242"/>
      <c r="AC597" s="242"/>
      <c r="AD597" s="242"/>
      <c r="AE597" s="242"/>
      <c r="AF597" s="242"/>
      <c r="AG597" s="242"/>
      <c r="AH597" s="242"/>
      <c r="AI597" s="242"/>
      <c r="AJ597" s="242"/>
    </row>
    <row r="598">
      <c r="A598" s="241" t="str">
        <f>IFERROR(__xludf.DUMMYFUNCTION("if('Time 2'!C3 = ""Albert"", query(IMPORTRANGE(cd_planilha, ""Armas!B3:G""), ""Select Col1 Where Col2 = '""&amp;Personagem!$B$10&amp;""' or Col2 = '""&amp;Personagem!$B$11&amp;""'""),     
if('Time 2'!C3 = ""Alicia"", query(IMPORTRANGE(cd_planilha, ""Armas!B3:G""), ""Sel"&amp;"ect Col1 Where Col2 = '""&amp;Personagem!$C$10&amp;""' or Col2 = '""&amp;Personagem!$C$11&amp;""'""),
if('Time 2'!C3 = ""Azula"", query(IMPORTRANGE(cd_planilha, ""Armas!B3:G""), ""Select Col1 Where Col2 = '""&amp;Personagem!$D$10&amp;""' or Col2 = '""&amp;Personagem!$D$11&amp;""' ""),
i"&amp;"f('Time 2'!C3 = ""Charles"", query(IMPORTRANGE(cd_planilha, ""Armas!B3:G""), ""Select Col1 Where Col2 = '""&amp;Personagem!$E$10&amp;""' or Col2 = '""&amp;Personagem!$E$11&amp;""'""),
if('Time 2'!C3 = ""Clovis"", query(IMPORTRANGE(cd_planilha, ""Armas!B3:G""), ""Select C"&amp;"ol1 Where Col2 = '""&amp;Personagem!$F$10&amp;""' or Col2 = '""&amp;Personagem!$F$11&amp;""' ""),
if('Time 2'!C3 = ""Darthos"", query(IMPORTRANGE(cd_planilha, ""Armas!B3:G""), ""Select Col1 Where Col2 = '""&amp;Personagem!$G$10&amp;""' or Col2 = '""&amp;Personagem!$G$11&amp;""'""),
if('"&amp;"Time 2'!C3 = ""Edward"", query(IMPORTRANGE(cd_planilha, ""Armas!B3:G""), ""Select Col1 Where Col2 = '""&amp;Personagem!$H$10&amp;""' or Col2 = '""&amp;Personagem!$H$11&amp;""' ""),
if('Time 2'!C3 = ""Fiora"", query(IMPORTRANGE(cd_planilha, ""Armas!B3:G""), ""Select Col1 "&amp;"Where Col2 = '""&amp;Personagem!$I$10&amp;""' or Col2 = '""&amp;Personagem!$I$11&amp;""' ""),
if('Time 2'!C3 = ""Francesca"", query(IMPORTRANGE(cd_planilha, ""Armas!B3:G""), ""Select Col1 Where Col2 = '""&amp;Personagem!$J$10&amp;""' or Col2 = '""&amp;Personagem!$J$11&amp;""'""),
if('Ti"&amp;"me 2'!C3 = ""Garreth"", query(IMPORTRANGE(cd_planilha, ""Armas!B3:G""), ""Select Col1 Where Col2 = '""&amp;Personagem!$K$10&amp;""' or Col2 = '""&amp;Personagem!$K$11&amp;""'""),
if('Time 2'!C3 = ""Gauvin"", query(IMPORTRANGE(cd_planilha, ""Armas!B3:G""), ""Select Col1 W"&amp;"here Col2 = '""&amp;Personagem!$L$10&amp;""' or Col2 = '""&amp;Personagem!$L$11&amp;""' ""),
if('Time 2'!C3 = ""Irene"", query(IMPORTRANGE(cd_planilha, ""Armas!B3:G""), ""Select Col1 Where Col2 = '""&amp;Personagem!$M$10&amp;""' or Col2 = '""&amp;Personagem!$M$11&amp;""' ""),
if('Time 2"&amp;"'!C3 = ""Karal"", query(IMPORTRANGE(cd_planilha, ""Armas!B3:G""), ""Select Col1 Where Col2 = '""&amp;Personagem!$N$10&amp;""' or Col2 = '""&amp;Personagem!$N$11&amp;""' ""),
if('Time 2'!C3 = ""Kuro Shobi"", query(IMPORTRANGE(cd_planilha, ""Armas!B3:G""), ""Select Col1 Wh"&amp;"ere Col2 = '""&amp;Personagem!$O$10&amp;""' or Col2 = '""&amp;Personagem!$O$11&amp;""'""),
if('Time 2'!C3 = ""Kurul"", query(IMPORTRANGE(cd_planilha, ""Armas!B3:G""), ""Select Col1 Where Col2 = '""&amp;Personagem!$P$10&amp;""' or Col2 = '""&amp;Personagem!$P$11&amp;""' ""),
if('Time 2'!"&amp;"C3 = ""Lancaster"", query(IMPORTRANGE(cd_planilha, ""Armas!B3:G""), ""Select Col1 Where Col2 = '""&amp;Personagem!$Q$10&amp;""' or Col2 = '""&amp;Personagem!$Q$11&amp;""'""),
if('Time 2'!C3 = ""Lorelei"", query(IMPORTRANGE(cd_planilha, ""Armas!B3:G""), ""Select Col1 Wher"&amp;"e Col2 = '""&amp;Personagem!$R$10&amp;""' or Col2 = '""&amp;Personagem!$R$11&amp;""' ""),
if('Time 2'!C3 = ""Louca"", query(IMPORTRANGE(cd_planilha, ""Armas!B3:G""), ""Select Col1 Where Col2 = '""&amp;Personagem!$S$10&amp;""' or Col2 = '""&amp;Personagem!$S$11&amp;""' ""),
if('Time 2'!C"&amp;"3 = ""Melina"", query(IMPORTRANGE(cd_planilha, ""Armas!B3:G""), ""Select Col1 Where Col2 = '""&amp;Personagem!$T$10&amp;""' or Col2 = '""&amp;Personagem!$T$11&amp;""'""),
if('Time 2'!C3 = ""Mila"", query(IMPORTRANGE(cd_planilha, ""Armas!B3:G""), ""Select Col1 Where Col2 "&amp;"= '""&amp;Personagem!$U$10&amp;""' or Col2 = '""&amp;Personagem!$U$11&amp;""' ""),
if('Time 2'!C3 = ""Minh"", query(IMPORTRANGE(cd_planilha, ""Armas!B3:G""), ""Select Col1 Where Col2 = '""&amp;Personagem!$V$10&amp;""' or Col2 = '""&amp;Personagem!$V$11&amp;""' ""),
if('Time 2'!C3 = ""Mo"&amp;"jian"", query(IMPORTRANGE(cd_planilha, ""Armas!B3:G""), ""Select Col1 Where Col2 = '""&amp;Personagem!$W$10&amp;""' or Col2 = '""&amp;Personagem!$W$11&amp;""'""),
if('Time 2'!C3 = ""Nya"", query(IMPORTRANGE(cd_planilha, ""Armas!B3:G""), ""Select Col1 Where Col2 = '""&amp;Per"&amp;"sonagem!$X$10&amp;""' or Col2 = '""&amp;Personagem!$X$11&amp;""' ""),
if('Time 2'!C3 = ""Odette"", query(IMPORTRANGE(cd_planilha, ""Armas!B3:G""), ""Select Col1 Where Col2 = '""&amp;Personagem!$Y$10&amp;""' or Col2 = '""&amp;Personagem!$Y$11&amp;""'""),
if('Time 2'!C3 = ""Oneira"", "&amp;"query(IMPORTRANGE(cd_planilha, ""Armas!B3:G""), ""Select Col1 Where Col2 = '""&amp;Personagem!$Z$10&amp;""' or Col2 = '""&amp;Personagem!$Z$11&amp;""' ""),
if('Time 2'!C3 = ""Palash"", query(IMPORTRANGE(cd_planilha, ""Armas!B3:G""), ""Select Col1 Where Col2 = '""&amp;Persona"&amp;"gem!$AA$10&amp;""' or Col2 = '""&amp;Personagem!$AA$11&amp;""'""),
if('Time 2'!C3 = ""Theor"", query(IMPORTRANGE(cd_planilha, ""Armas!B3:G""), ""Select Col1 Where Col2 = '""&amp;Personagem!$AB$10&amp;""' or Col2 = '""&amp;Personagem!$AB$11&amp;""' ""),
if('Time 2'!C3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B598" s="241"/>
      <c r="C598" s="241" t="str">
        <f>IFERROR(__xludf.DUMMYFUNCTION("if('Time 2'!C4 = ""Albert"", query(IMPORTRANGE(cd_planilha, ""Armas!B3:G""), ""Select Col1 Where Col2 = '""&amp;Personagem!$B$10&amp;""' or Col2 = '""&amp;Personagem!$B$11&amp;""'""),     
if('Time 2'!C4 = ""Alicia"", query(IMPORTRANGE(cd_planilha, ""Armas!B3:G""), ""Sel"&amp;"ect Col1 Where Col2 = '""&amp;Personagem!$C$10&amp;""' or Col2 = '""&amp;Personagem!$C$11&amp;""'""),
if('Time 2'!C4 = ""Azula"", query(IMPORTRANGE(cd_planilha, ""Armas!B3:G""), ""Select Col1 Where Col2 = '""&amp;Personagem!$D$10&amp;""' or Col2 = '""&amp;Personagem!$D$11&amp;""' ""),
i"&amp;"f('Time 2'!C4 = ""Charles"", query(IMPORTRANGE(cd_planilha, ""Armas!B3:G""), ""Select Col1 Where Col2 = '""&amp;Personagem!$E$10&amp;""' or Col2 = '""&amp;Personagem!$E$11&amp;""'""),
if('Time 2'!C4 = ""Clovis"", query(IMPORTRANGE(cd_planilha, ""Armas!B3:G""), ""Select C"&amp;"ol1 Where Col2 = '""&amp;Personagem!$F$10&amp;""' or Col2 = '""&amp;Personagem!$F$11&amp;""' ""),
if('Time 2'!C4 = ""Darthos"", query(IMPORTRANGE(cd_planilha, ""Armas!B3:G""), ""Select Col1 Where Col2 = '""&amp;Personagem!$G$10&amp;""' or Col2 = '""&amp;Personagem!$G$11&amp;""'""),
if('"&amp;"Time 2'!C4 = ""Edward"", query(IMPORTRANGE(cd_planilha, ""Armas!B3:G""), ""Select Col1 Where Col2 = '""&amp;Personagem!$H$10&amp;""' or Col2 = '""&amp;Personagem!$H$11&amp;""' ""),
if('Time 2'!C4 = ""Fiora"", query(IMPORTRANGE(cd_planilha, ""Armas!B3:G""), ""Select Col1 "&amp;"Where Col2 = '""&amp;Personagem!$I$10&amp;""' or Col2 = '""&amp;Personagem!$I$11&amp;""' ""),
if('Time 2'!C4 = ""Francesca"", query(IMPORTRANGE(cd_planilha, ""Armas!B3:G""), ""Select Col1 Where Col2 = '""&amp;Personagem!$J$10&amp;""' or Col2 = '""&amp;Personagem!$J$11&amp;""'""),
if('Ti"&amp;"me 2'!C4 = ""Garreth"", query(IMPORTRANGE(cd_planilha, ""Armas!B3:G""), ""Select Col1 Where Col2 = '""&amp;Personagem!$K$10&amp;""' or Col2 = '""&amp;Personagem!$K$11&amp;""'""),
if('Time 2'!C4 = ""Gauvin"", query(IMPORTRANGE(cd_planilha, ""Armas!B3:G""), ""Select Col1 W"&amp;"here Col2 = '""&amp;Personagem!$L$10&amp;""' or Col2 = '""&amp;Personagem!$L$11&amp;""' ""),
if('Time 2'!C4 = ""Irene"", query(IMPORTRANGE(cd_planilha, ""Armas!B3:G""), ""Select Col1 Where Col2 = '""&amp;Personagem!$M$10&amp;""' or Col2 = '""&amp;Personagem!$M$11&amp;""' ""),
if('Time 2"&amp;"'!C4 = ""Karal"", query(IMPORTRANGE(cd_planilha, ""Armas!B3:G""), ""Select Col1 Where Col2 = '""&amp;Personagem!$N$10&amp;""' or Col2 = '""&amp;Personagem!$N$11&amp;""' ""),
if('Time 2'!C4 = ""Kuro Shobi"", query(IMPORTRANGE(cd_planilha, ""Armas!B3:G""), ""Select Col1 Wh"&amp;"ere Col2 = '""&amp;Personagem!$O$10&amp;""' or Col2 = '""&amp;Personagem!$O$11&amp;""'""),
if('Time 2'!C4 = ""Kurul"", query(IMPORTRANGE(cd_planilha, ""Armas!B3:G""), ""Select Col1 Where Col2 = '""&amp;Personagem!$P$10&amp;""' or Col2 = '""&amp;Personagem!$P$11&amp;""' ""),
if('Time 2'!"&amp;"C4 = ""Lancaster"", query(IMPORTRANGE(cd_planilha, ""Armas!B3:G""), ""Select Col1 Where Col2 = '""&amp;Personagem!$Q$10&amp;""' or Col2 = '""&amp;Personagem!$Q$11&amp;""'""),
if('Time 2'!C4 = ""Lorelei"", query(IMPORTRANGE(cd_planilha, ""Armas!B3:G""), ""Select Col1 Wher"&amp;"e Col2 = '""&amp;Personagem!$R$10&amp;""' or Col2 = '""&amp;Personagem!$R$11&amp;""' ""),
if('Time 2'!C4 = ""Louca"", query(IMPORTRANGE(cd_planilha, ""Armas!B3:G""), ""Select Col1 Where Col2 = '""&amp;Personagem!$S$10&amp;""' or Col2 = '""&amp;Personagem!$S$11&amp;""' ""),
if('Time 2'!C"&amp;"4 = ""Melina"", query(IMPORTRANGE(cd_planilha, ""Armas!B3:G""), ""Select Col1 Where Col2 = '""&amp;Personagem!$T$10&amp;""' or Col2 = '""&amp;Personagem!$T$11&amp;""'""),
if('Time 2'!C4 = ""Mila"", query(IMPORTRANGE(cd_planilha, ""Armas!B3:G""), ""Select Col1 Where Col2 "&amp;"= '""&amp;Personagem!$U$10&amp;""' or Col2 = '""&amp;Personagem!$U$11&amp;""' ""),
if('Time 2'!C4 = ""Minh"", query(IMPORTRANGE(cd_planilha, ""Armas!B3:G""), ""Select Col1 Where Col2 = '""&amp;Personagem!$V$10&amp;""' or Col2 = '""&amp;Personagem!$V$11&amp;""' ""),
if('Time 2'!C4 = ""Mo"&amp;"jian"", query(IMPORTRANGE(cd_planilha, ""Armas!B3:G""), ""Select Col1 Where Col2 = '""&amp;Personagem!$W$10&amp;""' or Col2 = '""&amp;Personagem!$W$11&amp;""'""),
if('Time 2'!C4 = ""Nya"", query(IMPORTRANGE(cd_planilha, ""Armas!B3:G""), ""Select Col1 Where Col2 = '""&amp;Per"&amp;"sonagem!$X$10&amp;""' or Col2 = '""&amp;Personagem!$X$11&amp;""' ""),
if('Time 2'!C4 = ""Odette"", query(IMPORTRANGE(cd_planilha, ""Armas!B3:G""), ""Select Col1 Where Col2 = '""&amp;Personagem!$Y$10&amp;""' or Col2 = '""&amp;Personagem!$Y$11&amp;""'""),
if('Time 2'!C4 = ""Oneira"", "&amp;"query(IMPORTRANGE(cd_planilha, ""Armas!B3:G""), ""Select Col1 Where Col2 = '""&amp;Personagem!$Z$10&amp;""' or Col2 = '""&amp;Personagem!$Z$11&amp;""' ""),
if('Time 2'!C4 = ""Palash"", query(IMPORTRANGE(cd_planilha, ""Armas!B3:G""), ""Select Col1 Where Col2 = '""&amp;Persona"&amp;"gem!$AA$10&amp;""' or Col2 = '""&amp;Personagem!$AA$11&amp;""'""),
if('Time 2'!C4 = ""Theor"", query(IMPORTRANGE(cd_planilha, ""Armas!B3:G""), ""Select Col1 Where Col2 = '""&amp;Personagem!$AB$10&amp;""' or Col2 = '""&amp;Personagem!$AB$11&amp;""' ""),
if('Time 2'!C4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D598" s="241"/>
      <c r="E598" s="241" t="str">
        <f>IFERROR(__xludf.DUMMYFUNCTION("if('Time 2'!C5 = ""Albert"", query(IMPORTRANGE(cd_planilha, ""Armas!B3:G""), ""Select Col1 Where Col2 = '""&amp;Personagem!$B$10&amp;""' or Col2 = '""&amp;Personagem!$B$11&amp;""'""),     
if('Time 2'!C5 = ""Alicia"", query(IMPORTRANGE(cd_planilha, ""Armas!B3:G""), ""Sel"&amp;"ect Col1 Where Col2 = '""&amp;Personagem!$C$10&amp;""' or Col2 = '""&amp;Personagem!$C$11&amp;""'""),
if('Time 2'!C5 = ""Azula"", query(IMPORTRANGE(cd_planilha, ""Armas!B3:G""), ""Select Col1 Where Col2 = '""&amp;Personagem!$D$10&amp;""' or Col2 = '""&amp;Personagem!$D$11&amp;""' ""),
i"&amp;"f('Time 2'!C5 = ""Charles"", query(IMPORTRANGE(cd_planilha, ""Armas!B3:G""), ""Select Col1 Where Col2 = '""&amp;Personagem!$E$10&amp;""' or Col2 = '""&amp;Personagem!$E$11&amp;""'""),
if('Time 2'!C5 = ""Clovis"", query(IMPORTRANGE(cd_planilha, ""Armas!B3:G""), ""Select C"&amp;"ol1 Where Col2 = '""&amp;Personagem!$F$10&amp;""' or Col2 = '""&amp;Personagem!$F$11&amp;""' ""),
if('Time 2'!C5 = ""Darthos"", query(IMPORTRANGE(cd_planilha, ""Armas!B3:G""), ""Select Col1 Where Col2 = '""&amp;Personagem!$G$10&amp;""' or Col2 = '""&amp;Personagem!$G$11&amp;""'""),
if('"&amp;"Time 2'!C5 = ""Edward"", query(IMPORTRANGE(cd_planilha, ""Armas!B3:G""), ""Select Col1 Where Col2 = '""&amp;Personagem!$H$10&amp;""' or Col2 = '""&amp;Personagem!$H$11&amp;""' ""),
if('Time 2'!C5 = ""Fiora"", query(IMPORTRANGE(cd_planilha, ""Armas!B3:G""), ""Select Col1 "&amp;"Where Col2 = '""&amp;Personagem!$I$10&amp;""' or Col2 = '""&amp;Personagem!$I$11&amp;""' ""),
if('Time 2'!C5 = ""Francesca"", query(IMPORTRANGE(cd_planilha, ""Armas!B3:G""), ""Select Col1 Where Col2 = '""&amp;Personagem!$J$10&amp;""' or Col2 = '""&amp;Personagem!$J$11&amp;""'""),
if('Ti"&amp;"me 2'!C5 = ""Garreth"", query(IMPORTRANGE(cd_planilha, ""Armas!B3:G""), ""Select Col1 Where Col2 = '""&amp;Personagem!$K$10&amp;""' or Col2 = '""&amp;Personagem!$K$11&amp;""'""),
if('Time 2'!C5 = ""Gauvin"", query(IMPORTRANGE(cd_planilha, ""Armas!B3:G""), ""Select Col1 W"&amp;"here Col2 = '""&amp;Personagem!$L$10&amp;""' or Col2 = '""&amp;Personagem!$L$11&amp;""' ""),
if('Time 2'!C5 = ""Irene"", query(IMPORTRANGE(cd_planilha, ""Armas!B3:G""), ""Select Col1 Where Col2 = '""&amp;Personagem!$M$10&amp;""' or Col2 = '""&amp;Personagem!$M$11&amp;""' ""),
if('Time 2"&amp;"'!C5 = ""Karal"", query(IMPORTRANGE(cd_planilha, ""Armas!B3:G""), ""Select Col1 Where Col2 = '""&amp;Personagem!$N$10&amp;""' or Col2 = '""&amp;Personagem!$N$11&amp;""' ""),
if('Time 2'!C5 = ""Kuro Shobi"", query(IMPORTRANGE(cd_planilha, ""Armas!B3:G""), ""Select Col1 Wh"&amp;"ere Col2 = '""&amp;Personagem!$O$10&amp;""' or Col2 = '""&amp;Personagem!$O$11&amp;""'""),
if('Time 2'!C5 = ""Kurul"", query(IMPORTRANGE(cd_planilha, ""Armas!B3:G""), ""Select Col1 Where Col2 = '""&amp;Personagem!$P$10&amp;""' or Col2 = '""&amp;Personagem!$P$11&amp;""' ""),
if('Time 2'!"&amp;"C5 = ""Lancaster"", query(IMPORTRANGE(cd_planilha, ""Armas!B3:G""), ""Select Col1 Where Col2 = '""&amp;Personagem!$Q$10&amp;""' or Col2 = '""&amp;Personagem!$Q$11&amp;""'""),
if('Time 2'!C5 = ""Lorelei"", query(IMPORTRANGE(cd_planilha, ""Armas!B3:G""), ""Select Col1 Wher"&amp;"e Col2 = '""&amp;Personagem!$R$10&amp;""' or Col2 = '""&amp;Personagem!$R$11&amp;""' ""),
if('Time 2'!C5 = ""Louca"", query(IMPORTRANGE(cd_planilha, ""Armas!B3:G""), ""Select Col1 Where Col2 = '""&amp;Personagem!$S$10&amp;""' or Col2 = '""&amp;Personagem!$S$11&amp;""' ""),
if('Time 2'!C"&amp;"5 = ""Melina"", query(IMPORTRANGE(cd_planilha, ""Armas!B3:G""), ""Select Col1 Where Col2 = '""&amp;Personagem!$T$10&amp;""' or Col2 = '""&amp;Personagem!$T$11&amp;""'""),
if('Time 2'!C5 = ""Mila"", query(IMPORTRANGE(cd_planilha, ""Armas!B3:G""), ""Select Col1 Where Col2 "&amp;"= '""&amp;Personagem!$U$10&amp;""' or Col2 = '""&amp;Personagem!$U$11&amp;""' ""),
if('Time 2'!C5 = ""Minh"", query(IMPORTRANGE(cd_planilha, ""Armas!B3:G""), ""Select Col1 Where Col2 = '""&amp;Personagem!$V$10&amp;""' or Col2 = '""&amp;Personagem!$V$11&amp;""' ""),
if('Time 2'!C5 = ""Mo"&amp;"jian"", query(IMPORTRANGE(cd_planilha, ""Armas!B3:G""), ""Select Col1 Where Col2 = '""&amp;Personagem!$W$10&amp;""' or Col2 = '""&amp;Personagem!$W$11&amp;""'""),
if('Time 2'!C5 = ""Nya"", query(IMPORTRANGE(cd_planilha, ""Armas!B3:G""), ""Select Col1 Where Col2 = '""&amp;Per"&amp;"sonagem!$X$10&amp;""' or Col2 = '""&amp;Personagem!$X$11&amp;""' ""),
if('Time 2'!C5 = ""Odette"", query(IMPORTRANGE(cd_planilha, ""Armas!B3:G""), ""Select Col1 Where Col2 = '""&amp;Personagem!$Y$10&amp;""' or Col2 = '""&amp;Personagem!$Y$11&amp;""'""),
if('Time 2'!C5 = ""Oneira"", "&amp;"query(IMPORTRANGE(cd_planilha, ""Armas!B3:G""), ""Select Col1 Where Col2 = '""&amp;Personagem!$Z$10&amp;""' or Col2 = '""&amp;Personagem!$Z$11&amp;""' ""),
if('Time 2'!C5 = ""Palash"", query(IMPORTRANGE(cd_planilha, ""Armas!B3:G""), ""Select Col1 Where Col2 = '""&amp;Persona"&amp;"gem!$AA$10&amp;""' or Col2 = '""&amp;Personagem!$AA$11&amp;""'""),
if('Time 2'!C5 = ""Theor"", query(IMPORTRANGE(cd_planilha, ""Armas!B3:G""), ""Select Col1 Where Col2 = '""&amp;Personagem!$AB$10&amp;""' or Col2 = '""&amp;Personagem!$AB$11&amp;""' ""),
if('Time 2'!C5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F598" s="241"/>
      <c r="G598" s="241" t="str">
        <f>IFERROR(__xludf.DUMMYFUNCTION("if('Time 2'!C6 = ""Albert"", query(IMPORTRANGE(cd_planilha, ""Armas!B3:G""), ""Select Col1 Where Col2 = '""&amp;Personagem!$B$10&amp;""' or Col2 = '""&amp;Personagem!$B$11&amp;""'""),     
if('Time 2'!C6 = ""Alicia"", query(IMPORTRANGE(cd_planilha, ""Armas!B3:G""), ""Sel"&amp;"ect Col1 Where Col2 = '""&amp;Personagem!$C$10&amp;""' or Col2 = '""&amp;Personagem!$C$11&amp;""'""),
if('Time 2'!C6 = ""Azula"", query(IMPORTRANGE(cd_planilha, ""Armas!B3:G""), ""Select Col1 Where Col2 = '""&amp;Personagem!$D$10&amp;""' or Col2 = '""&amp;Personagem!$D$11&amp;""' ""),
i"&amp;"f('Time 2'!C6 = ""Charles"", query(IMPORTRANGE(cd_planilha, ""Armas!B3:G""), ""Select Col1 Where Col2 = '""&amp;Personagem!$E$10&amp;""' or Col2 = '""&amp;Personagem!$E$11&amp;""'""),
if('Time 2'!C6 = ""Clovis"", query(IMPORTRANGE(cd_planilha, ""Armas!B3:G""), ""Select C"&amp;"ol1 Where Col2 = '""&amp;Personagem!$F$10&amp;""' or Col2 = '""&amp;Personagem!$F$11&amp;""' ""),
if('Time 2'!C6 = ""Darthos"", query(IMPORTRANGE(cd_planilha, ""Armas!B3:G""), ""Select Col1 Where Col2 = '""&amp;Personagem!$G$10&amp;""' or Col2 = '""&amp;Personagem!$G$11&amp;""'""),
if('"&amp;"Time 2'!C6 = ""Edward"", query(IMPORTRANGE(cd_planilha, ""Armas!B3:G""), ""Select Col1 Where Col2 = '""&amp;Personagem!$H$10&amp;""' or Col2 = '""&amp;Personagem!$H$11&amp;""' ""),
if('Time 2'!C6 = ""Fiora"", query(IMPORTRANGE(cd_planilha, ""Armas!B3:G""), ""Select Col1 "&amp;"Where Col2 = '""&amp;Personagem!$I$10&amp;""' or Col2 = '""&amp;Personagem!$I$11&amp;""' ""),
if('Time 2'!C6 = ""Francesca"", query(IMPORTRANGE(cd_planilha, ""Armas!B3:G""), ""Select Col1 Where Col2 = '""&amp;Personagem!$J$10&amp;""' or Col2 = '""&amp;Personagem!$J$11&amp;""'""),
if('Ti"&amp;"me 2'!C6 = ""Garreth"", query(IMPORTRANGE(cd_planilha, ""Armas!B3:G""), ""Select Col1 Where Col2 = '""&amp;Personagem!$K$10&amp;""' or Col2 = '""&amp;Personagem!$K$11&amp;""'""),
if('Time 2'!C6 = ""Gauvin"", query(IMPORTRANGE(cd_planilha, ""Armas!B3:G""), ""Select Col1 W"&amp;"here Col2 = '""&amp;Personagem!$L$10&amp;""' or Col2 = '""&amp;Personagem!$L$11&amp;""' ""),
if('Time 2'!C6 = ""Irene"", query(IMPORTRANGE(cd_planilha, ""Armas!B3:G""), ""Select Col1 Where Col2 = '""&amp;Personagem!$M$10&amp;""' or Col2 = '""&amp;Personagem!$M$11&amp;""' ""),
if('Time 2"&amp;"'!C6 = ""Karal"", query(IMPORTRANGE(cd_planilha, ""Armas!B3:G""), ""Select Col1 Where Col2 = '""&amp;Personagem!$N$10&amp;""' or Col2 = '""&amp;Personagem!$N$11&amp;""' ""),
if('Time 2'!C6 = ""Kuro Shobi"", query(IMPORTRANGE(cd_planilha, ""Armas!B3:G""), ""Select Col1 Wh"&amp;"ere Col2 = '""&amp;Personagem!$O$10&amp;""' or Col2 = '""&amp;Personagem!$O$11&amp;""'""),
if('Time 2'!C6 = ""Kurul"", query(IMPORTRANGE(cd_planilha, ""Armas!B3:G""), ""Select Col1 Where Col2 = '""&amp;Personagem!$P$10&amp;""' or Col2 = '""&amp;Personagem!$P$11&amp;""' ""),
if('Time 2'!"&amp;"C6 = ""Lancaster"", query(IMPORTRANGE(cd_planilha, ""Armas!B3:G""), ""Select Col1 Where Col2 = '""&amp;Personagem!$Q$10&amp;""' or Col2 = '""&amp;Personagem!$Q$11&amp;""'""),
if('Time 2'!C6 = ""Lorelei"", query(IMPORTRANGE(cd_planilha, ""Armas!B3:G""), ""Select Col1 Wher"&amp;"e Col2 = '""&amp;Personagem!$R$10&amp;""' or Col2 = '""&amp;Personagem!$R$11&amp;""' ""),
if('Time 2'!C6 = ""Louca"", query(IMPORTRANGE(cd_planilha, ""Armas!B3:G""), ""Select Col1 Where Col2 = '""&amp;Personagem!$S$10&amp;""' or Col2 = '""&amp;Personagem!$S$11&amp;""' ""),
if('Time 2'!C"&amp;"6 = ""Melina"", query(IMPORTRANGE(cd_planilha, ""Armas!B3:G""), ""Select Col1 Where Col2 = '""&amp;Personagem!$T$10&amp;""' or Col2 = '""&amp;Personagem!$T$11&amp;""'""),
if('Time 2'!C6 = ""Mila"", query(IMPORTRANGE(cd_planilha, ""Armas!B3:G""), ""Select Col1 Where Col2 "&amp;"= '""&amp;Personagem!$U$10&amp;""' or Col2 = '""&amp;Personagem!$U$11&amp;""' ""),
if('Time 2'!C6 = ""Minh"", query(IMPORTRANGE(cd_planilha, ""Armas!B3:G""), ""Select Col1 Where Col2 = '""&amp;Personagem!$V$10&amp;""' or Col2 = '""&amp;Personagem!$V$11&amp;""' ""),
if('Time 2'!C6 = ""Mo"&amp;"jian"", query(IMPORTRANGE(cd_planilha, ""Armas!B3:G""), ""Select Col1 Where Col2 = '""&amp;Personagem!$W$10&amp;""' or Col2 = '""&amp;Personagem!$W$11&amp;""'""),
if('Time 2'!C6 = ""Nya"", query(IMPORTRANGE(cd_planilha, ""Armas!B3:G""), ""Select Col1 Where Col2 = '""&amp;Per"&amp;"sonagem!$X$10&amp;""' or Col2 = '""&amp;Personagem!$X$11&amp;""' ""),
if('Time 2'!C6 = ""Odette"", query(IMPORTRANGE(cd_planilha, ""Armas!B3:G""), ""Select Col1 Where Col2 = '""&amp;Personagem!$Y$10&amp;""' or Col2 = '""&amp;Personagem!$Y$11&amp;""'""),
if('Time 2'!C6 = ""Oneira"", "&amp;"query(IMPORTRANGE(cd_planilha, ""Armas!B3:G""), ""Select Col1 Where Col2 = '""&amp;Personagem!$Z$10&amp;""' or Col2 = '""&amp;Personagem!$Z$11&amp;""' ""),
if('Time 2'!C6 = ""Palash"", query(IMPORTRANGE(cd_planilha, ""Armas!B3:G""), ""Select Col1 Where Col2 = '""&amp;Persona"&amp;"gem!$AA$10&amp;""' or Col2 = '""&amp;Personagem!$AA$11&amp;""'""),
if('Time 2'!C6 = ""Theor"", query(IMPORTRANGE(cd_planilha, ""Armas!B3:G""), ""Select Col1 Where Col2 = '""&amp;Personagem!$AB$10&amp;""' or Col2 = '""&amp;Personagem!$AB$11&amp;""' ""),
if('Time 2'!C6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H598" s="241"/>
      <c r="I598" s="241" t="str">
        <f>IFERROR(__xludf.DUMMYFUNCTION("if('Time 2'!C7 = ""Albert"", query(IMPORTRANGE(cd_planilha, ""Armas!B3:G""), ""Select Col1 Where Col2 = '""&amp;Personagem!$B$10&amp;""' or Col2 = '""&amp;Personagem!$B$11&amp;""'""),     
if('Time 2'!C7 = ""Alicia"", query(IMPORTRANGE(cd_planilha, ""Armas!B3:G""), ""Sel"&amp;"ect Col1 Where Col2 = '""&amp;Personagem!$C$10&amp;""' or Col2 = '""&amp;Personagem!$C$11&amp;""'""),
if('Time 2'!C7 = ""Azula"", query(IMPORTRANGE(cd_planilha, ""Armas!B3:G""), ""Select Col1 Where Col2 = '""&amp;Personagem!$D$10&amp;""' or Col2 = '""&amp;Personagem!$D$11&amp;""' ""),
i"&amp;"f('Time 2'!C7 = ""Charles"", query(IMPORTRANGE(cd_planilha, ""Armas!B3:G""), ""Select Col1 Where Col2 = '""&amp;Personagem!$E$10&amp;""' or Col2 = '""&amp;Personagem!$E$11&amp;""'""),
if('Time 2'!C7 = ""Clovis"", query(IMPORTRANGE(cd_planilha, ""Armas!B3:G""), ""Select C"&amp;"ol1 Where Col2 = '""&amp;Personagem!$F$10&amp;""' or Col2 = '""&amp;Personagem!$F$11&amp;""' ""),
if('Time 2'!C7 = ""Darthos"", query(IMPORTRANGE(cd_planilha, ""Armas!B3:G""), ""Select Col1 Where Col2 = '""&amp;Personagem!$G$10&amp;""' or Col2 = '""&amp;Personagem!$G$11&amp;""'""),
if('"&amp;"Time 2'!C7 = ""Edward"", query(IMPORTRANGE(cd_planilha, ""Armas!B3:G""), ""Select Col1 Where Col2 = '""&amp;Personagem!$H$10&amp;""' or Col2 = '""&amp;Personagem!$H$11&amp;""' ""),
if('Time 2'!C7 = ""Fiora"", query(IMPORTRANGE(cd_planilha, ""Armas!B3:G""), ""Select Col1 "&amp;"Where Col2 = '""&amp;Personagem!$I$10&amp;""' or Col2 = '""&amp;Personagem!$I$11&amp;""' ""),
if('Time 2'!C7 = ""Francesca"", query(IMPORTRANGE(cd_planilha, ""Armas!B3:G""), ""Select Col1 Where Col2 = '""&amp;Personagem!$J$10&amp;""' or Col2 = '""&amp;Personagem!$J$11&amp;""'""),
if('Ti"&amp;"me 2'!C7 = ""Garreth"", query(IMPORTRANGE(cd_planilha, ""Armas!B3:G""), ""Select Col1 Where Col2 = '""&amp;Personagem!$K$10&amp;""' or Col2 = '""&amp;Personagem!$K$11&amp;""'""),
if('Time 2'!C7 = ""Gauvin"", query(IMPORTRANGE(cd_planilha, ""Armas!B3:G""), ""Select Col1 W"&amp;"here Col2 = '""&amp;Personagem!$L$10&amp;""' or Col2 = '""&amp;Personagem!$L$11&amp;""' ""),
if('Time 2'!C7 = ""Irene"", query(IMPORTRANGE(cd_planilha, ""Armas!B3:G""), ""Select Col1 Where Col2 = '""&amp;Personagem!$M$10&amp;""' or Col2 = '""&amp;Personagem!$M$11&amp;""' ""),
if('Time 2"&amp;"'!C7 = ""Karal"", query(IMPORTRANGE(cd_planilha, ""Armas!B3:G""), ""Select Col1 Where Col2 = '""&amp;Personagem!$N$10&amp;""' or Col2 = '""&amp;Personagem!$N$11&amp;""' ""),
if('Time 2'!C7 = ""Kuro Shobi"", query(IMPORTRANGE(cd_planilha, ""Armas!B3:G""), ""Select Col1 Wh"&amp;"ere Col2 = '""&amp;Personagem!$O$10&amp;""' or Col2 = '""&amp;Personagem!$O$11&amp;""'""),
if('Time 2'!C7 = ""Kurul"", query(IMPORTRANGE(cd_planilha, ""Armas!B3:G""), ""Select Col1 Where Col2 = '""&amp;Personagem!$P$10&amp;""' or Col2 = '""&amp;Personagem!$P$11&amp;""' ""),
if('Time 2'!"&amp;"C7 = ""Lancaster"", query(IMPORTRANGE(cd_planilha, ""Armas!B3:G""), ""Select Col1 Where Col2 = '""&amp;Personagem!$Q$10&amp;""' or Col2 = '""&amp;Personagem!$Q$11&amp;""'""),
if('Time 2'!C7 = ""Lorelei"", query(IMPORTRANGE(cd_planilha, ""Armas!B3:G""), ""Select Col1 Wher"&amp;"e Col2 = '""&amp;Personagem!$R$10&amp;""' or Col2 = '""&amp;Personagem!$R$11&amp;""' ""),
if('Time 2'!C7 = ""Louca"", query(IMPORTRANGE(cd_planilha, ""Armas!B3:G""), ""Select Col1 Where Col2 = '""&amp;Personagem!$S$10&amp;""' or Col2 = '""&amp;Personagem!$S$11&amp;""' ""),
if('Time 2'!C"&amp;"7 = ""Melina"", query(IMPORTRANGE(cd_planilha, ""Armas!B3:G""), ""Select Col1 Where Col2 = '""&amp;Personagem!$T$10&amp;""' or Col2 = '""&amp;Personagem!$T$11&amp;""'""),
if('Time 2'!C7 = ""Mila"", query(IMPORTRANGE(cd_planilha, ""Armas!B3:G""), ""Select Col1 Where Col2 "&amp;"= '""&amp;Personagem!$U$10&amp;""' or Col2 = '""&amp;Personagem!$U$11&amp;""' ""),
if('Time 2'!C7 = ""Minh"", query(IMPORTRANGE(cd_planilha, ""Armas!B3:G""), ""Select Col1 Where Col2 = '""&amp;Personagem!$V$10&amp;""' or Col2 = '""&amp;Personagem!$V$11&amp;""' ""),
if('Time 2'!C7 = ""Mo"&amp;"jian"", query(IMPORTRANGE(cd_planilha, ""Armas!B3:G""), ""Select Col1 Where Col2 = '""&amp;Personagem!$W$10&amp;""' or Col2 = '""&amp;Personagem!$W$11&amp;""'""),
if('Time 2'!C7 = ""Nya"", query(IMPORTRANGE(cd_planilha, ""Armas!B3:G""), ""Select Col1 Where Col2 = '""&amp;Per"&amp;"sonagem!$X$10&amp;""' or Col2 = '""&amp;Personagem!$X$11&amp;""' ""),
if('Time 2'!C7 = ""Odette"", query(IMPORTRANGE(cd_planilha, ""Armas!B3:G""), ""Select Col1 Where Col2 = '""&amp;Personagem!$Y$10&amp;""' or Col2 = '""&amp;Personagem!$Y$11&amp;""'""),
if('Time 2'!C7 = ""Oneira"", "&amp;"query(IMPORTRANGE(cd_planilha, ""Armas!B3:G""), ""Select Col1 Where Col2 = '""&amp;Personagem!$Z$10&amp;""' or Col2 = '""&amp;Personagem!$Z$11&amp;""' ""),
if('Time 2'!C7 = ""Palash"", query(IMPORTRANGE(cd_planilha, ""Armas!B3:G""), ""Select Col1 Where Col2 = '""&amp;Persona"&amp;"gem!$AA$10&amp;""' or Col2 = '""&amp;Personagem!$AA$11&amp;""'""),
if('Time 2'!C7 = ""Theor"", query(IMPORTRANGE(cd_planilha, ""Armas!B3:G""), ""Select Col1 Where Col2 = '""&amp;Personagem!$AB$10&amp;""' or Col2 = '""&amp;Personagem!$AB$11&amp;""' ""),
if('Time 2'!C7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J598" s="241"/>
      <c r="K598" s="241" t="str">
        <f>IFERROR(__xludf.DUMMYFUNCTION("if('Time 2'!C8 = ""Albert"", query(IMPORTRANGE(cd_planilha, ""Armas!B3:G""), ""Select Col1 Where Col2 = '""&amp;Personagem!$B$10&amp;""' or Col2 = '""&amp;Personagem!$B$11&amp;""'""),     
if('Time 2'!C8 = ""Alicia"", query(IMPORTRANGE(cd_planilha, ""Armas!B3:G""), ""Sel"&amp;"ect Col1 Where Col2 = '""&amp;Personagem!$C$10&amp;""' or Col2 = '""&amp;Personagem!$C$11&amp;""'""),
if('Time 2'!C8 = ""Azula"", query(IMPORTRANGE(cd_planilha, ""Armas!B3:G""), ""Select Col1 Where Col2 = '""&amp;Personagem!$D$10&amp;""' or Col2 = '""&amp;Personagem!$D$11&amp;""' ""),
i"&amp;"f('Time 2'!C8 = ""Charles"", query(IMPORTRANGE(cd_planilha, ""Armas!B3:G""), ""Select Col1 Where Col2 = '""&amp;Personagem!$E$10&amp;""' or Col2 = '""&amp;Personagem!$E$11&amp;""'""),
if('Time 2'!C8 = ""Clovis"", query(IMPORTRANGE(cd_planilha, ""Armas!B3:G""), ""Select C"&amp;"ol1 Where Col2 = '""&amp;Personagem!$F$10&amp;""' or Col2 = '""&amp;Personagem!$F$11&amp;""' ""),
if('Time 2'!C8 = ""Darthos"", query(IMPORTRANGE(cd_planilha, ""Armas!B3:G""), ""Select Col1 Where Col2 = '""&amp;Personagem!$G$10&amp;""' or Col2 = '""&amp;Personagem!$G$11&amp;""'""),
if('"&amp;"Time 2'!C8 = ""Edward"", query(IMPORTRANGE(cd_planilha, ""Armas!B3:G""), ""Select Col1 Where Col2 = '""&amp;Personagem!$H$10&amp;""' or Col2 = '""&amp;Personagem!$H$11&amp;""' ""),
if('Time 2'!C8 = ""Fiora"", query(IMPORTRANGE(cd_planilha, ""Armas!B3:G""), ""Select Col1 "&amp;"Where Col2 = '""&amp;Personagem!$I$10&amp;""' or Col2 = '""&amp;Personagem!$I$11&amp;""' ""),
if('Time 2'!C8 = ""Francesca"", query(IMPORTRANGE(cd_planilha, ""Armas!B3:G""), ""Select Col1 Where Col2 = '""&amp;Personagem!$J$10&amp;""' or Col2 = '""&amp;Personagem!$J$11&amp;""'""),
if('Ti"&amp;"me 2'!C8 = ""Garreth"", query(IMPORTRANGE(cd_planilha, ""Armas!B3:G""), ""Select Col1 Where Col2 = '""&amp;Personagem!$K$10&amp;""' or Col2 = '""&amp;Personagem!$K$11&amp;""'""),
if('Time 2'!C8 = ""Gauvin"", query(IMPORTRANGE(cd_planilha, ""Armas!B3:G""), ""Select Col1 W"&amp;"here Col2 = '""&amp;Personagem!$L$10&amp;""' or Col2 = '""&amp;Personagem!$L$11&amp;""' ""),
if('Time 2'!C8 = ""Irene"", query(IMPORTRANGE(cd_planilha, ""Armas!B3:G""), ""Select Col1 Where Col2 = '""&amp;Personagem!$M$10&amp;""' or Col2 = '""&amp;Personagem!$M$11&amp;""' ""),
if('Time 2"&amp;"'!C8 = ""Karal"", query(IMPORTRANGE(cd_planilha, ""Armas!B3:G""), ""Select Col1 Where Col2 = '""&amp;Personagem!$N$10&amp;""' or Col2 = '""&amp;Personagem!$N$11&amp;""' ""),
if('Time 2'!C8 = ""Kuro Shobi"", query(IMPORTRANGE(cd_planilha, ""Armas!B3:G""), ""Select Col1 Wh"&amp;"ere Col2 = '""&amp;Personagem!$O$10&amp;""' or Col2 = '""&amp;Personagem!$O$11&amp;""'""),
if('Time 2'!C8 = ""Kurul"", query(IMPORTRANGE(cd_planilha, ""Armas!B3:G""), ""Select Col1 Where Col2 = '""&amp;Personagem!$P$10&amp;""' or Col2 = '""&amp;Personagem!$P$11&amp;""' ""),
if('Time 2'!"&amp;"C8 = ""Lancaster"", query(IMPORTRANGE(cd_planilha, ""Armas!B3:G""), ""Select Col1 Where Col2 = '""&amp;Personagem!$Q$10&amp;""' or Col2 = '""&amp;Personagem!$Q$11&amp;""'""),
if('Time 2'!C8 = ""Lorelei"", query(IMPORTRANGE(cd_planilha, ""Armas!B3:G""), ""Select Col1 Wher"&amp;"e Col2 = '""&amp;Personagem!$R$10&amp;""' or Col2 = '""&amp;Personagem!$R$11&amp;""' ""),
if('Time 2'!C8 = ""Louca"", query(IMPORTRANGE(cd_planilha, ""Armas!B3:G""), ""Select Col1 Where Col2 = '""&amp;Personagem!$S$10&amp;""' or Col2 = '""&amp;Personagem!$S$11&amp;""' ""),
if('Time 2'!C"&amp;"8 = ""Melina"", query(IMPORTRANGE(cd_planilha, ""Armas!B3:G""), ""Select Col1 Where Col2 = '""&amp;Personagem!$T$10&amp;""' or Col2 = '""&amp;Personagem!$T$11&amp;""'""),
if('Time 2'!C8 = ""Mila"", query(IMPORTRANGE(cd_planilha, ""Armas!B3:G""), ""Select Col1 Where Col2 "&amp;"= '""&amp;Personagem!$U$10&amp;""' or Col2 = '""&amp;Personagem!$U$11&amp;""' ""),
if('Time 2'!C8 = ""Minh"", query(IMPORTRANGE(cd_planilha, ""Armas!B3:G""), ""Select Col1 Where Col2 = '""&amp;Personagem!$V$10&amp;""' or Col2 = '""&amp;Personagem!$V$11&amp;""' ""),
if('Time 2'!C8 = ""Mo"&amp;"jian"", query(IMPORTRANGE(cd_planilha, ""Armas!B3:G""), ""Select Col1 Where Col2 = '""&amp;Personagem!$W$10&amp;""' or Col2 = '""&amp;Personagem!$W$11&amp;""'""),
if('Time 2'!C8 = ""Nya"", query(IMPORTRANGE(cd_planilha, ""Armas!B3:G""), ""Select Col1 Where Col2 = '""&amp;Per"&amp;"sonagem!$X$10&amp;""' or Col2 = '""&amp;Personagem!$X$11&amp;""' ""),
if('Time 2'!C8 = ""Odette"", query(IMPORTRANGE(cd_planilha, ""Armas!B3:G""), ""Select Col1 Where Col2 = '""&amp;Personagem!$Y$10&amp;""' or Col2 = '""&amp;Personagem!$Y$11&amp;""'""),
if('Time 2'!C8 = ""Oneira"", "&amp;"query(IMPORTRANGE(cd_planilha, ""Armas!B3:G""), ""Select Col1 Where Col2 = '""&amp;Personagem!$Z$10&amp;""' or Col2 = '""&amp;Personagem!$Z$11&amp;""' ""),
if('Time 2'!C8 = ""Palash"", query(IMPORTRANGE(cd_planilha, ""Armas!B3:G""), ""Select Col1 Where Col2 = '""&amp;Persona"&amp;"gem!$AA$10&amp;""' or Col2 = '""&amp;Personagem!$AA$11&amp;""'""),
if('Time 2'!C8 = ""Theor"", query(IMPORTRANGE(cd_planilha, ""Armas!B3:G""), ""Select Col1 Where Col2 = '""&amp;Personagem!$AB$10&amp;""' or Col2 = '""&amp;Personagem!$AB$11&amp;""' ""),
if('Time 2'!C8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L598" s="242"/>
      <c r="M598" s="241" t="str">
        <f>IFERROR(__xludf.DUMMYFUNCTION("if('Time 2'!C3 = ""Albert"", query(IMPORTRANGE(cd_planilha, ""Armas!B3:G""), ""Select Col1 Where Col2 = '""&amp;Personagem!$B$12&amp;""' or Col2 = '""&amp;Personagem!$B$13&amp;""'""),     
if('Time 2'!C3 = ""Alicia"", query(IMPORTRANGE(cd_planilha, ""Armas!B3:G""), ""Sel"&amp;"ect Col1 Where Col2 = '""&amp;Personagem!$C$12&amp;""' or Col2 = '""&amp;Personagem!$C$13&amp;""'""),
if('Time 2'!C3 = ""Azula"", query(IMPORTRANGE(cd_planilha, ""Armas!B3:G""), ""Select Col1 Where Col2 = '""&amp;Personagem!$D$12&amp;""' or Col2 = '""&amp;Personagem!$D$13&amp;""' ""),
i"&amp;"f('Time 2'!C3 = ""Charles"", query(IMPORTRANGE(cd_planilha, ""Armas!B3:G""), ""Select Col1 Where Col2 = '""&amp;Personagem!$E$12&amp;""' or Col2 = '""&amp;Personagem!$E$13&amp;""'""),
if('Time 2'!C3 = ""Clovis"", query(IMPORTRANGE(cd_planilha, ""Armas!B3:G""), ""Select C"&amp;"ol1 Where Col2 = '""&amp;Personagem!$F$12&amp;""' or Col2 = '""&amp;Personagem!$F$13&amp;""' ""),
if('Time 2'!C3 = ""Darthos"", query(IMPORTRANGE(cd_planilha, ""Armas!B3:G""), ""Select Col1 Where Col2 = '""&amp;Personagem!$G$12&amp;""' or Col2 = '""&amp;Personagem!$G$13&amp;""'""),
if('"&amp;"Time 2'!C3 = ""Edward"", query(IMPORTRANGE(cd_planilha, ""Armas!B3:G""), ""Select Col1 Where Col2 = '""&amp;Personagem!$H$12&amp;""' or Col2 = '""&amp;Personagem!$H$13&amp;""' ""),
if('Time 2'!C3 = ""Fiora"", query(IMPORTRANGE(cd_planilha, ""Armas!B3:G""), ""Select Col1 "&amp;"Where Col2 = '""&amp;Personagem!$I$12&amp;""' or Col2 = '""&amp;Personagem!$I$13&amp;""' ""),
if('Time 2'!C3 = ""Francesca"", query(IMPORTRANGE(cd_planilha, ""Armas!B3:G""), ""Select Col1 Where Col2 = '""&amp;Personagem!$J$12&amp;""' or Col2 = '""&amp;Personagem!$J$13&amp;""'""),
if('Ti"&amp;"me 2'!C3 = ""Garreth"", query(IMPORTRANGE(cd_planilha, ""Armas!B3:G""), ""Select Col1 Where Col2 = '""&amp;Personagem!$K$12&amp;""' or Col2 = '""&amp;Personagem!$K$13&amp;""'""),
if('Time 2'!C3 = ""Gauvin"", query(IMPORTRANGE(cd_planilha, ""Armas!B3:G""), ""Select Col1 W"&amp;"here Col2 = '""&amp;Personagem!$L$12&amp;""' or Col2 = '""&amp;Personagem!$L$13&amp;""' ""),
if('Time 2'!C3 = ""Irene"", query(IMPORTRANGE(cd_planilha, ""Armas!B3:G""), ""Select Col1 Where Col2 = '""&amp;Personagem!$M$12&amp;""' or Col2 = '""&amp;Personagem!$M$13&amp;""' ""),
if('Time 2"&amp;"'!C3 = ""Karal"", query(IMPORTRANGE(cd_planilha, ""Armas!B3:G""), ""Select Col1 Where Col2 = '""&amp;Personagem!$N$12&amp;""' or Col2 = '""&amp;Personagem!$N$13&amp;""' ""),
if('Time 2'!C3 = ""Kuro Shobi"", query(IMPORTRANGE(cd_planilha, ""Armas!B3:G""), ""Select Col1 Wh"&amp;"ere Col2 = '""&amp;Personagem!$O$12&amp;""' or Col2 = '""&amp;Personagem!$O$13&amp;""'""),
if('Time 2'!C3 = ""Kurul"", query(IMPORTRANGE(cd_planilha, ""Armas!B3:G""), ""Select Col1 Where Col2 = '""&amp;Personagem!$P$12&amp;""' or Col2 = '""&amp;Personagem!$P$13&amp;""' ""),
if('Time 2'!"&amp;"C3 = ""Lancaster"", query(IMPORTRANGE(cd_planilha, ""Armas!B3:G""), ""Select Col1 Where Col2 = '""&amp;Personagem!$Q$12&amp;""' or Col2 = '""&amp;Personagem!$Q$13&amp;""'""),
if('Time 2'!C3 = ""Lorelei"", query(IMPORTRANGE(cd_planilha, ""Armas!B3:G""), ""Select Col1 Wher"&amp;"e Col2 = '""&amp;Personagem!$R$12&amp;""' or Col2 = '""&amp;Personagem!$R$13&amp;""' ""),
if('Time 2'!C3 = ""Louca"", query(IMPORTRANGE(cd_planilha, ""Armas!B3:G""), ""Select Col1 Where Col2 = '""&amp;Personagem!$S$12&amp;""' or Col2 = '""&amp;Personagem!$S$13&amp;""' ""),
if('Time 2'!C"&amp;"3 = ""Melina"", query(IMPORTRANGE(cd_planilha, ""Armas!B3:G""), ""Select Col1 Where Col2 = '""&amp;Personagem!$T$12&amp;""' or Col2 = '""&amp;Personagem!$T$13&amp;""'""),
if('Time 2'!C3 = ""Mila"", query(IMPORTRANGE(cd_planilha, ""Armas!B3:G""), ""Select Col1 Where Col2 "&amp;"= '""&amp;Personagem!$U$12&amp;""' or Col2 = '""&amp;Personagem!$U$13&amp;""' ""),
if('Time 2'!C3 = ""Minh"", query(IMPORTRANGE(cd_planilha, ""Armas!B3:G""), ""Select Col1 Where Col2 = '""&amp;Personagem!$V$12&amp;""' or Col2 = '""&amp;Personagem!$V$13&amp;""' ""),
if('Time 2'!C3 = ""Mo"&amp;"jian"", query(IMPORTRANGE(cd_planilha, ""Armas!B3:G""), ""Select Col1 Where Col2 = '""&amp;Personagem!$W$12&amp;""' or Col2 = '""&amp;Personagem!$W$13&amp;""'""),
if('Time 2'!C3 = ""Nya"", query(IMPORTRANGE(cd_planilha, ""Armas!B3:G""), ""Select Col1 Where Col2 = '""&amp;Per"&amp;"sonagem!$X$12&amp;""' or Col2 = '""&amp;Personagem!$X$13&amp;""' ""),
if('Time 2'!C3 = ""Odette"", query(IMPORTRANGE(cd_planilha, ""Armas!B3:G""), ""Select Col1 Where Col2 = '""&amp;Personagem!$Y$12&amp;""' or Col2 = '""&amp;Personagem!$Y$13&amp;""'""),
if('Time 2'!C3 = ""Oneira"", "&amp;"query(IMPORTRANGE(cd_planilha, ""Armas!B3:G""), ""Select Col1 Where Col2 = '""&amp;Personagem!$Z$12&amp;""' or Col2 = '""&amp;Personagem!$Z$13&amp;""' ""),
if('Time 2'!C3 = ""Palash"", query(IMPORTRANGE(cd_planilha, ""Armas!B3:G""), ""Select Col1 Where Col2 = '""&amp;Persona"&amp;"gem!$AA$12&amp;""' or Col2 = '""&amp;Personagem!$AA$13&amp;""'""),
if('Time 2'!C3 = ""Theor"", query(IMPORTRANGE(cd_planilha, ""Armas!B3:G""), ""Select Col1 Where Col2 = '""&amp;Personagem!$AB$12&amp;""' or Col2 = '""&amp;Personagem!$AB$13&amp;""' ""),
if('Time 2'!C3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N598" s="241"/>
      <c r="O598" s="241" t="str">
        <f>IFERROR(__xludf.DUMMYFUNCTION("if('Time 2'!C4 = ""Albert"", query(IMPORTRANGE(cd_planilha, ""Armas!B3:G""), ""Select Col1 Where Col2 = '""&amp;Personagem!$B$12&amp;""' or Col2 = '""&amp;Personagem!$B$13&amp;""'""),     
if('Time 2'!C4 = ""Alicia"", query(IMPORTRANGE(cd_planilha, ""Armas!B3:G""), ""Sel"&amp;"ect Col1 Where Col2 = '""&amp;Personagem!$C$12&amp;""' or Col2 = '""&amp;Personagem!$C$13&amp;""'""),
if('Time 2'!C4 = ""Azula"", query(IMPORTRANGE(cd_planilha, ""Armas!B3:G""), ""Select Col1 Where Col2 = '""&amp;Personagem!$D$12&amp;""' or Col2 = '""&amp;Personagem!$D$13&amp;""' ""),
i"&amp;"f('Time 2'!C4 = ""Charles"", query(IMPORTRANGE(cd_planilha, ""Armas!B3:G""), ""Select Col1 Where Col2 = '""&amp;Personagem!$E$12&amp;""' or Col2 = '""&amp;Personagem!$E$13&amp;""'""),
if('Time 2'!C4 = ""Clovis"", query(IMPORTRANGE(cd_planilha, ""Armas!B3:G""), ""Select C"&amp;"ol1 Where Col2 = '""&amp;Personagem!$F$12&amp;""' or Col2 = '""&amp;Personagem!$F$13&amp;""' ""),
if('Time 2'!C4 = ""Darthos"", query(IMPORTRANGE(cd_planilha, ""Armas!B3:G""), ""Select Col1 Where Col2 = '""&amp;Personagem!$G$12&amp;""' or Col2 = '""&amp;Personagem!$G$13&amp;""'""),
if('"&amp;"Time 2'!C4 = ""Edward"", query(IMPORTRANGE(cd_planilha, ""Armas!B3:G""), ""Select Col1 Where Col2 = '""&amp;Personagem!$H$12&amp;""' or Col2 = '""&amp;Personagem!$H$13&amp;""' ""),
if('Time 2'!C4 = ""Fiora"", query(IMPORTRANGE(cd_planilha, ""Armas!B3:G""), ""Select Col1 "&amp;"Where Col2 = '""&amp;Personagem!$I$12&amp;""' or Col2 = '""&amp;Personagem!$I$13&amp;""' ""),
if('Time 2'!C4 = ""Francesca"", query(IMPORTRANGE(cd_planilha, ""Armas!B3:G""), ""Select Col1 Where Col2 = '""&amp;Personagem!$J$12&amp;""' or Col2 = '""&amp;Personagem!$J$13&amp;""'""),
if('Ti"&amp;"me 2'!C4 = ""Garreth"", query(IMPORTRANGE(cd_planilha, ""Armas!B3:G""), ""Select Col1 Where Col2 = '""&amp;Personagem!$K$12&amp;""' or Col2 = '""&amp;Personagem!$K$13&amp;""'""),
if('Time 2'!C4 = ""Gauvin"", query(IMPORTRANGE(cd_planilha, ""Armas!B3:G""), ""Select Col1 W"&amp;"here Col2 = '""&amp;Personagem!$L$12&amp;""' or Col2 = '""&amp;Personagem!$L$13&amp;""' ""),
if('Time 2'!C4 = ""Irene"", query(IMPORTRANGE(cd_planilha, ""Armas!B3:G""), ""Select Col1 Where Col2 = '""&amp;Personagem!$M$12&amp;""' or Col2 = '""&amp;Personagem!$M$13&amp;""' ""),
if('Time 2"&amp;"'!C4 = ""Karal"", query(IMPORTRANGE(cd_planilha, ""Armas!B3:G""), ""Select Col1 Where Col2 = '""&amp;Personagem!$N$12&amp;""' or Col2 = '""&amp;Personagem!$N$13&amp;""' ""),
if('Time 2'!C4 = ""Kuro Shobi"", query(IMPORTRANGE(cd_planilha, ""Armas!B3:G""), ""Select Col1 Wh"&amp;"ere Col2 = '""&amp;Personagem!$O$12&amp;""' or Col2 = '""&amp;Personagem!$O$13&amp;""'""),
if('Time 2'!C4 = ""Kurul"", query(IMPORTRANGE(cd_planilha, ""Armas!B3:G""), ""Select Col1 Where Col2 = '""&amp;Personagem!$P$12&amp;""' or Col2 = '""&amp;Personagem!$P$13&amp;""' ""),
if('Time 2'!"&amp;"C4 = ""Lancaster"", query(IMPORTRANGE(cd_planilha, ""Armas!B3:G""), ""Select Col1 Where Col2 = '""&amp;Personagem!$Q$12&amp;""' or Col2 = '""&amp;Personagem!$Q$13&amp;""'""),
if('Time 2'!C4 = ""Lorelei"", query(IMPORTRANGE(cd_planilha, ""Armas!B3:G""), ""Select Col1 Wher"&amp;"e Col2 = '""&amp;Personagem!$R$12&amp;""' or Col2 = '""&amp;Personagem!$R$13&amp;""' ""),
if('Time 2'!C4 = ""Louca"", query(IMPORTRANGE(cd_planilha, ""Armas!B3:G""), ""Select Col1 Where Col2 = '""&amp;Personagem!$S$12&amp;""' or Col2 = '""&amp;Personagem!$S$13&amp;""' ""),
if('Time 2'!C"&amp;"4 = ""Melina"", query(IMPORTRANGE(cd_planilha, ""Armas!B3:G""), ""Select Col1 Where Col2 = '""&amp;Personagem!$T$12&amp;""' or Col2 = '""&amp;Personagem!$T$13&amp;""'""),
if('Time 2'!C4 = ""Mila"", query(IMPORTRANGE(cd_planilha, ""Armas!B3:G""), ""Select Col1 Where Col2 "&amp;"= '""&amp;Personagem!$U$12&amp;""' or Col2 = '""&amp;Personagem!$U$13&amp;""' ""),
if('Time 2'!C4 = ""Minh"", query(IMPORTRANGE(cd_planilha, ""Armas!B3:G""), ""Select Col1 Where Col2 = '""&amp;Personagem!$V$12&amp;""' or Col2 = '""&amp;Personagem!$V$13&amp;""' ""),
if('Time 2'!C4 = ""Mo"&amp;"jian"", query(IMPORTRANGE(cd_planilha, ""Armas!B3:G""), ""Select Col1 Where Col2 = '""&amp;Personagem!$W$12&amp;""' or Col2 = '""&amp;Personagem!$W$13&amp;""'""),
if('Time 2'!C4 = ""Nya"", query(IMPORTRANGE(cd_planilha, ""Armas!B3:G""), ""Select Col1 Where Col2 = '""&amp;Per"&amp;"sonagem!$X$12&amp;""' or Col2 = '""&amp;Personagem!$X$13&amp;""' ""),
if('Time 2'!C4 = ""Odette"", query(IMPORTRANGE(cd_planilha, ""Armas!B3:G""), ""Select Col1 Where Col2 = '""&amp;Personagem!$Y$12&amp;""' or Col2 = '""&amp;Personagem!$Y$13&amp;""'""),
if('Time 2'!C4 = ""Oneira"", "&amp;"query(IMPORTRANGE(cd_planilha, ""Armas!B3:G""), ""Select Col1 Where Col2 = '""&amp;Personagem!$Z$12&amp;""' or Col2 = '""&amp;Personagem!$Z$13&amp;""' ""),
if('Time 2'!C4 = ""Palash"", query(IMPORTRANGE(cd_planilha, ""Armas!B3:G""), ""Select Col1 Where Col2 = '""&amp;Persona"&amp;"gem!$AA$12&amp;""' or Col2 = '""&amp;Personagem!$AA$13&amp;""'""),
if('Time 2'!C4 = ""Theor"", query(IMPORTRANGE(cd_planilha, ""Armas!B3:G""), ""Select Col1 Where Col2 = '""&amp;Personagem!$AB$12&amp;""' or Col2 = '""&amp;Personagem!$AB$13&amp;""' ""),
if('Time 2'!C4 = ""Yue"", quer"&amp;"y(IMPORTRANGE(cd_planilha, ""Armas!B3:G""), ""Select Col1 Where Col2 = '""&amp;Personagem!$AC$12&amp;""' or Col2 = '""&amp;Personagem!$AC$13&amp;""'""
)))))))))))))))))))))))))))))"),"Botas da Lua")</f>
        <v>Botas da Lua</v>
      </c>
      <c r="P598" s="241"/>
      <c r="Q598" s="241" t="str">
        <f>IFERROR(__xludf.DUMMYFUNCTION("if('Time 2'!C5 = ""Albert"", query(IMPORTRANGE(cd_planilha, ""Armas!B3:G""), ""Select Col1 Where Col2 = '""&amp;Personagem!$B$12&amp;""' or Col2 = '""&amp;Personagem!$B$13&amp;""'""),     
if('Time 2'!C5 = ""Alicia"", query(IMPORTRANGE(cd_planilha, ""Armas!B3:G""), ""Sel"&amp;"ect Col1 Where Col2 = '""&amp;Personagem!$C$12&amp;""' or Col2 = '""&amp;Personagem!$C$13&amp;""'""),
if('Time 2'!C5 = ""Azula"", query(IMPORTRANGE(cd_planilha, ""Armas!B3:G""), ""Select Col1 Where Col2 = '""&amp;Personagem!$D$12&amp;""' or Col2 = '""&amp;Personagem!$D$13&amp;""' ""),
i"&amp;"f('Time 2'!C5 = ""Charles"", query(IMPORTRANGE(cd_planilha, ""Armas!B3:G""), ""Select Col1 Where Col2 = '""&amp;Personagem!$E$12&amp;""' or Col2 = '""&amp;Personagem!$E$13&amp;""'""),
if('Time 2'!C5 = ""Clovis"", query(IMPORTRANGE(cd_planilha, ""Armas!B3:G""), ""Select C"&amp;"ol1 Where Col2 = '""&amp;Personagem!$F$12&amp;""' or Col2 = '""&amp;Personagem!$F$13&amp;""' ""),
if('Time 2'!C5 = ""Darthos"", query(IMPORTRANGE(cd_planilha, ""Armas!B3:G""), ""Select Col1 Where Col2 = '""&amp;Personagem!$G$12&amp;""' or Col2 = '""&amp;Personagem!$G$13&amp;""'""),
if('"&amp;"Time 2'!C5 = ""Edward"", query(IMPORTRANGE(cd_planilha, ""Armas!B3:G""), ""Select Col1 Where Col2 = '""&amp;Personagem!$H$12&amp;""' or Col2 = '""&amp;Personagem!$H$13&amp;""' ""),
if('Time 2'!C5 = ""Fiora"", query(IMPORTRANGE(cd_planilha, ""Armas!B3:G""), ""Select Col1 "&amp;"Where Col2 = '""&amp;Personagem!$I$12&amp;""' or Col2 = '""&amp;Personagem!$I$13&amp;""' ""),
if('Time 2'!C5 = ""Francesca"", query(IMPORTRANGE(cd_planilha, ""Armas!B3:G""), ""Select Col1 Where Col2 = '""&amp;Personagem!$J$12&amp;""' or Col2 = '""&amp;Personagem!$J$13&amp;""'""),
if('Ti"&amp;"me 2'!C5 = ""Garreth"", query(IMPORTRANGE(cd_planilha, ""Armas!B3:G""), ""Select Col1 Where Col2 = '""&amp;Personagem!$K$12&amp;""' or Col2 = '""&amp;Personagem!$K$13&amp;""'""),
if('Time 2'!C5 = ""Gauvin"", query(IMPORTRANGE(cd_planilha, ""Armas!B3:G""), ""Select Col1 W"&amp;"here Col2 = '""&amp;Personagem!$L$12&amp;""' or Col2 = '""&amp;Personagem!$L$13&amp;""' ""),
if('Time 2'!C5 = ""Irene"", query(IMPORTRANGE(cd_planilha, ""Armas!B3:G""), ""Select Col1 Where Col2 = '""&amp;Personagem!$M$12&amp;""' or Col2 = '""&amp;Personagem!$M$13&amp;""' ""),
if('Time 2"&amp;"'!C5 = ""Karal"", query(IMPORTRANGE(cd_planilha, ""Armas!B3:G""), ""Select Col1 Where Col2 = '""&amp;Personagem!$N$12&amp;""' or Col2 = '""&amp;Personagem!$N$13&amp;""' ""),
if('Time 2'!C5 = ""Kuro Shobi"", query(IMPORTRANGE(cd_planilha, ""Armas!B3:G""), ""Select Col1 Wh"&amp;"ere Col2 = '""&amp;Personagem!$O$12&amp;""' or Col2 = '""&amp;Personagem!$O$13&amp;""'""),
if('Time 2'!C5 = ""Kurul"", query(IMPORTRANGE(cd_planilha, ""Armas!B3:G""), ""Select Col1 Where Col2 = '""&amp;Personagem!$P$12&amp;""' or Col2 = '""&amp;Personagem!$P$13&amp;""' ""),
if('Time 2'!"&amp;"C5 = ""Lancaster"", query(IMPORTRANGE(cd_planilha, ""Armas!B3:G""), ""Select Col1 Where Col2 = '""&amp;Personagem!$Q$12&amp;""' or Col2 = '""&amp;Personagem!$Q$13&amp;""'""),
if('Time 2'!C5 = ""Lorelei"", query(IMPORTRANGE(cd_planilha, ""Armas!B3:G""), ""Select Col1 Wher"&amp;"e Col2 = '""&amp;Personagem!$R$12&amp;""' or Col2 = '""&amp;Personagem!$R$13&amp;""' ""),
if('Time 2'!C5 = ""Louca"", query(IMPORTRANGE(cd_planilha, ""Armas!B3:G""), ""Select Col1 Where Col2 = '""&amp;Personagem!$S$12&amp;""' or Col2 = '""&amp;Personagem!$S$13&amp;""' ""),
if('Time 2'!C"&amp;"5 = ""Melina"", query(IMPORTRANGE(cd_planilha, ""Armas!B3:G""), ""Select Col1 Where Col2 = '""&amp;Personagem!$T$12&amp;""' or Col2 = '""&amp;Personagem!$T$13&amp;""'""),
if('Time 2'!C5 = ""Mila"", query(IMPORTRANGE(cd_planilha, ""Armas!B3:G""), ""Select Col1 Where Col2 "&amp;"= '""&amp;Personagem!$U$12&amp;""' or Col2 = '""&amp;Personagem!$U$13&amp;""' ""),
if('Time 2'!C5 = ""Minh"", query(IMPORTRANGE(cd_planilha, ""Armas!B3:G""), ""Select Col1 Where Col2 = '""&amp;Personagem!$V$12&amp;""' or Col2 = '""&amp;Personagem!$V$13&amp;""' ""),
if('Time 2'!C5 = ""Mo"&amp;"jian"", query(IMPORTRANGE(cd_planilha, ""Armas!B3:G""), ""Select Col1 Where Col2 = '""&amp;Personagem!$W$12&amp;""' or Col2 = '""&amp;Personagem!$W$13&amp;""'""),
if('Time 2'!C5 = ""Nya"", query(IMPORTRANGE(cd_planilha, ""Armas!B3:G""), ""Select Col1 Where Col2 = '""&amp;Per"&amp;"sonagem!$X$12&amp;""' or Col2 = '""&amp;Personagem!$X$13&amp;""' ""),
if('Time 2'!C5 = ""Odette"", query(IMPORTRANGE(cd_planilha, ""Armas!B3:G""), ""Select Col1 Where Col2 = '""&amp;Personagem!$Y$12&amp;""' or Col2 = '""&amp;Personagem!$Y$13&amp;""'""),
if('Time 2'!C5 = ""Oneira"", "&amp;"query(IMPORTRANGE(cd_planilha, ""Armas!B3:G""), ""Select Col1 Where Col2 = '""&amp;Personagem!$Z$12&amp;""' or Col2 = '""&amp;Personagem!$Z$13&amp;""' ""),
if('Time 2'!C5 = ""Palash"", query(IMPORTRANGE(cd_planilha, ""Armas!B3:G""), ""Select Col1 Where Col2 = '""&amp;Persona"&amp;"gem!$AA$12&amp;""' or Col2 = '""&amp;Personagem!$AA$13&amp;""'""),
if('Time 2'!C5 = ""Theor"", query(IMPORTRANGE(cd_planilha, ""Armas!B3:G""), ""Select Col1 Where Col2 = '""&amp;Personagem!$AB$12&amp;""' or Col2 = '""&amp;Personagem!$AB$13&amp;""' ""),
if('Time 2'!C5 = ""Yue"", quer"&amp;"y(IMPORTRANGE(cd_planilha, ""Armas!B3:G""), ""Select Col1 Where Col2 = '""&amp;Personagem!$AC$12&amp;""' or Col2 = '""&amp;Personagem!$AC$13&amp;""'""
)))))))))))))))))))))))))))))"),"Botas da Lua")</f>
        <v>Botas da Lua</v>
      </c>
      <c r="R598" s="241"/>
      <c r="S598" s="241" t="str">
        <f>IFERROR(__xludf.DUMMYFUNCTION("if('Time 2'!C6 = ""Albert"", query(IMPORTRANGE(cd_planilha, ""Armas!B3:G""), ""Select Col1 Where Col2 = '""&amp;Personagem!$B$12&amp;""' or Col2 = '""&amp;Personagem!$B$13&amp;""'""),     
if('Time 2'!C6 = ""Alicia"", query(IMPORTRANGE(cd_planilha, ""Armas!B3:G""), ""Sel"&amp;"ect Col1 Where Col2 = '""&amp;Personagem!$C$12&amp;""' or Col2 = '""&amp;Personagem!$C$13&amp;""'""),
if('Time 2'!C6 = ""Azula"", query(IMPORTRANGE(cd_planilha, ""Armas!B3:G""), ""Select Col1 Where Col2 = '""&amp;Personagem!$D$12&amp;""' or Col2 = '""&amp;Personagem!$D$13&amp;""' ""),
i"&amp;"f('Time 2'!C6 = ""Charles"", query(IMPORTRANGE(cd_planilha, ""Armas!B3:G""), ""Select Col1 Where Col2 = '""&amp;Personagem!$E$12&amp;""' or Col2 = '""&amp;Personagem!$E$13&amp;""'""),
if('Time 2'!C6 = ""Clovis"", query(IMPORTRANGE(cd_planilha, ""Armas!B3:G""), ""Select C"&amp;"ol1 Where Col2 = '""&amp;Personagem!$F$12&amp;""' or Col2 = '""&amp;Personagem!$F$13&amp;""' ""),
if('Time 2'!C6 = ""Darthos"", query(IMPORTRANGE(cd_planilha, ""Armas!B3:G""), ""Select Col1 Where Col2 = '""&amp;Personagem!$G$12&amp;""' or Col2 = '""&amp;Personagem!$G$13&amp;""'""),
if('"&amp;"Time 2'!C6 = ""Edward"", query(IMPORTRANGE(cd_planilha, ""Armas!B3:G""), ""Select Col1 Where Col2 = '""&amp;Personagem!$H$12&amp;""' or Col2 = '""&amp;Personagem!$H$13&amp;""' ""),
if('Time 2'!C6 = ""Fiora"", query(IMPORTRANGE(cd_planilha, ""Armas!B3:G""), ""Select Col1 "&amp;"Where Col2 = '""&amp;Personagem!$I$12&amp;""' or Col2 = '""&amp;Personagem!$I$13&amp;""' ""),
if('Time 2'!C6 = ""Francesca"", query(IMPORTRANGE(cd_planilha, ""Armas!B3:G""), ""Select Col1 Where Col2 = '""&amp;Personagem!$J$12&amp;""' or Col2 = '""&amp;Personagem!$J$13&amp;""'""),
if('Ti"&amp;"me 2'!C6 = ""Garreth"", query(IMPORTRANGE(cd_planilha, ""Armas!B3:G""), ""Select Col1 Where Col2 = '""&amp;Personagem!$K$12&amp;""' or Col2 = '""&amp;Personagem!$K$13&amp;""'""),
if('Time 2'!C6 = ""Gauvin"", query(IMPORTRANGE(cd_planilha, ""Armas!B3:G""), ""Select Col1 W"&amp;"here Col2 = '""&amp;Personagem!$L$12&amp;""' or Col2 = '""&amp;Personagem!$L$13&amp;""' ""),
if('Time 2'!C6 = ""Irene"", query(IMPORTRANGE(cd_planilha, ""Armas!B3:G""), ""Select Col1 Where Col2 = '""&amp;Personagem!$M$12&amp;""' or Col2 = '""&amp;Personagem!$M$13&amp;""' ""),
if('Time 2"&amp;"'!C6 = ""Karal"", query(IMPORTRANGE(cd_planilha, ""Armas!B3:G""), ""Select Col1 Where Col2 = '""&amp;Personagem!$N$12&amp;""' or Col2 = '""&amp;Personagem!$N$13&amp;""' ""),
if('Time 2'!C6 = ""Kuro Shobi"", query(IMPORTRANGE(cd_planilha, ""Armas!B3:G""), ""Select Col1 Wh"&amp;"ere Col2 = '""&amp;Personagem!$O$12&amp;""' or Col2 = '""&amp;Personagem!$O$13&amp;""'""),
if('Time 2'!C6 = ""Kurul"", query(IMPORTRANGE(cd_planilha, ""Armas!B3:G""), ""Select Col1 Where Col2 = '""&amp;Personagem!$P$12&amp;""' or Col2 = '""&amp;Personagem!$P$13&amp;""' ""),
if('Time 2'!"&amp;"C6 = ""Lancaster"", query(IMPORTRANGE(cd_planilha, ""Armas!B3:G""), ""Select Col1 Where Col2 = '""&amp;Personagem!$Q$12&amp;""' or Col2 = '""&amp;Personagem!$Q$13&amp;""'""),
if('Time 2'!C6 = ""Lorelei"", query(IMPORTRANGE(cd_planilha, ""Armas!B3:G""), ""Select Col1 Wher"&amp;"e Col2 = '""&amp;Personagem!$R$12&amp;""' or Col2 = '""&amp;Personagem!$R$13&amp;""' ""),
if('Time 2'!C6 = ""Louca"", query(IMPORTRANGE(cd_planilha, ""Armas!B3:G""), ""Select Col1 Where Col2 = '""&amp;Personagem!$S$12&amp;""' or Col2 = '""&amp;Personagem!$S$13&amp;""' ""),
if('Time 2'!C"&amp;"6 = ""Melina"", query(IMPORTRANGE(cd_planilha, ""Armas!B3:G""), ""Select Col1 Where Col2 = '""&amp;Personagem!$T$12&amp;""' or Col2 = '""&amp;Personagem!$T$13&amp;""'""),
if('Time 2'!C6 = ""Mila"", query(IMPORTRANGE(cd_planilha, ""Armas!B3:G""), ""Select Col1 Where Col2 "&amp;"= '""&amp;Personagem!$U$12&amp;""' or Col2 = '""&amp;Personagem!$U$13&amp;""' ""),
if('Time 2'!C6 = ""Minh"", query(IMPORTRANGE(cd_planilha, ""Armas!B3:G""), ""Select Col1 Where Col2 = '""&amp;Personagem!$V$12&amp;""' or Col2 = '""&amp;Personagem!$V$13&amp;""' ""),
if('Time 2'!C6 = ""Mo"&amp;"jian"", query(IMPORTRANGE(cd_planilha, ""Armas!B3:G""), ""Select Col1 Where Col2 = '""&amp;Personagem!$W$12&amp;""' or Col2 = '""&amp;Personagem!$W$13&amp;""'""),
if('Time 2'!C6 = ""Nya"", query(IMPORTRANGE(cd_planilha, ""Armas!B3:G""), ""Select Col1 Where Col2 = '""&amp;Per"&amp;"sonagem!$X$12&amp;""' or Col2 = '""&amp;Personagem!$X$13&amp;""' ""),
if('Time 2'!C6 = ""Odette"", query(IMPORTRANGE(cd_planilha, ""Armas!B3:G""), ""Select Col1 Where Col2 = '""&amp;Personagem!$Y$12&amp;""' or Col2 = '""&amp;Personagem!$Y$13&amp;""'""),
if('Time 2'!C6 = ""Oneira"", "&amp;"query(IMPORTRANGE(cd_planilha, ""Armas!B3:G""), ""Select Col1 Where Col2 = '""&amp;Personagem!$Z$12&amp;""' or Col2 = '""&amp;Personagem!$Z$13&amp;""' ""),
if('Time 2'!C6 = ""Palash"", query(IMPORTRANGE(cd_planilha, ""Armas!B3:G""), ""Select Col1 Where Col2 = '""&amp;Persona"&amp;"gem!$AA$12&amp;""' or Col2 = '""&amp;Personagem!$AA$13&amp;""'""),
if('Time 2'!C6 = ""Theor"", query(IMPORTRANGE(cd_planilha, ""Armas!B3:G""), ""Select Col1 Where Col2 = '""&amp;Personagem!$AB$12&amp;""' or Col2 = '""&amp;Personagem!$AB$13&amp;""' ""),
if('Time 2'!C6 = ""Yue"", quer"&amp;"y(IMPORTRANGE(cd_planilha, ""Armas!B3:G""), ""Select Col1 Where Col2 = '""&amp;Personagem!$AC$12&amp;""' or Col2 = '""&amp;Personagem!$AC$13&amp;""'""
)))))))))))))))))))))))))))))"),"Botas da Lua")</f>
        <v>Botas da Lua</v>
      </c>
      <c r="T598" s="241"/>
      <c r="U598" s="241" t="str">
        <f>IFERROR(__xludf.DUMMYFUNCTION("if('Time 2'!C7 = ""Albert"", query(IMPORTRANGE(cd_planilha, ""Armas!B3:G""), ""Select Col1 Where Col2 = '""&amp;Personagem!$B$12&amp;""' or Col2 = '""&amp;Personagem!$B$13&amp;""'""),     
if('Time 2'!C7 = ""Alicia"", query(IMPORTRANGE(cd_planilha, ""Armas!B3:G""), ""Sel"&amp;"ect Col1 Where Col2 = '""&amp;Personagem!$C$12&amp;""' or Col2 = '""&amp;Personagem!$C$13&amp;""'""),
if('Time 2'!C7 = ""Azula"", query(IMPORTRANGE(cd_planilha, ""Armas!B3:G""), ""Select Col1 Where Col2 = '""&amp;Personagem!$D$12&amp;""' or Col2 = '""&amp;Personagem!$D$13&amp;""' ""),
i"&amp;"f('Time 2'!C7 = ""Charles"", query(IMPORTRANGE(cd_planilha, ""Armas!B3:G""), ""Select Col1 Where Col2 = '""&amp;Personagem!$E$12&amp;""' or Col2 = '""&amp;Personagem!$E$13&amp;""'""),
if('Time 2'!C7 = ""Clovis"", query(IMPORTRANGE(cd_planilha, ""Armas!B3:G""), ""Select C"&amp;"ol1 Where Col2 = '""&amp;Personagem!$F$12&amp;""' or Col2 = '""&amp;Personagem!$F$13&amp;""' ""),
if('Time 2'!C7 = ""Darthos"", query(IMPORTRANGE(cd_planilha, ""Armas!B3:G""), ""Select Col1 Where Col2 = '""&amp;Personagem!$G$12&amp;""' or Col2 = '""&amp;Personagem!$G$13&amp;""'""),
if('"&amp;"Time 2'!C7 = ""Edward"", query(IMPORTRANGE(cd_planilha, ""Armas!B3:G""), ""Select Col1 Where Col2 = '""&amp;Personagem!$H$12&amp;""' or Col2 = '""&amp;Personagem!$H$13&amp;""' ""),
if('Time 2'!C7 = ""Fiora"", query(IMPORTRANGE(cd_planilha, ""Armas!B3:G""), ""Select Col1 "&amp;"Where Col2 = '""&amp;Personagem!$I$12&amp;""' or Col2 = '""&amp;Personagem!$I$13&amp;""' ""),
if('Time 2'!C7 = ""Francesca"", query(IMPORTRANGE(cd_planilha, ""Armas!B3:G""), ""Select Col1 Where Col2 = '""&amp;Personagem!$J$12&amp;""' or Col2 = '""&amp;Personagem!$J$13&amp;""'""),
if('Ti"&amp;"me 2'!C7 = ""Garreth"", query(IMPORTRANGE(cd_planilha, ""Armas!B3:G""), ""Select Col1 Where Col2 = '""&amp;Personagem!$K$12&amp;""' or Col2 = '""&amp;Personagem!$K$13&amp;""'""),
if('Time 2'!C7 = ""Gauvin"", query(IMPORTRANGE(cd_planilha, ""Armas!B3:G""), ""Select Col1 W"&amp;"here Col2 = '""&amp;Personagem!$L$12&amp;""' or Col2 = '""&amp;Personagem!$L$13&amp;""' ""),
if('Time 2'!C7 = ""Irene"", query(IMPORTRANGE(cd_planilha, ""Armas!B3:G""), ""Select Col1 Where Col2 = '""&amp;Personagem!$M$12&amp;""' or Col2 = '""&amp;Personagem!$M$13&amp;""' ""),
if('Time 2"&amp;"'!C7 = ""Karal"", query(IMPORTRANGE(cd_planilha, ""Armas!B3:G""), ""Select Col1 Where Col2 = '""&amp;Personagem!$N$12&amp;""' or Col2 = '""&amp;Personagem!$N$13&amp;""' ""),
if('Time 2'!C7 = ""Kuro Shobi"", query(IMPORTRANGE(cd_planilha, ""Armas!B3:G""), ""Select Col1 Wh"&amp;"ere Col2 = '""&amp;Personagem!$O$12&amp;""' or Col2 = '""&amp;Personagem!$O$13&amp;""'""),
if('Time 2'!C7 = ""Kurul"", query(IMPORTRANGE(cd_planilha, ""Armas!B3:G""), ""Select Col1 Where Col2 = '""&amp;Personagem!$P$12&amp;""' or Col2 = '""&amp;Personagem!$P$13&amp;""' ""),
if('Time 2'!"&amp;"C7 = ""Lancaster"", query(IMPORTRANGE(cd_planilha, ""Armas!B3:G""), ""Select Col1 Where Col2 = '""&amp;Personagem!$Q$12&amp;""' or Col2 = '""&amp;Personagem!$Q$13&amp;""'""),
if('Time 2'!C7 = ""Lorelei"", query(IMPORTRANGE(cd_planilha, ""Armas!B3:G""), ""Select Col1 Wher"&amp;"e Col2 = '""&amp;Personagem!$R$12&amp;""' or Col2 = '""&amp;Personagem!$R$13&amp;""' ""),
if('Time 2'!C7 = ""Louca"", query(IMPORTRANGE(cd_planilha, ""Armas!B3:G""), ""Select Col1 Where Col2 = '""&amp;Personagem!$S$12&amp;""' or Col2 = '""&amp;Personagem!$S$13&amp;""' ""),
if('Time 2'!C"&amp;"7 = ""Melina"", query(IMPORTRANGE(cd_planilha, ""Armas!B3:G""), ""Select Col1 Where Col2 = '""&amp;Personagem!$T$12&amp;""' or Col2 = '""&amp;Personagem!$T$13&amp;""'""),
if('Time 2'!C7 = ""Mila"", query(IMPORTRANGE(cd_planilha, ""Armas!B3:G""), ""Select Col1 Where Col2 "&amp;"= '""&amp;Personagem!$U$12&amp;""' or Col2 = '""&amp;Personagem!$U$13&amp;""' ""),
if('Time 2'!C7 = ""Minh"", query(IMPORTRANGE(cd_planilha, ""Armas!B3:G""), ""Select Col1 Where Col2 = '""&amp;Personagem!$V$12&amp;""' or Col2 = '""&amp;Personagem!$V$13&amp;""' ""),
if('Time 2'!C7 = ""Mo"&amp;"jian"", query(IMPORTRANGE(cd_planilha, ""Armas!B3:G""), ""Select Col1 Where Col2 = '""&amp;Personagem!$W$12&amp;""' or Col2 = '""&amp;Personagem!$W$13&amp;""'""),
if('Time 2'!C7 = ""Nya"", query(IMPORTRANGE(cd_planilha, ""Armas!B3:G""), ""Select Col1 Where Col2 = '""&amp;Per"&amp;"sonagem!$X$12&amp;""' or Col2 = '""&amp;Personagem!$X$13&amp;""' ""),
if('Time 2'!C7 = ""Odette"", query(IMPORTRANGE(cd_planilha, ""Armas!B3:G""), ""Select Col1 Where Col2 = '""&amp;Personagem!$Y$12&amp;""' or Col2 = '""&amp;Personagem!$Y$13&amp;""'""),
if('Time 2'!C7 = ""Oneira"", "&amp;"query(IMPORTRANGE(cd_planilha, ""Armas!B3:G""), ""Select Col1 Where Col2 = '""&amp;Personagem!$Z$12&amp;""' or Col2 = '""&amp;Personagem!$Z$13&amp;""' ""),
if('Time 2'!C7 = ""Palash"", query(IMPORTRANGE(cd_planilha, ""Armas!B3:G""), ""Select Col1 Where Col2 = '""&amp;Persona"&amp;"gem!$AA$12&amp;""' or Col2 = '""&amp;Personagem!$AA$13&amp;""'""),
if('Time 2'!C7 = ""Theor"", query(IMPORTRANGE(cd_planilha, ""Armas!B3:G""), ""Select Col1 Where Col2 = '""&amp;Personagem!$AB$12&amp;""' or Col2 = '""&amp;Personagem!$AB$13&amp;""' ""),
if('Time 2'!C7 = ""Yue"", quer"&amp;"y(IMPORTRANGE(cd_planilha, ""Armas!B3:G""), ""Select Col1 Where Col2 = '""&amp;Personagem!$AC$12&amp;""' or Col2 = '""&amp;Personagem!$AC$13&amp;""'""
)))))))))))))))))))))))))))))"),"Botas da Lua")</f>
        <v>Botas da Lua</v>
      </c>
      <c r="V598" s="241"/>
      <c r="W598" s="241" t="str">
        <f>IFERROR(__xludf.DUMMYFUNCTION("if('Time 2'!C8 = ""Albert"", query(IMPORTRANGE(cd_planilha, ""Armas!B3:G""), ""Select Col1 Where Col2 = '""&amp;Personagem!$B$12&amp;""' or Col2 = '""&amp;Personagem!$B$13&amp;""'""),     
if('Time 2'!C8 = ""Alicia"", query(IMPORTRANGE(cd_planilha, ""Armas!B3:G""), ""Sel"&amp;"ect Col1 Where Col2 = '""&amp;Personagem!$C$12&amp;""' or Col2 = '""&amp;Personagem!$C$13&amp;""'""),
if('Time 2'!C8 = ""Azula"", query(IMPORTRANGE(cd_planilha, ""Armas!B3:G""), ""Select Col1 Where Col2 = '""&amp;Personagem!$D$12&amp;""' or Col2 = '""&amp;Personagem!$D$13&amp;""' ""),
i"&amp;"f('Time 2'!C8 = ""Charles"", query(IMPORTRANGE(cd_planilha, ""Armas!B3:G""), ""Select Col1 Where Col2 = '""&amp;Personagem!$E$12&amp;""' or Col2 = '""&amp;Personagem!$E$13&amp;""'""),
if('Time 2'!C8 = ""Clovis"", query(IMPORTRANGE(cd_planilha, ""Armas!B3:G""), ""Select C"&amp;"ol1 Where Col2 = '""&amp;Personagem!$F$12&amp;""' or Col2 = '""&amp;Personagem!$F$13&amp;""' ""),
if('Time 2'!C8 = ""Darthos"", query(IMPORTRANGE(cd_planilha, ""Armas!B3:G""), ""Select Col1 Where Col2 = '""&amp;Personagem!$G$12&amp;""' or Col2 = '""&amp;Personagem!$G$13&amp;""'""),
if('"&amp;"Time 2'!C8 = ""Edward"", query(IMPORTRANGE(cd_planilha, ""Armas!B3:G""), ""Select Col1 Where Col2 = '""&amp;Personagem!$H$12&amp;""' or Col2 = '""&amp;Personagem!$H$13&amp;""' ""),
if('Time 2'!C8 = ""Fiora"", query(IMPORTRANGE(cd_planilha, ""Armas!B3:G""), ""Select Col1 "&amp;"Where Col2 = '""&amp;Personagem!$I$12&amp;""' or Col2 = '""&amp;Personagem!$I$13&amp;""' ""),
if('Time 2'!C8 = ""Francesca"", query(IMPORTRANGE(cd_planilha, ""Armas!B3:G""), ""Select Col1 Where Col2 = '""&amp;Personagem!$J$12&amp;""' or Col2 = '""&amp;Personagem!$J$13&amp;""'""),
if('Ti"&amp;"me 2'!C8 = ""Garreth"", query(IMPORTRANGE(cd_planilha, ""Armas!B3:G""), ""Select Col1 Where Col2 = '""&amp;Personagem!$K$12&amp;""' or Col2 = '""&amp;Personagem!$K$13&amp;""'""),
if('Time 2'!C8 = ""Gauvin"", query(IMPORTRANGE(cd_planilha, ""Armas!B3:G""), ""Select Col1 W"&amp;"here Col2 = '""&amp;Personagem!$L$12&amp;""' or Col2 = '""&amp;Personagem!$L$13&amp;""' ""),
if('Time 2'!C8 = ""Irene"", query(IMPORTRANGE(cd_planilha, ""Armas!B3:G""), ""Select Col1 Where Col2 = '""&amp;Personagem!$M$12&amp;""' or Col2 = '""&amp;Personagem!$M$13&amp;""' ""),
if('Time 2"&amp;"'!C8 = ""Karal"", query(IMPORTRANGE(cd_planilha, ""Armas!B3:G""), ""Select Col1 Where Col2 = '""&amp;Personagem!$N$12&amp;""' or Col2 = '""&amp;Personagem!$N$13&amp;""' ""),
if('Time 2'!C8 = ""Kuro Shobi"", query(IMPORTRANGE(cd_planilha, ""Armas!B3:G""), ""Select Col1 Wh"&amp;"ere Col2 = '""&amp;Personagem!$O$12&amp;""' or Col2 = '""&amp;Personagem!$O$13&amp;""'""),
if('Time 2'!C8 = ""Kurul"", query(IMPORTRANGE(cd_planilha, ""Armas!B3:G""), ""Select Col1 Where Col2 = '""&amp;Personagem!$P$12&amp;""' or Col2 = '""&amp;Personagem!$P$13&amp;""' ""),
if('Time 2'!"&amp;"C8 = ""Lancaster"", query(IMPORTRANGE(cd_planilha, ""Armas!B3:G""), ""Select Col1 Where Col2 = '""&amp;Personagem!$Q$12&amp;""' or Col2 = '""&amp;Personagem!$Q$13&amp;""'""),
if('Time 2'!C8 = ""Lorelei"", query(IMPORTRANGE(cd_planilha, ""Armas!B3:G""), ""Select Col1 Wher"&amp;"e Col2 = '""&amp;Personagem!$R$12&amp;""' or Col2 = '""&amp;Personagem!$R$13&amp;""' ""),
if('Time 2'!C8 = ""Louca"", query(IMPORTRANGE(cd_planilha, ""Armas!B3:G""), ""Select Col1 Where Col2 = '""&amp;Personagem!$S$12&amp;""' or Col2 = '""&amp;Personagem!$S$13&amp;""' ""),
if('Time 2'!C"&amp;"8 = ""Melina"", query(IMPORTRANGE(cd_planilha, ""Armas!B3:G""), ""Select Col1 Where Col2 = '""&amp;Personagem!$T$12&amp;""' or Col2 = '""&amp;Personagem!$T$13&amp;""'""),
if('Time 2'!C8 = ""Mila"", query(IMPORTRANGE(cd_planilha, ""Armas!B3:G""), ""Select Col1 Where Col2 "&amp;"= '""&amp;Personagem!$U$12&amp;""' or Col2 = '""&amp;Personagem!$U$13&amp;""' ""),
if('Time 2'!C8 = ""Minh"", query(IMPORTRANGE(cd_planilha, ""Armas!B3:G""), ""Select Col1 Where Col2 = '""&amp;Personagem!$V$12&amp;""' or Col2 = '""&amp;Personagem!$V$13&amp;""' ""),
if('Time 2'!C8 = ""Mo"&amp;"jian"", query(IMPORTRANGE(cd_planilha, ""Armas!B3:G""), ""Select Col1 Where Col2 = '""&amp;Personagem!$W$12&amp;""' or Col2 = '""&amp;Personagem!$W$13&amp;""'""),
if('Time 2'!C8 = ""Nya"", query(IMPORTRANGE(cd_planilha, ""Armas!B3:G""), ""Select Col1 Where Col2 = '""&amp;Per"&amp;"sonagem!$X$12&amp;""' or Col2 = '""&amp;Personagem!$X$13&amp;""' ""),
if('Time 2'!C8 = ""Odette"", query(IMPORTRANGE(cd_planilha, ""Armas!B3:G""), ""Select Col1 Where Col2 = '""&amp;Personagem!$Y$12&amp;""' or Col2 = '""&amp;Personagem!$Y$13&amp;""'""),
if('Time 2'!C8 = ""Oneira"", "&amp;"query(IMPORTRANGE(cd_planilha, ""Armas!B3:G""), ""Select Col1 Where Col2 = '""&amp;Personagem!$Z$12&amp;""' or Col2 = '""&amp;Personagem!$Z$13&amp;""' ""),
if('Time 2'!C8 = ""Palash"", query(IMPORTRANGE(cd_planilha, ""Armas!B3:G""), ""Select Col1 Where Col2 = '""&amp;Persona"&amp;"gem!$AA$12&amp;""' or Col2 = '""&amp;Personagem!$AA$13&amp;""'""),
if('Time 2'!C8 = ""Theor"", query(IMPORTRANGE(cd_planilha, ""Armas!B3:G""), ""Select Col1 Where Col2 = '""&amp;Personagem!$AB$12&amp;""' or Col2 = '""&amp;Personagem!$AB$13&amp;""' ""),
if('Time 2'!C8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X598" s="242"/>
      <c r="Y598" s="241" t="str">
        <f>IFERROR(__xludf.DUMMYFUNCTION("if('Time 2'!C3 = ""Albert"", query(IMPORTRANGE(cd_planilha, ""Armas!B3:G""), ""Select Col1 Where Col2 = '""&amp;Personagem!$B$14&amp;""' or Col2 = '""&amp;Personagem!$B$15&amp;""' or Col2 = '""&amp;Personagem!$B$16&amp;""'""),     
if('Time 2'!C3 = ""Alicia"", query(IMPORTRANGE("&amp;"cd_planilha, ""Armas!B3:G""), ""Select Col1 Where Col2 = '""&amp;Personagem!$C$14&amp;""'  or Col2 = '""&amp;Personagem!$C$16&amp;""'""),     
if('Time 2'!C3 = ""Azula"", query(IMPORTRANGE(cd_planilha, ""Armas!B3:G""), ""Select Col1 Where Col2 = '""&amp;Personagem!$D$14&amp;""' "&amp;"or Col2 = '""&amp;Personagem!$D$15&amp;""' or Col2 = '""&amp;Personagem!$D$16&amp;""'""),
if('Time 2'!C3 = ""Charles"", query(IMPORTRANGE(cd_planilha, ""Armas!B3:G""), ""Select Col1 Where Col2 = '""&amp;Personagem!$E$14&amp;""' or Col2 = '""&amp;Personagem!$E$15&amp;""'or Col2 = '""&amp;Per"&amp;"sonagem!$E$16&amp;""'""),
if('Time 2'!C3 = ""Clovis"", query(IMPORTRANGE(cd_planilha, ""Armas!B3:G""), ""Select Col1 Where Col2 = '""&amp;Personagem!$F$14&amp;""' or Col2 = '""&amp;Personagem!$F$15&amp;""' or Col2 = '""&amp;Personagem!$F$16&amp;""'""),
if('Time 2'!C3 = ""Darthos"", "&amp;"query(IMPORTRANGE(cd_planilha, ""Armas!B3:G""), ""Select Col1 Where Col2 = '""&amp;Personagem!$G$14&amp;""' or Col2 = '""&amp;Personagem!$G$15&amp;""'or Col2 = '""&amp;Personagem!$G$16&amp;""'""),
if('Time 2'!C3 = ""Edward"", query(IMPORTRANGE(cd_planilha, ""Armas!B3:G""), ""Sel"&amp;"ect Col1 Where Col2 = '""&amp;Personagem!$H$14&amp;""' or Col2 = '""&amp;Personagem!$H$15&amp;""' or Col2 = '""&amp;Personagem!$H$16&amp;""'""),
if('Time 2'!C3 = ""Fiora"", query(IMPORTRANGE(cd_planilha, ""Armas!B3:G""), ""Select Col1 Where Col2 = '""&amp;Personagem!$I$14&amp;""' or Col"&amp;"2 = '""&amp;Personagem!$I$15&amp;""' or Col2 = '""&amp;Personagem!$I$16&amp;""'""),
if('Time 2'!C3 = ""Francesca"", query(IMPORTRANGE(cd_planilha, ""Armas!B3:G""), ""Select Col1 Where Col2 = '""&amp;Personagem!$J$14&amp;""' or Col2 = '""&amp;Personagem!$J$15&amp;""'or Col2 = '""&amp;Persona"&amp;"gem!$J$16&amp;""'""),
if('Time 2'!C3 = ""Garreth"", query(IMPORTRANGE(cd_planilha, ""Armas!B3:G""), ""Select Col1 Where Col2 = '""&amp;Personagem!$K$14&amp;""' or Col2 = '""&amp;Personagem!$K$15&amp;""'or Col2 = '""&amp;Personagem!$K$16&amp;""'""),
if('Time 2'!C3 = ""Gauvin"", query"&amp;"(IMPORTRANGE(cd_planilha, ""Armas!B3:G""), ""Select Col1 Where Col2 = '""&amp;Personagem!$L$14&amp;""' or Col2 = '""&amp;Personagem!$L$15&amp;""'or Col2 = '""&amp;Personagem!$L$16&amp;""' ""),
if('Time 2'!C3 = ""Irene"", query(IMPORTRANGE(cd_planilha, ""Armas!B3:G""), ""Select C"&amp;"ol1 Where Col2 = '""&amp;Personagem!$M$14&amp;""' or Col2 = '""&amp;Personagem!$M$15&amp;""'or Col2 = '""&amp;Personagem!$M$16&amp;""' ""),
if('Time 2'!C3 = ""Karal"", query(IMPORTRANGE(cd_planilha, ""Armas!B3:G""), ""Select Col1 Where Col2 = '""&amp;Personagem!$N$14&amp;""' or Col2 = '"&amp;"""&amp;Personagem!$N$15&amp;""' or Col2 = '""&amp;Personagem!$N$16&amp;""'""),
if('Time 2'!C3 = ""Kuro Shobi"", query(IMPORTRANGE(cd_planilha, ""Armas!B3:G""), ""Select Col1 Where Col2 = '""&amp;Personagem!$O$14&amp;""' or Col2 = '""&amp;Personagem!$O$15&amp;""'or Col2 = '""&amp;Personagem!"&amp;"$O$16&amp;""'""),
if('Time 2'!C3 = ""Kurul"", query(IMPORTRANGE(cd_planilha, ""Armas!B3:G""), ""Select Col1 Where Col2 = '""&amp;Personagem!$P$14&amp;""' or Col2 = '""&amp;Personagem!$P$15&amp;""' or Col2 = '""&amp;Personagem!$P$16&amp;""'""),
if('Time 2'!C3 = ""Lancaster"", query(I"&amp;"MPORTRANGE(cd_planilha, ""Armas!B3:G""), ""Select Col1 Where Col2 = '""&amp;Personagem!$Q$14&amp;""' or Col2 = '""&amp;Personagem!$Q$15&amp;""'or Col2 = '""&amp;Personagem!$Q$16&amp;""'""),
if('Time 2'!C3 = ""Lorelei"", query(IMPORTRANGE(cd_planilha, ""Armas!B3:G""), ""Select Co"&amp;"l1 Where Col2 = '""&amp;Personagem!$R$14&amp;""' or Col2 = '""&amp;Personagem!$R$15&amp;""' or Col2 = '""&amp;Personagem!$R$16&amp;""'""),
if('Time 2'!C3 = ""Louca"", query(IMPORTRANGE(cd_planilha, ""Armas!B3:G""), ""Select Col1 Where Col2 = '""&amp;Personagem!$S$14&amp;""' or Col2 = '"&amp;"""&amp;Personagem!$S$15&amp;""'or Col2 = '""&amp;Personagem!$S$16&amp;""' ""),
if('Time 2'!C3 = ""Melina"", query(IMPORTRANGE(cd_planilha, ""Armas!B3:G""), ""Select Col1 Where Col2 = '""&amp;Personagem!$T$14&amp;""' or Col2 = '""&amp;Personagem!$T$15&amp;""'or Col2 = '""&amp;Personagem!$T$1"&amp;"6&amp;""'""),
if('Time 2'!C3 = ""Mila"", query(IMPORTRANGE(cd_planilha, ""Armas!B3:G""), ""Select Col1 Where Col2 = '""&amp;Personagem!$U$14&amp;""' or Col2 = '""&amp;Personagem!$U$15&amp;""' or Col2 = '""&amp;Personagem!$U$16&amp;""'""),
if('Time 2'!C3 = ""Minh"", query(IMPORTRANGE"&amp;"(cd_planilha, ""Armas!B3:G""), ""Select Col1 Where Col2 = '""&amp;Personagem!$V$14&amp;""' or Col2 = '""&amp;Personagem!$V$15&amp;""' or Col2 = '""&amp;Personagem!$V$16&amp;""'""),
if('Time 2'!C3 = ""Mojian"", query(IMPORTRANGE(cd_planilha, ""Armas!B3:G""), ""Select Col1 Where C"&amp;"ol2 = '""&amp;Personagem!$W$14&amp;""' or Col2 = '""&amp;Personagem!$W$15&amp;""'or Col2 = '""&amp;Personagem!$W$16&amp;""'""),
if('Time 2'!C3 = ""Nya"", query(IMPORTRANGE(cd_planilha, ""Armas!B3:G""), ""Select Col1 Where Col2 = '""&amp;Personagem!$X$14&amp;""' or Col2 = '""&amp;Personagem!"&amp;"$X$15&amp;""' or Col2 = '""&amp;Personagem!$X$16&amp;""'""),
if('Time 2'!C3 = ""Odette"", query(IMPORTRANGE(cd_planilha, ""Armas!B3:G""), ""Select Col1 Where Col2 = '""&amp;Personagem!$Y$14&amp;""' or Col2 = '""&amp;Personagem!$Y$15&amp;""'or Col2 = '""&amp;Personagem!$YB$16&amp;""'""),
if("&amp;"'Time 2'!C3 = ""Oneira"", query(IMPORTRANGE(cd_planilha, ""Armas!B3:G""), ""Select Col1 Where Col2 = '""&amp;Personagem!$Z$14&amp;""' or Col2 = '""&amp;Personagem!$Z$15&amp;""' or Col2 = '""&amp;Personagem!$Z$16&amp;""'""),
if('Time 2'!C3 = ""Palash"", query(IMPORTRANGE(cd_plani"&amp;"lha, ""Armas!B3:G""), ""Select Col1 Where Col2 = '""&amp;Personagem!$AA$14&amp;""' or Col2 = '""&amp;Personagem!$AA$15&amp;""'or Col2 = '""&amp;Personagem!$AA$16&amp;""'""),
if('Time 2'!C3 = ""Theor"", query(IMPORTRANGE(cd_planilha, ""Armas!B3:G""), ""Select Col1 Where Col2 = '"&amp;"""&amp;Personagem!$AB$14&amp;""' or Col2 = '""&amp;Personagem!$AB$15&amp;""' or Col2 = '""&amp;Personagem!$AB$16&amp;""'""),
if('Time 2'!C3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Z598" s="241"/>
      <c r="AA598" s="241" t="str">
        <f>IFERROR(__xludf.DUMMYFUNCTION("if('Time 2'!C4 = ""Albert"", query(IMPORTRANGE(cd_planilha, ""Armas!B3:G""), ""Select Col1 Where Col2 = '""&amp;Personagem!$B$14&amp;""' or Col2 = '""&amp;Personagem!$B$15&amp;""' or Col2 = '""&amp;Personagem!$B$16&amp;""'""),     
if('Time 2'!C4 = ""Alicia"", query(IMPORTRANGE("&amp;"cd_planilha, ""Armas!B3:G""), ""Select Col1 Where Col2 = '""&amp;Personagem!$C$14&amp;""'  or Col2 = '""&amp;Personagem!$C$16&amp;""'""),     
if('Time 2'!C4 = ""Azula"", query(IMPORTRANGE(cd_planilha, ""Armas!B3:G""), ""Select Col1 Where Col2 = '""&amp;Personagem!$D$14&amp;""' "&amp;"or Col2 = '""&amp;Personagem!$D$15&amp;""' or Col2 = '""&amp;Personagem!$D$16&amp;""'""),
if('Time 2'!C4 = ""Charles"", query(IMPORTRANGE(cd_planilha, ""Armas!B3:G""), ""Select Col1 Where Col2 = '""&amp;Personagem!$E$14&amp;""' or Col2 = '""&amp;Personagem!$E$15&amp;""'or Col2 = '""&amp;Per"&amp;"sonagem!$E$16&amp;""'""),
if('Time 2'!C4 = ""Clovis"", query(IMPORTRANGE(cd_planilha, ""Armas!B3:G""), ""Select Col1 Where Col2 = '""&amp;Personagem!$F$14&amp;""' or Col2 = '""&amp;Personagem!$F$15&amp;""' or Col2 = '""&amp;Personagem!$F$16&amp;""'""),
if('Time 2'!C4 = ""Darthos"", "&amp;"query(IMPORTRANGE(cd_planilha, ""Armas!B3:G""), ""Select Col1 Where Col2 = '""&amp;Personagem!$G$14&amp;""' or Col2 = '""&amp;Personagem!$G$15&amp;""'or Col2 = '""&amp;Personagem!$G$16&amp;""'""),
if('Time 2'!C4 = ""Edward"", query(IMPORTRANGE(cd_planilha, ""Armas!B3:G""), ""Sel"&amp;"ect Col1 Where Col2 = '""&amp;Personagem!$H$14&amp;""' or Col2 = '""&amp;Personagem!$H$15&amp;""' or Col2 = '""&amp;Personagem!$H$16&amp;""'""),
if('Time 2'!C4 = ""Fiora"", query(IMPORTRANGE(cd_planilha, ""Armas!B3:G""), ""Select Col1 Where Col2 = '""&amp;Personagem!$I$14&amp;""' or Col"&amp;"2 = '""&amp;Personagem!$I$15&amp;""' or Col2 = '""&amp;Personagem!$I$16&amp;""'""),
if('Time 2'!C4 = ""Francesca"", query(IMPORTRANGE(cd_planilha, ""Armas!B3:G""), ""Select Col1 Where Col2 = '""&amp;Personagem!$J$14&amp;""' or Col2 = '""&amp;Personagem!$J$15&amp;""'or Col2 = '""&amp;Persona"&amp;"gem!$J$16&amp;""'""),
if('Time 2'!C4 = ""Garreth"", query(IMPORTRANGE(cd_planilha, ""Armas!B3:G""), ""Select Col1 Where Col2 = '""&amp;Personagem!$K$14&amp;""' or Col2 = '""&amp;Personagem!$K$15&amp;""'or Col2 = '""&amp;Personagem!$K$16&amp;""'""),
if('Time 2'!C4 = ""Gauvin"", query"&amp;"(IMPORTRANGE(cd_planilha, ""Armas!B3:G""), ""Select Col1 Where Col2 = '""&amp;Personagem!$L$14&amp;""' or Col2 = '""&amp;Personagem!$L$15&amp;""'or Col2 = '""&amp;Personagem!$L$16&amp;""' ""),
if('Time 2'!C4 = ""Irene"", query(IMPORTRANGE(cd_planilha, ""Armas!B3:G""), ""Select C"&amp;"ol1 Where Col2 = '""&amp;Personagem!$M$14&amp;""' or Col2 = '""&amp;Personagem!$M$15&amp;""'or Col2 = '""&amp;Personagem!$M$16&amp;""' ""),
if('Time 2'!C4 = ""Karal"", query(IMPORTRANGE(cd_planilha, ""Armas!B3:G""), ""Select Col1 Where Col2 = '""&amp;Personagem!$N$14&amp;""' or Col2 = '"&amp;"""&amp;Personagem!$N$15&amp;""' or Col2 = '""&amp;Personagem!$N$16&amp;""'""),
if('Time 2'!C4 = ""Kuro Shobi"", query(IMPORTRANGE(cd_planilha, ""Armas!B3:G""), ""Select Col1 Where Col2 = '""&amp;Personagem!$O$14&amp;""' or Col2 = '""&amp;Personagem!$O$15&amp;""'or Col2 = '""&amp;Personagem!"&amp;"$O$16&amp;""'""),
if('Time 2'!C4 = ""Kurul"", query(IMPORTRANGE(cd_planilha, ""Armas!B3:G""), ""Select Col1 Where Col2 = '""&amp;Personagem!$P$14&amp;""' or Col2 = '""&amp;Personagem!$P$15&amp;""' or Col2 = '""&amp;Personagem!$P$16&amp;""'""),
if('Time 2'!C4 = ""Lancaster"", query(I"&amp;"MPORTRANGE(cd_planilha, ""Armas!B3:G""), ""Select Col1 Where Col2 = '""&amp;Personagem!$Q$14&amp;""' or Col2 = '""&amp;Personagem!$Q$15&amp;""'or Col2 = '""&amp;Personagem!$Q$16&amp;""'""),
if('Time 2'!C4 = ""Lorelei"", query(IMPORTRANGE(cd_planilha, ""Armas!B3:G""), ""Select Co"&amp;"l1 Where Col2 = '""&amp;Personagem!$R$14&amp;""' or Col2 = '""&amp;Personagem!$R$15&amp;""' or Col2 = '""&amp;Personagem!$R$16&amp;""'""),
if('Time 2'!C4 = ""Louca"", query(IMPORTRANGE(cd_planilha, ""Armas!B3:G""), ""Select Col1 Where Col2 = '""&amp;Personagem!$S$14&amp;""' or Col2 = '"&amp;"""&amp;Personagem!$S$15&amp;""'or Col2 = '""&amp;Personagem!$S$16&amp;""' ""),
if('Time 2'!C4 = ""Melina"", query(IMPORTRANGE(cd_planilha, ""Armas!B3:G""), ""Select Col1 Where Col2 = '""&amp;Personagem!$T$14&amp;""' or Col2 = '""&amp;Personagem!$T$15&amp;""'or Col2 = '""&amp;Personagem!$T$1"&amp;"6&amp;""'""),
if('Time 2'!C4 = ""Mila"", query(IMPORTRANGE(cd_planilha, ""Armas!B3:G""), ""Select Col1 Where Col2 = '""&amp;Personagem!$U$14&amp;""' or Col2 = '""&amp;Personagem!$U$15&amp;""' or Col2 = '""&amp;Personagem!$U$16&amp;""'""),
if('Time 2'!C4 = ""Minh"", query(IMPORTRANGE"&amp;"(cd_planilha, ""Armas!B3:G""), ""Select Col1 Where Col2 = '""&amp;Personagem!$V$14&amp;""' or Col2 = '""&amp;Personagem!$V$15&amp;""' or Col2 = '""&amp;Personagem!$V$16&amp;""'""),
if('Time 2'!C4 = ""Mojian"", query(IMPORTRANGE(cd_planilha, ""Armas!B3:G""), ""Select Col1 Where C"&amp;"ol2 = '""&amp;Personagem!$W$14&amp;""' or Col2 = '""&amp;Personagem!$W$15&amp;""'or Col2 = '""&amp;Personagem!$W$16&amp;""'""),
if('Time 2'!C4 = ""Nya"", query(IMPORTRANGE(cd_planilha, ""Armas!B3:G""), ""Select Col1 Where Col2 = '""&amp;Personagem!$X$14&amp;""' or Col2 = '""&amp;Personagem!"&amp;"$X$15&amp;""' or Col2 = '""&amp;Personagem!$X$16&amp;""'""),
if('Time 2'!C4 = ""Odette"", query(IMPORTRANGE(cd_planilha, ""Armas!B3:G""), ""Select Col1 Where Col2 = '""&amp;Personagem!$Y$14&amp;""' or Col2 = '""&amp;Personagem!$Y$15&amp;""'or Col2 = '""&amp;Personagem!$YB$16&amp;""'""),
if("&amp;"'Time 2'!C4 = ""Oneira"", query(IMPORTRANGE(cd_planilha, ""Armas!B3:G""), ""Select Col1 Where Col2 = '""&amp;Personagem!$Z$14&amp;""' or Col2 = '""&amp;Personagem!$Z$15&amp;""' or Col2 = '""&amp;Personagem!$Z$16&amp;""'""),
if('Time 2'!C4 = ""Palash"", query(IMPORTRANGE(cd_plani"&amp;"lha, ""Armas!B3:G""), ""Select Col1 Where Col2 = '""&amp;Personagem!$AA$14&amp;""' or Col2 = '""&amp;Personagem!$AA$15&amp;""'or Col2 = '""&amp;Personagem!$AA$16&amp;""'""),
if('Time 2'!C4 = ""Theor"", query(IMPORTRANGE(cd_planilha, ""Armas!B3:G""), ""Select Col1 Where Col2 = '"&amp;"""&amp;Personagem!$AB$14&amp;""' or Col2 = '""&amp;Personagem!$AB$15&amp;""' or Col2 = '""&amp;Personagem!$AB$16&amp;""'""),
if('Time 2'!C4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B598" s="241"/>
      <c r="AC598" s="241" t="str">
        <f>IFERROR(__xludf.DUMMYFUNCTION("if('Time 2'!C5 = ""Albert"", query(IMPORTRANGE(cd_planilha, ""Armas!B3:G""), ""Select Col1 Where Col2 = '""&amp;Personagem!$B$14&amp;""' or Col2 = '""&amp;Personagem!$B$15&amp;""' or Col2 = '""&amp;Personagem!$B$16&amp;""'""),     
if('Time 2'!C5 = ""Alicia"", query(IMPORTRANGE("&amp;"cd_planilha, ""Armas!B3:G""), ""Select Col1 Where Col2 = '""&amp;Personagem!$C$14&amp;""'  or Col2 = '""&amp;Personagem!$C$16&amp;""'""),     
if('Time 2'!C5 = ""Azula"", query(IMPORTRANGE(cd_planilha, ""Armas!B3:G""), ""Select Col1 Where Col2 = '""&amp;Personagem!$D$14&amp;""' "&amp;"or Col2 = '""&amp;Personagem!$D$15&amp;""' or Col2 = '""&amp;Personagem!$D$16&amp;""'""),
if('Time 2'!C5 = ""Charles"", query(IMPORTRANGE(cd_planilha, ""Armas!B3:G""), ""Select Col1 Where Col2 = '""&amp;Personagem!$E$14&amp;""' or Col2 = '""&amp;Personagem!$E$15&amp;""'or Col2 = '""&amp;Per"&amp;"sonagem!$E$16&amp;""'""),
if('Time 2'!C5 = ""Clovis"", query(IMPORTRANGE(cd_planilha, ""Armas!B3:G""), ""Select Col1 Where Col2 = '""&amp;Personagem!$F$14&amp;""' or Col2 = '""&amp;Personagem!$F$15&amp;""' or Col2 = '""&amp;Personagem!$F$16&amp;""'""),
if('Time 2'!C5 = ""Darthos"", "&amp;"query(IMPORTRANGE(cd_planilha, ""Armas!B3:G""), ""Select Col1 Where Col2 = '""&amp;Personagem!$G$14&amp;""' or Col2 = '""&amp;Personagem!$G$15&amp;""'or Col2 = '""&amp;Personagem!$G$16&amp;""'""),
if('Time 2'!C5 = ""Edward"", query(IMPORTRANGE(cd_planilha, ""Armas!B3:G""), ""Sel"&amp;"ect Col1 Where Col2 = '""&amp;Personagem!$H$14&amp;""' or Col2 = '""&amp;Personagem!$H$15&amp;""' or Col2 = '""&amp;Personagem!$H$16&amp;""'""),
if('Time 2'!C5 = ""Fiora"", query(IMPORTRANGE(cd_planilha, ""Armas!B3:G""), ""Select Col1 Where Col2 = '""&amp;Personagem!$I$14&amp;""' or Col"&amp;"2 = '""&amp;Personagem!$I$15&amp;""' or Col2 = '""&amp;Personagem!$I$16&amp;""'""),
if('Time 2'!C5 = ""Francesca"", query(IMPORTRANGE(cd_planilha, ""Armas!B3:G""), ""Select Col1 Where Col2 = '""&amp;Personagem!$J$14&amp;""' or Col2 = '""&amp;Personagem!$J$15&amp;""'or Col2 = '""&amp;Persona"&amp;"gem!$J$16&amp;""'""),
if('Time 2'!C5 = ""Garreth"", query(IMPORTRANGE(cd_planilha, ""Armas!B3:G""), ""Select Col1 Where Col2 = '""&amp;Personagem!$K$14&amp;""' or Col2 = '""&amp;Personagem!$K$15&amp;""'or Col2 = '""&amp;Personagem!$K$16&amp;""'""),
if('Time 2'!C5 = ""Gauvin"", query"&amp;"(IMPORTRANGE(cd_planilha, ""Armas!B3:G""), ""Select Col1 Where Col2 = '""&amp;Personagem!$L$14&amp;""' or Col2 = '""&amp;Personagem!$L$15&amp;""'or Col2 = '""&amp;Personagem!$L$16&amp;""' ""),
if('Time 2'!C5 = ""Irene"", query(IMPORTRANGE(cd_planilha, ""Armas!B3:G""), ""Select C"&amp;"ol1 Where Col2 = '""&amp;Personagem!$M$14&amp;""' or Col2 = '""&amp;Personagem!$M$15&amp;""'or Col2 = '""&amp;Personagem!$M$16&amp;""' ""),
if('Time 2'!C5 = ""Karal"", query(IMPORTRANGE(cd_planilha, ""Armas!B3:G""), ""Select Col1 Where Col2 = '""&amp;Personagem!$N$14&amp;""' or Col2 = '"&amp;"""&amp;Personagem!$N$15&amp;""' or Col2 = '""&amp;Personagem!$N$16&amp;""'""),
if('Time 2'!C5 = ""Kuro Shobi"", query(IMPORTRANGE(cd_planilha, ""Armas!B3:G""), ""Select Col1 Where Col2 = '""&amp;Personagem!$O$14&amp;""' or Col2 = '""&amp;Personagem!$O$15&amp;""'or Col2 = '""&amp;Personagem!"&amp;"$O$16&amp;""'""),
if('Time 2'!C5 = ""Kurul"", query(IMPORTRANGE(cd_planilha, ""Armas!B3:G""), ""Select Col1 Where Col2 = '""&amp;Personagem!$P$14&amp;""' or Col2 = '""&amp;Personagem!$P$15&amp;""' or Col2 = '""&amp;Personagem!$P$16&amp;""'""),
if('Time 2'!C5 = ""Lancaster"", query(I"&amp;"MPORTRANGE(cd_planilha, ""Armas!B3:G""), ""Select Col1 Where Col2 = '""&amp;Personagem!$Q$14&amp;""' or Col2 = '""&amp;Personagem!$Q$15&amp;""'or Col2 = '""&amp;Personagem!$Q$16&amp;""'""),
if('Time 2'!C5 = ""Lorelei"", query(IMPORTRANGE(cd_planilha, ""Armas!B3:G""), ""Select Co"&amp;"l1 Where Col2 = '""&amp;Personagem!$R$14&amp;""' or Col2 = '""&amp;Personagem!$R$15&amp;""' or Col2 = '""&amp;Personagem!$R$16&amp;""'""),
if('Time 2'!C5 = ""Louca"", query(IMPORTRANGE(cd_planilha, ""Armas!B3:G""), ""Select Col1 Where Col2 = '""&amp;Personagem!$S$14&amp;""' or Col2 = '"&amp;"""&amp;Personagem!$S$15&amp;""'or Col2 = '""&amp;Personagem!$S$16&amp;""' ""),
if('Time 2'!C5 = ""Melina"", query(IMPORTRANGE(cd_planilha, ""Armas!B3:G""), ""Select Col1 Where Col2 = '""&amp;Personagem!$T$14&amp;""' or Col2 = '""&amp;Personagem!$T$15&amp;""'or Col2 = '""&amp;Personagem!$T$1"&amp;"6&amp;""'""),
if('Time 2'!C5 = ""Mila"", query(IMPORTRANGE(cd_planilha, ""Armas!B3:G""), ""Select Col1 Where Col2 = '""&amp;Personagem!$U$14&amp;""' or Col2 = '""&amp;Personagem!$U$15&amp;""' or Col2 = '""&amp;Personagem!$U$16&amp;""'""),
if('Time 2'!C5 = ""Minh"", query(IMPORTRANGE"&amp;"(cd_planilha, ""Armas!B3:G""), ""Select Col1 Where Col2 = '""&amp;Personagem!$V$14&amp;""' or Col2 = '""&amp;Personagem!$V$15&amp;""' or Col2 = '""&amp;Personagem!$V$16&amp;""'""),
if('Time 2'!C5 = ""Mojian"", query(IMPORTRANGE(cd_planilha, ""Armas!B3:G""), ""Select Col1 Where C"&amp;"ol2 = '""&amp;Personagem!$W$14&amp;""' or Col2 = '""&amp;Personagem!$W$15&amp;""'or Col2 = '""&amp;Personagem!$W$16&amp;""'""),
if('Time 2'!C5 = ""Nya"", query(IMPORTRANGE(cd_planilha, ""Armas!B3:G""), ""Select Col1 Where Col2 = '""&amp;Personagem!$X$14&amp;""' or Col2 = '""&amp;Personagem!"&amp;"$X$15&amp;""' or Col2 = '""&amp;Personagem!$X$16&amp;""'""),
if('Time 2'!C5 = ""Odette"", query(IMPORTRANGE(cd_planilha, ""Armas!B3:G""), ""Select Col1 Where Col2 = '""&amp;Personagem!$Y$14&amp;""' or Col2 = '""&amp;Personagem!$Y$15&amp;""'or Col2 = '""&amp;Personagem!$YB$16&amp;""'""),
if("&amp;"'Time 2'!C5 = ""Oneira"", query(IMPORTRANGE(cd_planilha, ""Armas!B3:G""), ""Select Col1 Where Col2 = '""&amp;Personagem!$Z$14&amp;""' or Col2 = '""&amp;Personagem!$Z$15&amp;""' or Col2 = '""&amp;Personagem!$Z$16&amp;""'""),
if('Time 2'!C5 = ""Palash"", query(IMPORTRANGE(cd_plani"&amp;"lha, ""Armas!B3:G""), ""Select Col1 Where Col2 = '""&amp;Personagem!$AA$14&amp;""' or Col2 = '""&amp;Personagem!$AA$15&amp;""'or Col2 = '""&amp;Personagem!$AA$16&amp;""'""),
if('Time 2'!C5 = ""Theor"", query(IMPORTRANGE(cd_planilha, ""Armas!B3:G""), ""Select Col1 Where Col2 = '"&amp;"""&amp;Personagem!$AB$14&amp;""' or Col2 = '""&amp;Personagem!$AB$15&amp;""' or Col2 = '""&amp;Personagem!$AB$16&amp;""'""),
if('Time 2'!C5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D598" s="241"/>
      <c r="AE598" s="241" t="str">
        <f>IFERROR(__xludf.DUMMYFUNCTION("if('Time 2'!C6 = ""Albert"", query(IMPORTRANGE(cd_planilha, ""Armas!B3:G""), ""Select Col1 Where Col2 = '""&amp;Personagem!$B$14&amp;""' or Col2 = '""&amp;Personagem!$B$15&amp;""' or Col2 = '""&amp;Personagem!$B$16&amp;""'""),     
if('Time 2'!C6 = ""Alicia"", query(IMPORTRANGE("&amp;"cd_planilha, ""Armas!B3:G""), ""Select Col1 Where Col2 = '""&amp;Personagem!$C$14&amp;""'  or Col2 = '""&amp;Personagem!$C$16&amp;""'""),     
if('Time 2'!C6 = ""Azula"", query(IMPORTRANGE(cd_planilha, ""Armas!B3:G""), ""Select Col1 Where Col2 = '""&amp;Personagem!$D$14&amp;""' "&amp;"or Col2 = '""&amp;Personagem!$D$15&amp;""' or Col2 = '""&amp;Personagem!$D$16&amp;""'""),
if('Time 2'!C6 = ""Charles"", query(IMPORTRANGE(cd_planilha, ""Armas!B3:G""), ""Select Col1 Where Col2 = '""&amp;Personagem!$E$14&amp;""' or Col2 = '""&amp;Personagem!$E$15&amp;""'or Col2 = '""&amp;Per"&amp;"sonagem!$E$16&amp;""'""),
if('Time 2'!C6 = ""Clovis"", query(IMPORTRANGE(cd_planilha, ""Armas!B3:G""), ""Select Col1 Where Col2 = '""&amp;Personagem!$F$14&amp;""' or Col2 = '""&amp;Personagem!$F$15&amp;""' or Col2 = '""&amp;Personagem!$F$16&amp;""'""),
if('Time 2'!C6 = ""Darthos"", "&amp;"query(IMPORTRANGE(cd_planilha, ""Armas!B3:G""), ""Select Col1 Where Col2 = '""&amp;Personagem!$G$14&amp;""' or Col2 = '""&amp;Personagem!$G$15&amp;""'or Col2 = '""&amp;Personagem!$G$16&amp;""'""),
if('Time 2'!C6 = ""Edward"", query(IMPORTRANGE(cd_planilha, ""Armas!B3:G""), ""Sel"&amp;"ect Col1 Where Col2 = '""&amp;Personagem!$H$14&amp;""' or Col2 = '""&amp;Personagem!$H$15&amp;""' or Col2 = '""&amp;Personagem!$H$16&amp;""'""),
if('Time 2'!C6 = ""Fiora"", query(IMPORTRANGE(cd_planilha, ""Armas!B3:G""), ""Select Col1 Where Col2 = '""&amp;Personagem!$I$14&amp;""' or Col"&amp;"2 = '""&amp;Personagem!$I$15&amp;""' or Col2 = '""&amp;Personagem!$I$16&amp;""'""),
if('Time 2'!C6 = ""Francesca"", query(IMPORTRANGE(cd_planilha, ""Armas!B3:G""), ""Select Col1 Where Col2 = '""&amp;Personagem!$J$14&amp;""' or Col2 = '""&amp;Personagem!$J$15&amp;""'or Col2 = '""&amp;Persona"&amp;"gem!$J$16&amp;""'""),
if('Time 2'!C6 = ""Garreth"", query(IMPORTRANGE(cd_planilha, ""Armas!B3:G""), ""Select Col1 Where Col2 = '""&amp;Personagem!$K$14&amp;""' or Col2 = '""&amp;Personagem!$K$15&amp;""'or Col2 = '""&amp;Personagem!$K$16&amp;""'""),
if('Time 2'!C6 = ""Gauvin"", query"&amp;"(IMPORTRANGE(cd_planilha, ""Armas!B3:G""), ""Select Col1 Where Col2 = '""&amp;Personagem!$L$14&amp;""' or Col2 = '""&amp;Personagem!$L$15&amp;""'or Col2 = '""&amp;Personagem!$L$16&amp;""' ""),
if('Time 2'!C6 = ""Irene"", query(IMPORTRANGE(cd_planilha, ""Armas!B3:G""), ""Select C"&amp;"ol1 Where Col2 = '""&amp;Personagem!$M$14&amp;""' or Col2 = '""&amp;Personagem!$M$15&amp;""'or Col2 = '""&amp;Personagem!$M$16&amp;""' ""),
if('Time 2'!C6 = ""Karal"", query(IMPORTRANGE(cd_planilha, ""Armas!B3:G""), ""Select Col1 Where Col2 = '""&amp;Personagem!$N$14&amp;""' or Col2 = '"&amp;"""&amp;Personagem!$N$15&amp;""' or Col2 = '""&amp;Personagem!$N$16&amp;""'""),
if('Time 2'!C6 = ""Kuro Shobi"", query(IMPORTRANGE(cd_planilha, ""Armas!B3:G""), ""Select Col1 Where Col2 = '""&amp;Personagem!$O$14&amp;""' or Col2 = '""&amp;Personagem!$O$15&amp;""'or Col2 = '""&amp;Personagem!"&amp;"$O$16&amp;""'""),
if('Time 2'!C6 = ""Kurul"", query(IMPORTRANGE(cd_planilha, ""Armas!B3:G""), ""Select Col1 Where Col2 = '""&amp;Personagem!$P$14&amp;""' or Col2 = '""&amp;Personagem!$P$15&amp;""' or Col2 = '""&amp;Personagem!$P$16&amp;""'""),
if('Time 2'!C6 = ""Lancaster"", query(I"&amp;"MPORTRANGE(cd_planilha, ""Armas!B3:G""), ""Select Col1 Where Col2 = '""&amp;Personagem!$Q$14&amp;""' or Col2 = '""&amp;Personagem!$Q$15&amp;""'or Col2 = '""&amp;Personagem!$Q$16&amp;""'""),
if('Time 2'!C6 = ""Lorelei"", query(IMPORTRANGE(cd_planilha, ""Armas!B3:G""), ""Select Co"&amp;"l1 Where Col2 = '""&amp;Personagem!$R$14&amp;""' or Col2 = '""&amp;Personagem!$R$15&amp;""' or Col2 = '""&amp;Personagem!$R$16&amp;""'""),
if('Time 2'!C6 = ""Louca"", query(IMPORTRANGE(cd_planilha, ""Armas!B3:G""), ""Select Col1 Where Col2 = '""&amp;Personagem!$S$14&amp;""' or Col2 = '"&amp;"""&amp;Personagem!$S$15&amp;""'or Col2 = '""&amp;Personagem!$S$16&amp;""' ""),
if('Time 2'!C6 = ""Melina"", query(IMPORTRANGE(cd_planilha, ""Armas!B3:G""), ""Select Col1 Where Col2 = '""&amp;Personagem!$T$14&amp;""' or Col2 = '""&amp;Personagem!$T$15&amp;""'or Col2 = '""&amp;Personagem!$T$1"&amp;"6&amp;""'""),
if('Time 2'!C6 = ""Mila"", query(IMPORTRANGE(cd_planilha, ""Armas!B3:G""), ""Select Col1 Where Col2 = '""&amp;Personagem!$U$14&amp;""' or Col2 = '""&amp;Personagem!$U$15&amp;""' or Col2 = '""&amp;Personagem!$U$16&amp;""'""),
if('Time 2'!C6 = ""Minh"", query(IMPORTRANGE"&amp;"(cd_planilha, ""Armas!B3:G""), ""Select Col1 Where Col2 = '""&amp;Personagem!$V$14&amp;""' or Col2 = '""&amp;Personagem!$V$15&amp;""' or Col2 = '""&amp;Personagem!$V$16&amp;""'""),
if('Time 2'!C6 = ""Mojian"", query(IMPORTRANGE(cd_planilha, ""Armas!B3:G""), ""Select Col1 Where C"&amp;"ol2 = '""&amp;Personagem!$W$14&amp;""' or Col2 = '""&amp;Personagem!$W$15&amp;""'or Col2 = '""&amp;Personagem!$W$16&amp;""'""),
if('Time 2'!C6 = ""Nya"", query(IMPORTRANGE(cd_planilha, ""Armas!B3:G""), ""Select Col1 Where Col2 = '""&amp;Personagem!$X$14&amp;""' or Col2 = '""&amp;Personagem!"&amp;"$X$15&amp;""' or Col2 = '""&amp;Personagem!$X$16&amp;""'""),
if('Time 2'!C6 = ""Odette"", query(IMPORTRANGE(cd_planilha, ""Armas!B3:G""), ""Select Col1 Where Col2 = '""&amp;Personagem!$Y$14&amp;""' or Col2 = '""&amp;Personagem!$Y$15&amp;""'or Col2 = '""&amp;Personagem!$YB$16&amp;""'""),
if("&amp;"'Time 2'!C6 = ""Oneira"", query(IMPORTRANGE(cd_planilha, ""Armas!B3:G""), ""Select Col1 Where Col2 = '""&amp;Personagem!$Z$14&amp;""' or Col2 = '""&amp;Personagem!$Z$15&amp;""' or Col2 = '""&amp;Personagem!$Z$16&amp;""'""),
if('Time 2'!C6 = ""Palash"", query(IMPORTRANGE(cd_plani"&amp;"lha, ""Armas!B3:G""), ""Select Col1 Where Col2 = '""&amp;Personagem!$AA$14&amp;""' or Col2 = '""&amp;Personagem!$AA$15&amp;""'or Col2 = '""&amp;Personagem!$AA$16&amp;""'""),
if('Time 2'!C6 = ""Theor"", query(IMPORTRANGE(cd_planilha, ""Armas!B3:G""), ""Select Col1 Where Col2 = '"&amp;"""&amp;Personagem!$AB$14&amp;""' or Col2 = '""&amp;Personagem!$AB$15&amp;""' or Col2 = '""&amp;Personagem!$AB$16&amp;""'""),
if('Time 2'!C6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F598" s="241"/>
      <c r="AG598" s="241" t="str">
        <f>IFERROR(__xludf.DUMMYFUNCTION("if('Time 2'!C7 = ""Albert"", query(IMPORTRANGE(cd_planilha, ""Armas!B3:G""), ""Select Col1 Where Col2 = '""&amp;Personagem!$B$14&amp;""' or Col2 = '""&amp;Personagem!$B$15&amp;""' or Col2 = '""&amp;Personagem!$B$16&amp;""'""),     
if('Time 2'!C7 = ""Alicia"", query(IMPORTRANGE("&amp;"cd_planilha, ""Armas!B3:G""), ""Select Col1 Where Col2 = '""&amp;Personagem!$C$14&amp;""'  or Col2 = '""&amp;Personagem!$C$16&amp;""'""),     
if('Time 2'!C7 = ""Azula"", query(IMPORTRANGE(cd_planilha, ""Armas!B3:G""), ""Select Col1 Where Col2 = '""&amp;Personagem!$D$14&amp;""' "&amp;"or Col2 = '""&amp;Personagem!$D$15&amp;""' or Col2 = '""&amp;Personagem!$D$16&amp;""'""),
if('Time 2'!C7 = ""Charles"", query(IMPORTRANGE(cd_planilha, ""Armas!B3:G""), ""Select Col1 Where Col2 = '""&amp;Personagem!$E$14&amp;""' or Col2 = '""&amp;Personagem!$E$15&amp;""'or Col2 = '""&amp;Per"&amp;"sonagem!$E$16&amp;""'""),
if('Time 2'!C7 = ""Clovis"", query(IMPORTRANGE(cd_planilha, ""Armas!B3:G""), ""Select Col1 Where Col2 = '""&amp;Personagem!$F$14&amp;""' or Col2 = '""&amp;Personagem!$F$15&amp;""' or Col2 = '""&amp;Personagem!$F$16&amp;""'""),
if('Time 2'!C7 = ""Darthos"", "&amp;"query(IMPORTRANGE(cd_planilha, ""Armas!B3:G""), ""Select Col1 Where Col2 = '""&amp;Personagem!$G$14&amp;""' or Col2 = '""&amp;Personagem!$G$15&amp;""'or Col2 = '""&amp;Personagem!$G$16&amp;""'""),
if('Time 2'!C7 = ""Edward"", query(IMPORTRANGE(cd_planilha, ""Armas!B3:G""), ""Sel"&amp;"ect Col1 Where Col2 = '""&amp;Personagem!$H$14&amp;""' or Col2 = '""&amp;Personagem!$H$15&amp;""' or Col2 = '""&amp;Personagem!$H$16&amp;""'""),
if('Time 2'!C7 = ""Fiora"", query(IMPORTRANGE(cd_planilha, ""Armas!B3:G""), ""Select Col1 Where Col2 = '""&amp;Personagem!$I$14&amp;""' or Col"&amp;"2 = '""&amp;Personagem!$I$15&amp;""' or Col2 = '""&amp;Personagem!$I$16&amp;""'""),
if('Time 2'!C7 = ""Francesca"", query(IMPORTRANGE(cd_planilha, ""Armas!B3:G""), ""Select Col1 Where Col2 = '""&amp;Personagem!$J$14&amp;""' or Col2 = '""&amp;Personagem!$J$15&amp;""'or Col2 = '""&amp;Persona"&amp;"gem!$J$16&amp;""'""),
if('Time 2'!C7 = ""Garreth"", query(IMPORTRANGE(cd_planilha, ""Armas!B3:G""), ""Select Col1 Where Col2 = '""&amp;Personagem!$K$14&amp;""' or Col2 = '""&amp;Personagem!$K$15&amp;""'or Col2 = '""&amp;Personagem!$K$16&amp;""'""),
if('Time 2'!C7 = ""Gauvin"", query"&amp;"(IMPORTRANGE(cd_planilha, ""Armas!B3:G""), ""Select Col1 Where Col2 = '""&amp;Personagem!$L$14&amp;""' or Col2 = '""&amp;Personagem!$L$15&amp;""'or Col2 = '""&amp;Personagem!$L$16&amp;""' ""),
if('Time 2'!C7 = ""Irene"", query(IMPORTRANGE(cd_planilha, ""Armas!B3:G""), ""Select C"&amp;"ol1 Where Col2 = '""&amp;Personagem!$M$14&amp;""' or Col2 = '""&amp;Personagem!$M$15&amp;""'or Col2 = '""&amp;Personagem!$M$16&amp;""' ""),
if('Time 2'!C7 = ""Karal"", query(IMPORTRANGE(cd_planilha, ""Armas!B3:G""), ""Select Col1 Where Col2 = '""&amp;Personagem!$N$14&amp;""' or Col2 = '"&amp;"""&amp;Personagem!$N$15&amp;""' or Col2 = '""&amp;Personagem!$N$16&amp;""'""),
if('Time 2'!C7 = ""Kuro Shobi"", query(IMPORTRANGE(cd_planilha, ""Armas!B3:G""), ""Select Col1 Where Col2 = '""&amp;Personagem!$O$14&amp;""' or Col2 = '""&amp;Personagem!$O$15&amp;""'or Col2 = '""&amp;Personagem!"&amp;"$O$16&amp;""'""),
if('Time 2'!C7 = ""Kurul"", query(IMPORTRANGE(cd_planilha, ""Armas!B3:G""), ""Select Col1 Where Col2 = '""&amp;Personagem!$P$14&amp;""' or Col2 = '""&amp;Personagem!$P$15&amp;""' or Col2 = '""&amp;Personagem!$P$16&amp;""'""),
if('Time 2'!C7 = ""Lancaster"", query(I"&amp;"MPORTRANGE(cd_planilha, ""Armas!B3:G""), ""Select Col1 Where Col2 = '""&amp;Personagem!$Q$14&amp;""' or Col2 = '""&amp;Personagem!$Q$15&amp;""'or Col2 = '""&amp;Personagem!$Q$16&amp;""'""),
if('Time 2'!C7 = ""Lorelei"", query(IMPORTRANGE(cd_planilha, ""Armas!B3:G""), ""Select Co"&amp;"l1 Where Col2 = '""&amp;Personagem!$R$14&amp;""' or Col2 = '""&amp;Personagem!$R$15&amp;""' or Col2 = '""&amp;Personagem!$R$16&amp;""'""),
if('Time 2'!C7 = ""Louca"", query(IMPORTRANGE(cd_planilha, ""Armas!B3:G""), ""Select Col1 Where Col2 = '""&amp;Personagem!$S$14&amp;""' or Col2 = '"&amp;"""&amp;Personagem!$S$15&amp;""'or Col2 = '""&amp;Personagem!$S$16&amp;""' ""),
if('Time 2'!C7 = ""Melina"", query(IMPORTRANGE(cd_planilha, ""Armas!B3:G""), ""Select Col1 Where Col2 = '""&amp;Personagem!$T$14&amp;""' or Col2 = '""&amp;Personagem!$T$15&amp;""'or Col2 = '""&amp;Personagem!$T$1"&amp;"6&amp;""'""),
if('Time 2'!C7 = ""Mila"", query(IMPORTRANGE(cd_planilha, ""Armas!B3:G""), ""Select Col1 Where Col2 = '""&amp;Personagem!$U$14&amp;""' or Col2 = '""&amp;Personagem!$U$15&amp;""' or Col2 = '""&amp;Personagem!$U$16&amp;""'""),
if('Time 2'!C7 = ""Minh"", query(IMPORTRANGE"&amp;"(cd_planilha, ""Armas!B3:G""), ""Select Col1 Where Col2 = '""&amp;Personagem!$V$14&amp;""' or Col2 = '""&amp;Personagem!$V$15&amp;""' or Col2 = '""&amp;Personagem!$V$16&amp;""'""),
if('Time 2'!C7 = ""Mojian"", query(IMPORTRANGE(cd_planilha, ""Armas!B3:G""), ""Select Col1 Where C"&amp;"ol2 = '""&amp;Personagem!$W$14&amp;""' or Col2 = '""&amp;Personagem!$W$15&amp;""'or Col2 = '""&amp;Personagem!$W$16&amp;""'""),
if('Time 2'!C7 = ""Nya"", query(IMPORTRANGE(cd_planilha, ""Armas!B3:G""), ""Select Col1 Where Col2 = '""&amp;Personagem!$X$14&amp;""' or Col2 = '""&amp;Personagem!"&amp;"$X$15&amp;""' or Col2 = '""&amp;Personagem!$X$16&amp;""'""),
if('Time 2'!C7 = ""Odette"", query(IMPORTRANGE(cd_planilha, ""Armas!B3:G""), ""Select Col1 Where Col2 = '""&amp;Personagem!$Y$14&amp;""' or Col2 = '""&amp;Personagem!$Y$15&amp;""'or Col2 = '""&amp;Personagem!$YB$16&amp;""'""),
if("&amp;"'Time 2'!C7 = ""Oneira"", query(IMPORTRANGE(cd_planilha, ""Armas!B3:G""), ""Select Col1 Where Col2 = '""&amp;Personagem!$Z$14&amp;""' or Col2 = '""&amp;Personagem!$Z$15&amp;""' or Col2 = '""&amp;Personagem!$Z$16&amp;""'""),
if('Time 2'!C7 = ""Palash"", query(IMPORTRANGE(cd_plani"&amp;"lha, ""Armas!B3:G""), ""Select Col1 Where Col2 = '""&amp;Personagem!$AA$14&amp;""' or Col2 = '""&amp;Personagem!$AA$15&amp;""'or Col2 = '""&amp;Personagem!$AA$16&amp;""'""),
if('Time 2'!C7 = ""Theor"", query(IMPORTRANGE(cd_planilha, ""Armas!B3:G""), ""Select Col1 Where Col2 = '"&amp;"""&amp;Personagem!$AB$14&amp;""' or Col2 = '""&amp;Personagem!$AB$15&amp;""' or Col2 = '""&amp;Personagem!$AB$16&amp;""'""),
if('Time 2'!C7 = ""Yue"", query(IMPORTRANGE(cd_planilha, ""Armas!B3:G""), ""Select Col1 Where Col2 = '""&amp;Personagem!$AC$14&amp;""' or Col2 = '""&amp;Personagem!$A"&amp;"C$15&amp;""'or Col2 = '""&amp;Personagem!$AC$16&amp;""'""
)))))))))))))))))))))))))))))"),"Feitiço do Vento ")</f>
        <v>Feitiço do Vento </v>
      </c>
      <c r="AH598" s="241"/>
      <c r="AI598" s="241" t="str">
        <f>IFERROR(__xludf.DUMMYFUNCTION("if('Time 2'!C8 = ""Albert"", query(IMPORTRANGE(cd_planilha, ""Armas!B3:G""), ""Select Col1 Where Col2 = '""&amp;Personagem!$B$14&amp;""' or Col2 = '""&amp;Personagem!$B$15&amp;""' or Col2 = '""&amp;Personagem!$B$16&amp;""'""),     
if('Time 2'!C8 = ""Alicia"", query(IMPORTRANGE("&amp;"cd_planilha, ""Armas!B3:G""), ""Select Col1 Where Col2 = '""&amp;Personagem!$C$14&amp;""'  or Col2 = '""&amp;Personagem!$C$16&amp;""'""),     
if('Time 2'!C8 = ""Azula"", query(IMPORTRANGE(cd_planilha, ""Armas!B3:G""), ""Select Col1 Where Col2 = '""&amp;Personagem!$D$14&amp;""' "&amp;"or Col2 = '""&amp;Personagem!$D$15&amp;""' or Col2 = '""&amp;Personagem!$D$16&amp;""'""),
if('Time 2'!C8 = ""Charles"", query(IMPORTRANGE(cd_planilha, ""Armas!B3:G""), ""Select Col1 Where Col2 = '""&amp;Personagem!$E$14&amp;""' or Col2 = '""&amp;Personagem!$E$15&amp;""'or Col2 = '""&amp;Per"&amp;"sonagem!$E$16&amp;""'""),
if('Time 2'!C8 = ""Clovis"", query(IMPORTRANGE(cd_planilha, ""Armas!B3:G""), ""Select Col1 Where Col2 = '""&amp;Personagem!$F$14&amp;""' or Col2 = '""&amp;Personagem!$F$15&amp;""' or Col2 = '""&amp;Personagem!$F$16&amp;""'""),
if('Time 2'!C8 = ""Darthos"", "&amp;"query(IMPORTRANGE(cd_planilha, ""Armas!B3:G""), ""Select Col1 Where Col2 = '""&amp;Personagem!$G$14&amp;""' or Col2 = '""&amp;Personagem!$G$15&amp;""'or Col2 = '""&amp;Personagem!$G$16&amp;""'""),
if('Time 2'!C8 = ""Edward"", query(IMPORTRANGE(cd_planilha, ""Armas!B3:G""), ""Sel"&amp;"ect Col1 Where Col2 = '""&amp;Personagem!$H$14&amp;""' or Col2 = '""&amp;Personagem!$H$15&amp;""' or Col2 = '""&amp;Personagem!$H$16&amp;""'""),
if('Time 2'!C8 = ""Fiora"", query(IMPORTRANGE(cd_planilha, ""Armas!B3:G""), ""Select Col1 Where Col2 = '""&amp;Personagem!$I$14&amp;""' or Col"&amp;"2 = '""&amp;Personagem!$I$15&amp;""' or Col2 = '""&amp;Personagem!$I$16&amp;""'""),
if('Time 2'!C8 = ""Francesca"", query(IMPORTRANGE(cd_planilha, ""Armas!B3:G""), ""Select Col1 Where Col2 = '""&amp;Personagem!$J$14&amp;""' or Col2 = '""&amp;Personagem!$J$15&amp;""'or Col2 = '""&amp;Persona"&amp;"gem!$J$16&amp;""'""),
if('Time 2'!C8 = ""Garreth"", query(IMPORTRANGE(cd_planilha, ""Armas!B3:G""), ""Select Col1 Where Col2 = '""&amp;Personagem!$K$14&amp;""' or Col2 = '""&amp;Personagem!$K$15&amp;""'or Col2 = '""&amp;Personagem!$K$16&amp;""'""),
if('Time 2'!C8 = ""Gauvin"", query"&amp;"(IMPORTRANGE(cd_planilha, ""Armas!B3:G""), ""Select Col1 Where Col2 = '""&amp;Personagem!$L$14&amp;""' or Col2 = '""&amp;Personagem!$L$15&amp;""'or Col2 = '""&amp;Personagem!$L$16&amp;""' ""),
if('Time 2'!C8 = ""Irene"", query(IMPORTRANGE(cd_planilha, ""Armas!B3:G""), ""Select C"&amp;"ol1 Where Col2 = '""&amp;Personagem!$M$14&amp;""' or Col2 = '""&amp;Personagem!$M$15&amp;""'or Col2 = '""&amp;Personagem!$M$16&amp;""' ""),
if('Time 2'!C8 = ""Karal"", query(IMPORTRANGE(cd_planilha, ""Armas!B3:G""), ""Select Col1 Where Col2 = '""&amp;Personagem!$N$14&amp;""' or Col2 = '"&amp;"""&amp;Personagem!$N$15&amp;""' or Col2 = '""&amp;Personagem!$N$16&amp;""'""),
if('Time 2'!C8 = ""Kuro Shobi"", query(IMPORTRANGE(cd_planilha, ""Armas!B3:G""), ""Select Col1 Where Col2 = '""&amp;Personagem!$O$14&amp;""' or Col2 = '""&amp;Personagem!$O$15&amp;""'or Col2 = '""&amp;Personagem!"&amp;"$O$16&amp;""'""),
if('Time 2'!C8 = ""Kurul"", query(IMPORTRANGE(cd_planilha, ""Armas!B3:G""), ""Select Col1 Where Col2 = '""&amp;Personagem!$P$14&amp;""' or Col2 = '""&amp;Personagem!$P$15&amp;""' or Col2 = '""&amp;Personagem!$P$16&amp;""'""),
if('Time 2'!C8 = ""Lancaster"", query(I"&amp;"MPORTRANGE(cd_planilha, ""Armas!B3:G""), ""Select Col1 Where Col2 = '""&amp;Personagem!$Q$14&amp;""' or Col2 = '""&amp;Personagem!$Q$15&amp;""'or Col2 = '""&amp;Personagem!$Q$16&amp;""'""),
if('Time 2'!C8 = ""Lorelei"", query(IMPORTRANGE(cd_planilha, ""Armas!B3:G""), ""Select Co"&amp;"l1 Where Col2 = '""&amp;Personagem!$R$14&amp;""' or Col2 = '""&amp;Personagem!$R$15&amp;""' or Col2 = '""&amp;Personagem!$R$16&amp;""'""),
if('Time 2'!C8 = ""Louca"", query(IMPORTRANGE(cd_planilha, ""Armas!B3:G""), ""Select Col1 Where Col2 = '""&amp;Personagem!$S$14&amp;""' or Col2 = '"&amp;"""&amp;Personagem!$S$15&amp;""'or Col2 = '""&amp;Personagem!$S$16&amp;""' ""),
if('Time 2'!C8 = ""Melina"", query(IMPORTRANGE(cd_planilha, ""Armas!B3:G""), ""Select Col1 Where Col2 = '""&amp;Personagem!$T$14&amp;""' or Col2 = '""&amp;Personagem!$T$15&amp;""'or Col2 = '""&amp;Personagem!$T$1"&amp;"6&amp;""'""),
if('Time 2'!C8 = ""Mila"", query(IMPORTRANGE(cd_planilha, ""Armas!B3:G""), ""Select Col1 Where Col2 = '""&amp;Personagem!$U$14&amp;""' or Col2 = '""&amp;Personagem!$U$15&amp;""' or Col2 = '""&amp;Personagem!$U$16&amp;""'""),
if('Time 2'!C8 = ""Minh"", query(IMPORTRANGE"&amp;"(cd_planilha, ""Armas!B3:G""), ""Select Col1 Where Col2 = '""&amp;Personagem!$V$14&amp;""' or Col2 = '""&amp;Personagem!$V$15&amp;""' or Col2 = '""&amp;Personagem!$V$16&amp;""'""),
if('Time 2'!C8 = ""Mojian"", query(IMPORTRANGE(cd_planilha, ""Armas!B3:G""), ""Select Col1 Where C"&amp;"ol2 = '""&amp;Personagem!$W$14&amp;""' or Col2 = '""&amp;Personagem!$W$15&amp;""'or Col2 = '""&amp;Personagem!$W$16&amp;""'""),
if('Time 2'!C8 = ""Nya"", query(IMPORTRANGE(cd_planilha, ""Armas!B3:G""), ""Select Col1 Where Col2 = '""&amp;Personagem!$X$14&amp;""' or Col2 = '""&amp;Personagem!"&amp;"$X$15&amp;""' or Col2 = '""&amp;Personagem!$X$16&amp;""'""),
if('Time 2'!C8 = ""Odette"", query(IMPORTRANGE(cd_planilha, ""Armas!B3:G""), ""Select Col1 Where Col2 = '""&amp;Personagem!$Y$14&amp;""' or Col2 = '""&amp;Personagem!$Y$15&amp;""'or Col2 = '""&amp;Personagem!$YB$16&amp;""'""),
if("&amp;"'Time 2'!C8 = ""Oneira"", query(IMPORTRANGE(cd_planilha, ""Armas!B3:G""), ""Select Col1 Where Col2 = '""&amp;Personagem!$Z$14&amp;""' or Col2 = '""&amp;Personagem!$Z$15&amp;""' or Col2 = '""&amp;Personagem!$Z$16&amp;""'""),
if('Time 2'!C8 = ""Palash"", query(IMPORTRANGE(cd_plani"&amp;"lha, ""Armas!B3:G""), ""Select Col1 Where Col2 = '""&amp;Personagem!$AA$14&amp;""' or Col2 = '""&amp;Personagem!$AA$15&amp;""'or Col2 = '""&amp;Personagem!$AA$16&amp;""'""),
if('Time 2'!C8 = ""Theor"", query(IMPORTRANGE(cd_planilha, ""Armas!B3:G""), ""Select Col1 Where Col2 = '"&amp;"""&amp;Personagem!$AB$14&amp;""' or Col2 = '""&amp;Personagem!$AB$15&amp;""' or Col2 = '""&amp;Personagem!$AB$16&amp;""'""),
if('Time 2'!C8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J598" s="242"/>
    </row>
    <row r="599">
      <c r="A599" s="241" t="str">
        <f>IFERROR(__xludf.DUMMYFUNCTION("""COMPUTED_VALUE"""),"Guardian Protector")</f>
        <v>Guardian Protector</v>
      </c>
      <c r="B599" s="241"/>
      <c r="C599" s="241" t="str">
        <f>IFERROR(__xludf.DUMMYFUNCTION("""COMPUTED_VALUE"""),"Gancho mão de metal")</f>
        <v>Gancho mão de metal</v>
      </c>
      <c r="D599" s="241"/>
      <c r="E599" s="241" t="str">
        <f>IFERROR(__xludf.DUMMYFUNCTION("""COMPUTED_VALUE"""),"Gancho mão de metal")</f>
        <v>Gancho mão de metal</v>
      </c>
      <c r="F599" s="241"/>
      <c r="G599" s="241" t="str">
        <f>IFERROR(__xludf.DUMMYFUNCTION("""COMPUTED_VALUE"""),"Gancho mão de metal")</f>
        <v>Gancho mão de metal</v>
      </c>
      <c r="H599" s="241"/>
      <c r="I599" s="241" t="str">
        <f>IFERROR(__xludf.DUMMYFUNCTION("""COMPUTED_VALUE"""),"Guardian Protector")</f>
        <v>Guardian Protector</v>
      </c>
      <c r="J599" s="241"/>
      <c r="K599" s="241" t="str">
        <f>IFERROR(__xludf.DUMMYFUNCTION("""COMPUTED_VALUE"""),"Guardian Protector")</f>
        <v>Guardian Protector</v>
      </c>
      <c r="L599" s="242"/>
      <c r="M599" s="241" t="str">
        <f>IFERROR(__xludf.DUMMYFUNCTION("""COMPUTED_VALUE"""),"Calçado Lunar ")</f>
        <v>Calçado Lunar </v>
      </c>
      <c r="N599" s="241"/>
      <c r="O599" s="241" t="str">
        <f>IFERROR(__xludf.DUMMYFUNCTION("""COMPUTED_VALUE"""),"Botas do leão")</f>
        <v>Botas do leão</v>
      </c>
      <c r="P599" s="241"/>
      <c r="Q599" s="241" t="str">
        <f>IFERROR(__xludf.DUMMYFUNCTION("""COMPUTED_VALUE"""),"Botas do leão")</f>
        <v>Botas do leão</v>
      </c>
      <c r="R599" s="241"/>
      <c r="S599" s="241" t="str">
        <f>IFERROR(__xludf.DUMMYFUNCTION("""COMPUTED_VALUE"""),"Botas do leão")</f>
        <v>Botas do leão</v>
      </c>
      <c r="T599" s="241"/>
      <c r="U599" s="241" t="str">
        <f>IFERROR(__xludf.DUMMYFUNCTION("""COMPUTED_VALUE"""),"Botas do leão")</f>
        <v>Botas do leão</v>
      </c>
      <c r="V599" s="241"/>
      <c r="W599" s="241" t="str">
        <f>IFERROR(__xludf.DUMMYFUNCTION("""COMPUTED_VALUE"""),"Calçado Lunar ")</f>
        <v>Calçado Lunar </v>
      </c>
      <c r="X599" s="242"/>
      <c r="Y599" s="241" t="str">
        <f>IFERROR(__xludf.DUMMYFUNCTION("""COMPUTED_VALUE"""),"Interesseiro")</f>
        <v>Interesseiro</v>
      </c>
      <c r="Z599" s="241"/>
      <c r="AA599" s="241" t="str">
        <f>IFERROR(__xludf.DUMMYFUNCTION("""COMPUTED_VALUE"""),"Contra Fogo")</f>
        <v>Contra Fogo</v>
      </c>
      <c r="AB599" s="241"/>
      <c r="AC599" s="241" t="str">
        <f>IFERROR(__xludf.DUMMYFUNCTION("""COMPUTED_VALUE"""),"Contra Fogo")</f>
        <v>Contra Fogo</v>
      </c>
      <c r="AD599" s="241"/>
      <c r="AE599" s="241" t="str">
        <f>IFERROR(__xludf.DUMMYFUNCTION("""COMPUTED_VALUE"""),"Interesseiro")</f>
        <v>Interesseiro</v>
      </c>
      <c r="AF599" s="241"/>
      <c r="AG599" s="241" t="str">
        <f>IFERROR(__xludf.DUMMYFUNCTION("""COMPUTED_VALUE"""),"Símbolo do Exorcismo")</f>
        <v>Símbolo do Exorcismo</v>
      </c>
      <c r="AH599" s="241"/>
      <c r="AI599" s="241" t="str">
        <f>IFERROR(__xludf.DUMMYFUNCTION("""COMPUTED_VALUE"""),"Interesseiro")</f>
        <v>Interesseiro</v>
      </c>
      <c r="AJ599" s="242"/>
    </row>
    <row r="600" hidden="1">
      <c r="A600" s="241" t="str">
        <f>IFERROR(__xludf.DUMMYFUNCTION("""COMPUTED_VALUE"""),"Luvas do Grão Mestre")</f>
        <v>Luvas do Grão Mestre</v>
      </c>
      <c r="B600" s="241"/>
      <c r="C600" s="241" t="str">
        <f>IFERROR(__xludf.DUMMYFUNCTION("""COMPUTED_VALUE"""),"Garra Gelada")</f>
        <v>Garra Gelada</v>
      </c>
      <c r="D600" s="241"/>
      <c r="E600" s="241" t="str">
        <f>IFERROR(__xludf.DUMMYFUNCTION("""COMPUTED_VALUE"""),"Garra Gelada")</f>
        <v>Garra Gelada</v>
      </c>
      <c r="F600" s="241"/>
      <c r="G600" s="241" t="str">
        <f>IFERROR(__xludf.DUMMYFUNCTION("""COMPUTED_VALUE"""),"Garra Gelada")</f>
        <v>Garra Gelada</v>
      </c>
      <c r="H600" s="241"/>
      <c r="I600" s="241" t="str">
        <f>IFERROR(__xludf.DUMMYFUNCTION("""COMPUTED_VALUE"""),"Luvas do Grão Mestre")</f>
        <v>Luvas do Grão Mestre</v>
      </c>
      <c r="J600" s="241"/>
      <c r="K600" s="241" t="str">
        <f>IFERROR(__xludf.DUMMYFUNCTION("""COMPUTED_VALUE"""),"Luvas do Grão Mestre")</f>
        <v>Luvas do Grão Mestre</v>
      </c>
      <c r="L600" s="242"/>
      <c r="M600" s="241" t="str">
        <f>IFERROR(__xludf.DUMMYFUNCTION("""COMPUTED_VALUE"""),"Meh-ticulosamente Feito")</f>
        <v>Meh-ticulosamente Feito</v>
      </c>
      <c r="N600" s="241"/>
      <c r="O600" s="241" t="str">
        <f>IFERROR(__xludf.DUMMYFUNCTION("""COMPUTED_VALUE"""),"Botas do Aventureiro")</f>
        <v>Botas do Aventureiro</v>
      </c>
      <c r="P600" s="241"/>
      <c r="Q600" s="241" t="str">
        <f>IFERROR(__xludf.DUMMYFUNCTION("""COMPUTED_VALUE"""),"Botas do Aventureiro")</f>
        <v>Botas do Aventureiro</v>
      </c>
      <c r="R600" s="241"/>
      <c r="S600" s="241" t="str">
        <f>IFERROR(__xludf.DUMMYFUNCTION("""COMPUTED_VALUE"""),"Botas do Aventureiro")</f>
        <v>Botas do Aventureiro</v>
      </c>
      <c r="T600" s="241"/>
      <c r="U600" s="241" t="str">
        <f>IFERROR(__xludf.DUMMYFUNCTION("""COMPUTED_VALUE"""),"Botas do Aventureiro")</f>
        <v>Botas do Aventureiro</v>
      </c>
      <c r="V600" s="241"/>
      <c r="W600" s="241" t="str">
        <f>IFERROR(__xludf.DUMMYFUNCTION("""COMPUTED_VALUE"""),"Meh-ticulosamente Feito")</f>
        <v>Meh-ticulosamente Feito</v>
      </c>
      <c r="X600" s="242"/>
      <c r="Y600" s="241" t="str">
        <f>IFERROR(__xludf.DUMMYFUNCTION("""COMPUTED_VALUE"""),"Anel ferradura")</f>
        <v>Anel ferradura</v>
      </c>
      <c r="Z600" s="241"/>
      <c r="AA600" s="241" t="str">
        <f>IFERROR(__xludf.DUMMYFUNCTION("""COMPUTED_VALUE"""),"Scarab Shield")</f>
        <v>Scarab Shield</v>
      </c>
      <c r="AB600" s="241"/>
      <c r="AC600" s="241" t="str">
        <f>IFERROR(__xludf.DUMMYFUNCTION("""COMPUTED_VALUE"""),"Scarab Shield")</f>
        <v>Scarab Shield</v>
      </c>
      <c r="AD600" s="241"/>
      <c r="AE600" s="241" t="str">
        <f>IFERROR(__xludf.DUMMYFUNCTION("""COMPUTED_VALUE"""),"Anel ferradura")</f>
        <v>Anel ferradura</v>
      </c>
      <c r="AF600" s="241"/>
      <c r="AG600" s="241" t="str">
        <f>IFERROR(__xludf.DUMMYFUNCTION("""COMPUTED_VALUE"""),"Proteção defensora")</f>
        <v>Proteção defensora</v>
      </c>
      <c r="AH600" s="241"/>
      <c r="AI600" s="241" t="str">
        <f>IFERROR(__xludf.DUMMYFUNCTION("""COMPUTED_VALUE"""),"Anel ferradura")</f>
        <v>Anel ferradura</v>
      </c>
      <c r="AJ600" s="242"/>
    </row>
    <row r="601" hidden="1">
      <c r="A601" s="241" t="str">
        <f>IFERROR(__xludf.DUMMYFUNCTION("""COMPUTED_VALUE"""),"Luvas das Sombras")</f>
        <v>Luvas das Sombras</v>
      </c>
      <c r="B601" s="241"/>
      <c r="C601" s="241" t="str">
        <f>IFERROR(__xludf.DUMMYFUNCTION("""COMPUTED_VALUE"""),"Manoplas do Rei")</f>
        <v>Manoplas do Rei</v>
      </c>
      <c r="D601" s="241"/>
      <c r="E601" s="241" t="str">
        <f>IFERROR(__xludf.DUMMYFUNCTION("""COMPUTED_VALUE"""),"Manoplas do Rei")</f>
        <v>Manoplas do Rei</v>
      </c>
      <c r="F601" s="241"/>
      <c r="G601" s="241" t="str">
        <f>IFERROR(__xludf.DUMMYFUNCTION("""COMPUTED_VALUE"""),"Manoplas do Rei")</f>
        <v>Manoplas do Rei</v>
      </c>
      <c r="H601" s="241"/>
      <c r="I601" s="241" t="str">
        <f>IFERROR(__xludf.DUMMYFUNCTION("""COMPUTED_VALUE"""),"Luvas das Sombras")</f>
        <v>Luvas das Sombras</v>
      </c>
      <c r="J601" s="241"/>
      <c r="K601" s="241" t="str">
        <f>IFERROR(__xludf.DUMMYFUNCTION("""COMPUTED_VALUE"""),"Luvas das Sombras")</f>
        <v>Luvas das Sombras</v>
      </c>
      <c r="L601" s="242"/>
      <c r="M601" s="241" t="str">
        <f>IFERROR(__xludf.DUMMYFUNCTION("""COMPUTED_VALUE"""),"Sandálias de Asas ")</f>
        <v>Sandálias de Asas </v>
      </c>
      <c r="N601" s="241"/>
      <c r="O601" s="241" t="str">
        <f>IFERROR(__xludf.DUMMYFUNCTION("""COMPUTED_VALUE"""),"Grevas da chama")</f>
        <v>Grevas da chama</v>
      </c>
      <c r="P601" s="241"/>
      <c r="Q601" s="241" t="str">
        <f>IFERROR(__xludf.DUMMYFUNCTION("""COMPUTED_VALUE"""),"Grevas da chama")</f>
        <v>Grevas da chama</v>
      </c>
      <c r="R601" s="241"/>
      <c r="S601" s="241" t="str">
        <f>IFERROR(__xludf.DUMMYFUNCTION("""COMPUTED_VALUE"""),"Grevas da chama")</f>
        <v>Grevas da chama</v>
      </c>
      <c r="T601" s="241"/>
      <c r="U601" s="241" t="str">
        <f>IFERROR(__xludf.DUMMYFUNCTION("""COMPUTED_VALUE"""),"Grevas da chama")</f>
        <v>Grevas da chama</v>
      </c>
      <c r="V601" s="241"/>
      <c r="W601" s="241" t="str">
        <f>IFERROR(__xludf.DUMMYFUNCTION("""COMPUTED_VALUE"""),"Sandálias de Asas ")</f>
        <v>Sandálias de Asas </v>
      </c>
      <c r="X601" s="242"/>
      <c r="Y601" s="241" t="str">
        <f>IFERROR(__xludf.DUMMYFUNCTION("""COMPUTED_VALUE"""),"Perseguindo a lua")</f>
        <v>Perseguindo a lua</v>
      </c>
      <c r="Z601" s="241"/>
      <c r="AA601" s="241" t="str">
        <f>IFERROR(__xludf.DUMMYFUNCTION("""COMPUTED_VALUE"""),"Égide ")</f>
        <v>Égide </v>
      </c>
      <c r="AB601" s="241"/>
      <c r="AC601" s="241" t="str">
        <f>IFERROR(__xludf.DUMMYFUNCTION("""COMPUTED_VALUE"""),"Égide ")</f>
        <v>Égide </v>
      </c>
      <c r="AD601" s="241"/>
      <c r="AE601" s="241" t="str">
        <f>IFERROR(__xludf.DUMMYFUNCTION("""COMPUTED_VALUE"""),"Perseguindo a lua")</f>
        <v>Perseguindo a lua</v>
      </c>
      <c r="AF601" s="241"/>
      <c r="AG601" s="241" t="str">
        <f>IFERROR(__xludf.DUMMYFUNCTION("""COMPUTED_VALUE"""),"Amuleto Ankh")</f>
        <v>Amuleto Ankh</v>
      </c>
      <c r="AH601" s="241"/>
      <c r="AI601" s="241" t="str">
        <f>IFERROR(__xludf.DUMMYFUNCTION("""COMPUTED_VALUE"""),"Perseguindo a lua")</f>
        <v>Perseguindo a lua</v>
      </c>
      <c r="AJ601" s="242"/>
    </row>
    <row r="602" hidden="1">
      <c r="A602" s="241" t="str">
        <f>IFERROR(__xludf.DUMMYFUNCTION("""COMPUTED_VALUE"""),"Braceletes gélidos")</f>
        <v>Braceletes gélidos</v>
      </c>
      <c r="B602" s="241"/>
      <c r="C602" s="241" t="str">
        <f>IFERROR(__xludf.DUMMYFUNCTION("""COMPUTED_VALUE"""),"Chocantes ")</f>
        <v>Chocantes </v>
      </c>
      <c r="D602" s="241"/>
      <c r="E602" s="241" t="str">
        <f>IFERROR(__xludf.DUMMYFUNCTION("""COMPUTED_VALUE"""),"Chocantes ")</f>
        <v>Chocantes </v>
      </c>
      <c r="F602" s="241"/>
      <c r="G602" s="241" t="str">
        <f>IFERROR(__xludf.DUMMYFUNCTION("""COMPUTED_VALUE"""),"Chocantes ")</f>
        <v>Chocantes </v>
      </c>
      <c r="H602" s="241"/>
      <c r="I602" s="241" t="str">
        <f>IFERROR(__xludf.DUMMYFUNCTION("""COMPUTED_VALUE"""),"Braceletes gélidos")</f>
        <v>Braceletes gélidos</v>
      </c>
      <c r="J602" s="241"/>
      <c r="K602" s="241" t="str">
        <f>IFERROR(__xludf.DUMMYFUNCTION("""COMPUTED_VALUE"""),"Braceletes gélidos")</f>
        <v>Braceletes gélidos</v>
      </c>
      <c r="L602" s="242"/>
      <c r="M602" s="241" t="str">
        <f>IFERROR(__xludf.DUMMYFUNCTION("""COMPUTED_VALUE"""),"Encontra-Caminho")</f>
        <v>Encontra-Caminho</v>
      </c>
      <c r="N602" s="241"/>
      <c r="O602" s="241" t="str">
        <f>IFERROR(__xludf.DUMMYFUNCTION("""COMPUTED_VALUE"""),"Calçados mágicos")</f>
        <v>Calçados mágicos</v>
      </c>
      <c r="P602" s="241"/>
      <c r="Q602" s="241" t="str">
        <f>IFERROR(__xludf.DUMMYFUNCTION("""COMPUTED_VALUE"""),"Calçados mágicos")</f>
        <v>Calçados mágicos</v>
      </c>
      <c r="R602" s="241"/>
      <c r="S602" s="241" t="str">
        <f>IFERROR(__xludf.DUMMYFUNCTION("""COMPUTED_VALUE"""),"Calçados mágicos")</f>
        <v>Calçados mágicos</v>
      </c>
      <c r="T602" s="241"/>
      <c r="U602" s="241" t="str">
        <f>IFERROR(__xludf.DUMMYFUNCTION("""COMPUTED_VALUE"""),"Calçados mágicos")</f>
        <v>Calçados mágicos</v>
      </c>
      <c r="V602" s="241"/>
      <c r="W602" s="241" t="str">
        <f>IFERROR(__xludf.DUMMYFUNCTION("""COMPUTED_VALUE"""),"Encontra-Caminho")</f>
        <v>Encontra-Caminho</v>
      </c>
      <c r="X602" s="242"/>
      <c r="Y602" s="241" t="str">
        <f>IFERROR(__xludf.DUMMYFUNCTION("""COMPUTED_VALUE"""),"Anel do Cruzado")</f>
        <v>Anel do Cruzado</v>
      </c>
      <c r="Z602" s="241"/>
      <c r="AA602" s="241" t="str">
        <f>IFERROR(__xludf.DUMMYFUNCTION("""COMPUTED_VALUE"""),"Escudo Estrelado")</f>
        <v>Escudo Estrelado</v>
      </c>
      <c r="AB602" s="241"/>
      <c r="AC602" s="241" t="str">
        <f>IFERROR(__xludf.DUMMYFUNCTION("""COMPUTED_VALUE"""),"Escudo Estrelado")</f>
        <v>Escudo Estrelado</v>
      </c>
      <c r="AD602" s="241"/>
      <c r="AE602" s="241" t="str">
        <f>IFERROR(__xludf.DUMMYFUNCTION("""COMPUTED_VALUE"""),"Anel do Cruzado")</f>
        <v>Anel do Cruzado</v>
      </c>
      <c r="AF602" s="241"/>
      <c r="AG602" s="241" t="str">
        <f>IFERROR(__xludf.DUMMYFUNCTION("""COMPUTED_VALUE"""),"Coração de Lich")</f>
        <v>Coração de Lich</v>
      </c>
      <c r="AH602" s="241"/>
      <c r="AI602" s="241" t="str">
        <f>IFERROR(__xludf.DUMMYFUNCTION("""COMPUTED_VALUE"""),"Anel do Cruzado")</f>
        <v>Anel do Cruzado</v>
      </c>
      <c r="AJ602" s="242"/>
    </row>
    <row r="603" hidden="1">
      <c r="A603" s="241" t="str">
        <f>IFERROR(__xludf.DUMMYFUNCTION("""COMPUTED_VALUE"""),"Luvas do espreitador")</f>
        <v>Luvas do espreitador</v>
      </c>
      <c r="B603" s="241"/>
      <c r="C603" s="241" t="str">
        <f>IFERROR(__xludf.DUMMYFUNCTION("""COMPUTED_VALUE"""),"Manopla de escamas de Dragão")</f>
        <v>Manopla de escamas de Dragão</v>
      </c>
      <c r="D603" s="241"/>
      <c r="E603" s="241" t="str">
        <f>IFERROR(__xludf.DUMMYFUNCTION("""COMPUTED_VALUE"""),"Manopla de escamas de Dragão")</f>
        <v>Manopla de escamas de Dragão</v>
      </c>
      <c r="F603" s="241"/>
      <c r="G603" s="241" t="str">
        <f>IFERROR(__xludf.DUMMYFUNCTION("""COMPUTED_VALUE"""),"Manopla de escamas de Dragão")</f>
        <v>Manopla de escamas de Dragão</v>
      </c>
      <c r="H603" s="241"/>
      <c r="I603" s="241" t="str">
        <f>IFERROR(__xludf.DUMMYFUNCTION("""COMPUTED_VALUE"""),"Luvas do espreitador")</f>
        <v>Luvas do espreitador</v>
      </c>
      <c r="J603" s="241"/>
      <c r="K603" s="241" t="str">
        <f>IFERROR(__xludf.DUMMYFUNCTION("""COMPUTED_VALUE"""),"Luvas do espreitador")</f>
        <v>Luvas do espreitador</v>
      </c>
      <c r="L603" s="242"/>
      <c r="M603" s="241" t="str">
        <f>IFERROR(__xludf.DUMMYFUNCTION("""COMPUTED_VALUE"""),"Botas piratas")</f>
        <v>Botas piratas</v>
      </c>
      <c r="N603" s="241"/>
      <c r="O603" s="241" t="str">
        <f>IFERROR(__xludf.DUMMYFUNCTION("""COMPUTED_VALUE"""),"Pisa-em-crânios")</f>
        <v>Pisa-em-crânios</v>
      </c>
      <c r="P603" s="241"/>
      <c r="Q603" s="241" t="str">
        <f>IFERROR(__xludf.DUMMYFUNCTION("""COMPUTED_VALUE"""),"Pisa-em-crânios")</f>
        <v>Pisa-em-crânios</v>
      </c>
      <c r="R603" s="241"/>
      <c r="S603" s="241" t="str">
        <f>IFERROR(__xludf.DUMMYFUNCTION("""COMPUTED_VALUE"""),"Pisa-em-crânios")</f>
        <v>Pisa-em-crânios</v>
      </c>
      <c r="T603" s="241"/>
      <c r="U603" s="241" t="str">
        <f>IFERROR(__xludf.DUMMYFUNCTION("""COMPUTED_VALUE"""),"Pisa-em-crânios")</f>
        <v>Pisa-em-crânios</v>
      </c>
      <c r="V603" s="241"/>
      <c r="W603" s="241" t="str">
        <f>IFERROR(__xludf.DUMMYFUNCTION("""COMPUTED_VALUE"""),"Botas piratas")</f>
        <v>Botas piratas</v>
      </c>
      <c r="X603" s="242"/>
      <c r="Y603" s="241" t="str">
        <f>IFERROR(__xludf.DUMMYFUNCTION("""COMPUTED_VALUE"""),"Dragão sinete")</f>
        <v>Dragão sinete</v>
      </c>
      <c r="Z603" s="241"/>
      <c r="AA603" s="241" t="str">
        <f>IFERROR(__xludf.DUMMYFUNCTION("""COMPUTED_VALUE"""),"Escudo de cristal")</f>
        <v>Escudo de cristal</v>
      </c>
      <c r="AB603" s="241"/>
      <c r="AC603" s="241" t="str">
        <f>IFERROR(__xludf.DUMMYFUNCTION("""COMPUTED_VALUE"""),"Escudo de cristal")</f>
        <v>Escudo de cristal</v>
      </c>
      <c r="AD603" s="241"/>
      <c r="AE603" s="241" t="str">
        <f>IFERROR(__xludf.DUMMYFUNCTION("""COMPUTED_VALUE"""),"Dragão sinete")</f>
        <v>Dragão sinete</v>
      </c>
      <c r="AF603" s="241"/>
      <c r="AG603" s="241" t="str">
        <f>IFERROR(__xludf.DUMMYFUNCTION("""COMPUTED_VALUE"""),"Amuleto dracônico")</f>
        <v>Amuleto dracônico</v>
      </c>
      <c r="AH603" s="241"/>
      <c r="AI603" s="241" t="str">
        <f>IFERROR(__xludf.DUMMYFUNCTION("""COMPUTED_VALUE"""),"Dragão sinete")</f>
        <v>Dragão sinete</v>
      </c>
      <c r="AJ603" s="242"/>
    </row>
    <row r="604" hidden="1">
      <c r="A604" s="241" t="str">
        <f>IFERROR(__xludf.DUMMYFUNCTION("""COMPUTED_VALUE"""),"Celtic Bracer")</f>
        <v>Celtic Bracer</v>
      </c>
      <c r="B604" s="241"/>
      <c r="C604" s="241" t="str">
        <f>IFERROR(__xludf.DUMMYFUNCTION("""COMPUTED_VALUE"""),"Punhos de Adamantium")</f>
        <v>Punhos de Adamantium</v>
      </c>
      <c r="D604" s="241"/>
      <c r="E604" s="241" t="str">
        <f>IFERROR(__xludf.DUMMYFUNCTION("""COMPUTED_VALUE"""),"Punhos de Adamantium")</f>
        <v>Punhos de Adamantium</v>
      </c>
      <c r="F604" s="241"/>
      <c r="G604" s="241" t="str">
        <f>IFERROR(__xludf.DUMMYFUNCTION("""COMPUTED_VALUE"""),"Punhos de Adamantium")</f>
        <v>Punhos de Adamantium</v>
      </c>
      <c r="H604" s="241"/>
      <c r="I604" s="241" t="str">
        <f>IFERROR(__xludf.DUMMYFUNCTION("""COMPUTED_VALUE"""),"Celtic Bracer")</f>
        <v>Celtic Bracer</v>
      </c>
      <c r="J604" s="241"/>
      <c r="K604" s="241" t="str">
        <f>IFERROR(__xludf.DUMMYFUNCTION("""COMPUTED_VALUE"""),"Celtic Bracer")</f>
        <v>Celtic Bracer</v>
      </c>
      <c r="L604" s="242"/>
      <c r="M604" s="241" t="str">
        <f>IFERROR(__xludf.DUMMYFUNCTION("""COMPUTED_VALUE"""),"Anda-em-planos")</f>
        <v>Anda-em-planos</v>
      </c>
      <c r="N604" s="241"/>
      <c r="O604" s="241" t="str">
        <f>IFERROR(__xludf.DUMMYFUNCTION("""COMPUTED_VALUE"""),"Grevas Dracônicas")</f>
        <v>Grevas Dracônicas</v>
      </c>
      <c r="P604" s="241"/>
      <c r="Q604" s="241" t="str">
        <f>IFERROR(__xludf.DUMMYFUNCTION("""COMPUTED_VALUE"""),"Grevas Dracônicas")</f>
        <v>Grevas Dracônicas</v>
      </c>
      <c r="R604" s="241"/>
      <c r="S604" s="241" t="str">
        <f>IFERROR(__xludf.DUMMYFUNCTION("""COMPUTED_VALUE"""),"Grevas Dracônicas")</f>
        <v>Grevas Dracônicas</v>
      </c>
      <c r="T604" s="241"/>
      <c r="U604" s="241" t="str">
        <f>IFERROR(__xludf.DUMMYFUNCTION("""COMPUTED_VALUE"""),"Grevas Dracônicas")</f>
        <v>Grevas Dracônicas</v>
      </c>
      <c r="V604" s="241"/>
      <c r="W604" s="241" t="str">
        <f>IFERROR(__xludf.DUMMYFUNCTION("""COMPUTED_VALUE"""),"Anda-em-planos")</f>
        <v>Anda-em-planos</v>
      </c>
      <c r="X604" s="242"/>
      <c r="Y604" s="241" t="str">
        <f>IFERROR(__xludf.DUMMYFUNCTION("""COMPUTED_VALUE"""),"Anel de reza")</f>
        <v>Anel de reza</v>
      </c>
      <c r="Z604" s="241"/>
      <c r="AA604" s="241" t="str">
        <f>IFERROR(__xludf.DUMMYFUNCTION("""COMPUTED_VALUE"""),"Crânio de Dragão")</f>
        <v>Crânio de Dragão</v>
      </c>
      <c r="AB604" s="241"/>
      <c r="AC604" s="241" t="str">
        <f>IFERROR(__xludf.DUMMYFUNCTION("""COMPUTED_VALUE"""),"Crânio de Dragão")</f>
        <v>Crânio de Dragão</v>
      </c>
      <c r="AD604" s="241"/>
      <c r="AE604" s="241" t="str">
        <f>IFERROR(__xludf.DUMMYFUNCTION("""COMPUTED_VALUE"""),"Anel de reza")</f>
        <v>Anel de reza</v>
      </c>
      <c r="AF604" s="241"/>
      <c r="AG604" s="241" t="str">
        <f>IFERROR(__xludf.DUMMYFUNCTION("""COMPUTED_VALUE"""),"Lágrima da Deusa")</f>
        <v>Lágrima da Deusa</v>
      </c>
      <c r="AH604" s="241"/>
      <c r="AI604" s="241" t="str">
        <f>IFERROR(__xludf.DUMMYFUNCTION("""COMPUTED_VALUE"""),"Anel de reza")</f>
        <v>Anel de reza</v>
      </c>
      <c r="AJ604" s="242"/>
    </row>
    <row r="605" hidden="1">
      <c r="A605" s="241" t="str">
        <f>IFERROR(__xludf.DUMMYFUNCTION("""COMPUTED_VALUE"""),"Garra da morte")</f>
        <v>Garra da morte</v>
      </c>
      <c r="B605" s="241"/>
      <c r="C605" s="241" t="str">
        <f>IFERROR(__xludf.DUMMYFUNCTION("""COMPUTED_VALUE"""),"Manoplas do Berserker")</f>
        <v>Manoplas do Berserker</v>
      </c>
      <c r="D605" s="241"/>
      <c r="E605" s="241" t="str">
        <f>IFERROR(__xludf.DUMMYFUNCTION("""COMPUTED_VALUE"""),"Manoplas do Berserker")</f>
        <v>Manoplas do Berserker</v>
      </c>
      <c r="F605" s="241"/>
      <c r="G605" s="241" t="str">
        <f>IFERROR(__xludf.DUMMYFUNCTION("""COMPUTED_VALUE"""),"Manoplas do Berserker")</f>
        <v>Manoplas do Berserker</v>
      </c>
      <c r="H605" s="241"/>
      <c r="I605" s="241" t="str">
        <f>IFERROR(__xludf.DUMMYFUNCTION("""COMPUTED_VALUE"""),"Garra da morte")</f>
        <v>Garra da morte</v>
      </c>
      <c r="J605" s="241"/>
      <c r="K605" s="241" t="str">
        <f>IFERROR(__xludf.DUMMYFUNCTION("""COMPUTED_VALUE"""),"Garra da morte")</f>
        <v>Garra da morte</v>
      </c>
      <c r="L605" s="242"/>
      <c r="M605" s="241" t="str">
        <f>IFERROR(__xludf.DUMMYFUNCTION("""COMPUTED_VALUE"""),"Botas dracônicas")</f>
        <v>Botas dracônicas</v>
      </c>
      <c r="N605" s="241"/>
      <c r="O605" s="241" t="str">
        <f>IFERROR(__xludf.DUMMYFUNCTION("""COMPUTED_VALUE"""),"Os Aflitos da Guerra de Kratos")</f>
        <v>Os Aflitos da Guerra de Kratos</v>
      </c>
      <c r="P605" s="241"/>
      <c r="Q605" s="241" t="str">
        <f>IFERROR(__xludf.DUMMYFUNCTION("""COMPUTED_VALUE"""),"Os Aflitos da Guerra de Kratos")</f>
        <v>Os Aflitos da Guerra de Kratos</v>
      </c>
      <c r="R605" s="241"/>
      <c r="S605" s="241" t="str">
        <f>IFERROR(__xludf.DUMMYFUNCTION("""COMPUTED_VALUE"""),"Os Aflitos da Guerra de Kratos")</f>
        <v>Os Aflitos da Guerra de Kratos</v>
      </c>
      <c r="T605" s="241"/>
      <c r="U605" s="241" t="str">
        <f>IFERROR(__xludf.DUMMYFUNCTION("""COMPUTED_VALUE"""),"Os Aflitos da Guerra de Kratos")</f>
        <v>Os Aflitos da Guerra de Kratos</v>
      </c>
      <c r="V605" s="241"/>
      <c r="W605" s="241" t="str">
        <f>IFERROR(__xludf.DUMMYFUNCTION("""COMPUTED_VALUE"""),"Botas dracônicas")</f>
        <v>Botas dracônicas</v>
      </c>
      <c r="X605" s="242"/>
      <c r="Y605" s="241" t="str">
        <f>IFERROR(__xludf.DUMMYFUNCTION("""COMPUTED_VALUE"""),"Marca Divina")</f>
        <v>Marca Divina</v>
      </c>
      <c r="Z605" s="241"/>
      <c r="AA605" s="241" t="str">
        <f>IFERROR(__xludf.DUMMYFUNCTION("""COMPUTED_VALUE"""),"Escudo gigante")</f>
        <v>Escudo gigante</v>
      </c>
      <c r="AB605" s="241"/>
      <c r="AC605" s="241" t="str">
        <f>IFERROR(__xludf.DUMMYFUNCTION("""COMPUTED_VALUE"""),"Escudo gigante")</f>
        <v>Escudo gigante</v>
      </c>
      <c r="AD605" s="241"/>
      <c r="AE605" s="241" t="str">
        <f>IFERROR(__xludf.DUMMYFUNCTION("""COMPUTED_VALUE"""),"Marca Divina")</f>
        <v>Marca Divina</v>
      </c>
      <c r="AF605" s="241"/>
      <c r="AG605" s="241" t="str">
        <f>IFERROR(__xludf.DUMMYFUNCTION("""COMPUTED_VALUE"""),"Coração do Sol")</f>
        <v>Coração do Sol</v>
      </c>
      <c r="AH605" s="241"/>
      <c r="AI605" s="241" t="str">
        <f>IFERROR(__xludf.DUMMYFUNCTION("""COMPUTED_VALUE"""),"Marca Divina")</f>
        <v>Marca Divina</v>
      </c>
      <c r="AJ605" s="242"/>
    </row>
    <row r="606" hidden="1">
      <c r="A606" s="241" t="str">
        <f>IFERROR(__xludf.DUMMYFUNCTION("""COMPUTED_VALUE"""),"Luvas de MIdas")</f>
        <v>Luvas de MIdas</v>
      </c>
      <c r="B606" s="241"/>
      <c r="C606" s="241" t="str">
        <f>IFERROR(__xludf.DUMMYFUNCTION("""COMPUTED_VALUE"""),"Luvas Cibernéticas")</f>
        <v>Luvas Cibernéticas</v>
      </c>
      <c r="D606" s="241"/>
      <c r="E606" s="241" t="str">
        <f>IFERROR(__xludf.DUMMYFUNCTION("""COMPUTED_VALUE"""),"Luvas Cibernéticas")</f>
        <v>Luvas Cibernéticas</v>
      </c>
      <c r="F606" s="241"/>
      <c r="G606" s="241" t="str">
        <f>IFERROR(__xludf.DUMMYFUNCTION("""COMPUTED_VALUE"""),"Luvas Cibernéticas")</f>
        <v>Luvas Cibernéticas</v>
      </c>
      <c r="H606" s="241"/>
      <c r="I606" s="241" t="str">
        <f>IFERROR(__xludf.DUMMYFUNCTION("""COMPUTED_VALUE"""),"Luvas de MIdas")</f>
        <v>Luvas de MIdas</v>
      </c>
      <c r="J606" s="241"/>
      <c r="K606" s="241" t="str">
        <f>IFERROR(__xludf.DUMMYFUNCTION("""COMPUTED_VALUE"""),"Luvas de MIdas")</f>
        <v>Luvas de MIdas</v>
      </c>
      <c r="L606" s="242"/>
      <c r="M606" s="241" t="str">
        <f>IFERROR(__xludf.DUMMYFUNCTION("""COMPUTED_VALUE"""),"Sapatos do fogo-gelo")</f>
        <v>Sapatos do fogo-gelo</v>
      </c>
      <c r="N606" s="241"/>
      <c r="O606" s="241" t="str">
        <f>IFERROR(__xludf.DUMMYFUNCTION("""COMPUTED_VALUE"""),"Grevas de obsidiana")</f>
        <v>Grevas de obsidiana</v>
      </c>
      <c r="P606" s="241"/>
      <c r="Q606" s="241" t="str">
        <f>IFERROR(__xludf.DUMMYFUNCTION("""COMPUTED_VALUE"""),"Grevas de obsidiana")</f>
        <v>Grevas de obsidiana</v>
      </c>
      <c r="R606" s="241"/>
      <c r="S606" s="241" t="str">
        <f>IFERROR(__xludf.DUMMYFUNCTION("""COMPUTED_VALUE"""),"Grevas de obsidiana")</f>
        <v>Grevas de obsidiana</v>
      </c>
      <c r="T606" s="241"/>
      <c r="U606" s="241" t="str">
        <f>IFERROR(__xludf.DUMMYFUNCTION("""COMPUTED_VALUE"""),"Grevas de obsidiana")</f>
        <v>Grevas de obsidiana</v>
      </c>
      <c r="V606" s="241"/>
      <c r="W606" s="241" t="str">
        <f>IFERROR(__xludf.DUMMYFUNCTION("""COMPUTED_VALUE"""),"Sapatos do fogo-gelo")</f>
        <v>Sapatos do fogo-gelo</v>
      </c>
      <c r="X606" s="242"/>
      <c r="Y606" s="241" t="str">
        <f>IFERROR(__xludf.DUMMYFUNCTION("""COMPUTED_VALUE"""),"Anel real")</f>
        <v>Anel real</v>
      </c>
      <c r="Z606" s="241"/>
      <c r="AA606" s="241" t="str">
        <f>IFERROR(__xludf.DUMMYFUNCTION("""COMPUTED_VALUE"""),"Escudo do Aventureiro")</f>
        <v>Escudo do Aventureiro</v>
      </c>
      <c r="AB606" s="241"/>
      <c r="AC606" s="241" t="str">
        <f>IFERROR(__xludf.DUMMYFUNCTION("""COMPUTED_VALUE"""),"Escudo do Aventureiro")</f>
        <v>Escudo do Aventureiro</v>
      </c>
      <c r="AD606" s="241"/>
      <c r="AE606" s="241" t="str">
        <f>IFERROR(__xludf.DUMMYFUNCTION("""COMPUTED_VALUE"""),"Anel real")</f>
        <v>Anel real</v>
      </c>
      <c r="AF606" s="241"/>
      <c r="AG606" s="241" t="str">
        <f>IFERROR(__xludf.DUMMYFUNCTION("""COMPUTED_VALUE"""),"Herança de Azbandar")</f>
        <v>Herança de Azbandar</v>
      </c>
      <c r="AH606" s="241"/>
      <c r="AI606" s="241" t="str">
        <f>IFERROR(__xludf.DUMMYFUNCTION("""COMPUTED_VALUE"""),"Anel real")</f>
        <v>Anel real</v>
      </c>
      <c r="AJ606" s="242"/>
    </row>
    <row r="607" hidden="1">
      <c r="A607" s="241" t="str">
        <f>IFERROR(__xludf.DUMMYFUNCTION("""COMPUTED_VALUE"""),"Luva de fogo gelo")</f>
        <v>Luva de fogo gelo</v>
      </c>
      <c r="B607" s="241"/>
      <c r="C607" s="241" t="str">
        <f>IFERROR(__xludf.DUMMYFUNCTION("""COMPUTED_VALUE"""),"Esmagadores Vulcânicos")</f>
        <v>Esmagadores Vulcânicos</v>
      </c>
      <c r="D607" s="241"/>
      <c r="E607" s="241" t="str">
        <f>IFERROR(__xludf.DUMMYFUNCTION("""COMPUTED_VALUE"""),"Esmagadores Vulcânicos")</f>
        <v>Esmagadores Vulcânicos</v>
      </c>
      <c r="F607" s="241"/>
      <c r="G607" s="241" t="str">
        <f>IFERROR(__xludf.DUMMYFUNCTION("""COMPUTED_VALUE"""),"Esmagadores Vulcânicos")</f>
        <v>Esmagadores Vulcânicos</v>
      </c>
      <c r="H607" s="241"/>
      <c r="I607" s="241" t="str">
        <f>IFERROR(__xludf.DUMMYFUNCTION("""COMPUTED_VALUE"""),"Luva de fogo gelo")</f>
        <v>Luva de fogo gelo</v>
      </c>
      <c r="J607" s="241"/>
      <c r="K607" s="241" t="str">
        <f>IFERROR(__xludf.DUMMYFUNCTION("""COMPUTED_VALUE"""),"Luva de fogo gelo")</f>
        <v>Luva de fogo gelo</v>
      </c>
      <c r="L607" s="242"/>
      <c r="M607" s="241" t="str">
        <f>IFERROR(__xludf.DUMMYFUNCTION("""COMPUTED_VALUE"""),"Marcha ardente")</f>
        <v>Marcha ardente</v>
      </c>
      <c r="N607" s="241"/>
      <c r="O607" s="241" t="str">
        <f>IFERROR(__xludf.DUMMYFUNCTION("""COMPUTED_VALUE"""),"Pés do titã")</f>
        <v>Pés do titã</v>
      </c>
      <c r="P607" s="241"/>
      <c r="Q607" s="241" t="str">
        <f>IFERROR(__xludf.DUMMYFUNCTION("""COMPUTED_VALUE"""),"Pés do titã")</f>
        <v>Pés do titã</v>
      </c>
      <c r="R607" s="241"/>
      <c r="S607" s="241" t="str">
        <f>IFERROR(__xludf.DUMMYFUNCTION("""COMPUTED_VALUE"""),"Pés do titã")</f>
        <v>Pés do titã</v>
      </c>
      <c r="T607" s="241"/>
      <c r="U607" s="241" t="str">
        <f>IFERROR(__xludf.DUMMYFUNCTION("""COMPUTED_VALUE"""),"Pés do titã")</f>
        <v>Pés do titã</v>
      </c>
      <c r="V607" s="241"/>
      <c r="W607" s="241" t="str">
        <f>IFERROR(__xludf.DUMMYFUNCTION("""COMPUTED_VALUE"""),"Marcha ardente")</f>
        <v>Marcha ardente</v>
      </c>
      <c r="X607" s="242"/>
      <c r="Y607" s="241" t="str">
        <f>IFERROR(__xludf.DUMMYFUNCTION("""COMPUTED_VALUE"""),"Oráculo")</f>
        <v>Oráculo</v>
      </c>
      <c r="Z607" s="241"/>
      <c r="AA607" s="241" t="str">
        <f>IFERROR(__xludf.DUMMYFUNCTION("""COMPUTED_VALUE"""),"Shark Bite")</f>
        <v>Shark Bite</v>
      </c>
      <c r="AB607" s="241"/>
      <c r="AC607" s="241" t="str">
        <f>IFERROR(__xludf.DUMMYFUNCTION("""COMPUTED_VALUE"""),"Shark Bite")</f>
        <v>Shark Bite</v>
      </c>
      <c r="AD607" s="241"/>
      <c r="AE607" s="241" t="str">
        <f>IFERROR(__xludf.DUMMYFUNCTION("""COMPUTED_VALUE"""),"Oráculo")</f>
        <v>Oráculo</v>
      </c>
      <c r="AF607" s="241"/>
      <c r="AG607" s="241" t="str">
        <f>IFERROR(__xludf.DUMMYFUNCTION("""COMPUTED_VALUE"""),"Herança de Família")</f>
        <v>Herança de Família</v>
      </c>
      <c r="AH607" s="241"/>
      <c r="AI607" s="241" t="str">
        <f>IFERROR(__xludf.DUMMYFUNCTION("""COMPUTED_VALUE"""),"Oráculo")</f>
        <v>Oráculo</v>
      </c>
      <c r="AJ607" s="242"/>
    </row>
    <row r="608" hidden="1">
      <c r="A608" s="241" t="str">
        <f>IFERROR(__xludf.DUMMYFUNCTION("""COMPUTED_VALUE"""),"Starry Gloves")</f>
        <v>Starry Gloves</v>
      </c>
      <c r="B608" s="241"/>
      <c r="C608" s="241" t="str">
        <f>IFERROR(__xludf.DUMMYFUNCTION("""COMPUTED_VALUE"""),"Gauntlet do Chieftain")</f>
        <v>Gauntlet do Chieftain</v>
      </c>
      <c r="D608" s="241"/>
      <c r="E608" s="241" t="str">
        <f>IFERROR(__xludf.DUMMYFUNCTION("""COMPUTED_VALUE"""),"Gauntlet do Chieftain")</f>
        <v>Gauntlet do Chieftain</v>
      </c>
      <c r="F608" s="241"/>
      <c r="G608" s="241" t="str">
        <f>IFERROR(__xludf.DUMMYFUNCTION("""COMPUTED_VALUE"""),"Gauntlet do Chieftain")</f>
        <v>Gauntlet do Chieftain</v>
      </c>
      <c r="H608" s="241"/>
      <c r="I608" s="241" t="str">
        <f>IFERROR(__xludf.DUMMYFUNCTION("""COMPUTED_VALUE"""),"Starry Gloves")</f>
        <v>Starry Gloves</v>
      </c>
      <c r="J608" s="241"/>
      <c r="K608" s="241" t="str">
        <f>IFERROR(__xludf.DUMMYFUNCTION("""COMPUTED_VALUE"""),"Starry Gloves")</f>
        <v>Starry Gloves</v>
      </c>
      <c r="L608" s="242"/>
      <c r="M608" s="241" t="str">
        <f>IFERROR(__xludf.DUMMYFUNCTION("""COMPUTED_VALUE"""),"Ice Walkers")</f>
        <v>Ice Walkers</v>
      </c>
      <c r="N608" s="241"/>
      <c r="O608" s="241" t="str">
        <f>IFERROR(__xludf.DUMMYFUNCTION("""COMPUTED_VALUE"""),"Botas selvagens")</f>
        <v>Botas selvagens</v>
      </c>
      <c r="P608" s="241"/>
      <c r="Q608" s="241" t="str">
        <f>IFERROR(__xludf.DUMMYFUNCTION("""COMPUTED_VALUE"""),"Botas selvagens")</f>
        <v>Botas selvagens</v>
      </c>
      <c r="R608" s="241"/>
      <c r="S608" s="241" t="str">
        <f>IFERROR(__xludf.DUMMYFUNCTION("""COMPUTED_VALUE"""),"Botas selvagens")</f>
        <v>Botas selvagens</v>
      </c>
      <c r="T608" s="241"/>
      <c r="U608" s="241" t="str">
        <f>IFERROR(__xludf.DUMMYFUNCTION("""COMPUTED_VALUE"""),"Botas selvagens")</f>
        <v>Botas selvagens</v>
      </c>
      <c r="V608" s="241"/>
      <c r="W608" s="241" t="str">
        <f>IFERROR(__xludf.DUMMYFUNCTION("""COMPUTED_VALUE"""),"Ice Walkers")</f>
        <v>Ice Walkers</v>
      </c>
      <c r="X608" s="242"/>
      <c r="Y608" s="241" t="str">
        <f>IFERROR(__xludf.DUMMYFUNCTION("""COMPUTED_VALUE"""),"Anel Místico")</f>
        <v>Anel Místico</v>
      </c>
      <c r="Z608" s="241"/>
      <c r="AA608" s="241" t="str">
        <f>IFERROR(__xludf.DUMMYFUNCTION("""COMPUTED_VALUE"""),"Buckler de Atena")</f>
        <v>Buckler de Atena</v>
      </c>
      <c r="AB608" s="241"/>
      <c r="AC608" s="241" t="str">
        <f>IFERROR(__xludf.DUMMYFUNCTION("""COMPUTED_VALUE"""),"Buckler de Atena")</f>
        <v>Buckler de Atena</v>
      </c>
      <c r="AD608" s="241"/>
      <c r="AE608" s="241" t="str">
        <f>IFERROR(__xludf.DUMMYFUNCTION("""COMPUTED_VALUE"""),"Anel Místico")</f>
        <v>Anel Místico</v>
      </c>
      <c r="AF608" s="241"/>
      <c r="AG608" s="241" t="str">
        <f>IFERROR(__xludf.DUMMYFUNCTION("""COMPUTED_VALUE"""),"Talismã do fogo-gelo")</f>
        <v>Talismã do fogo-gelo</v>
      </c>
      <c r="AH608" s="241"/>
      <c r="AI608" s="241" t="str">
        <f>IFERROR(__xludf.DUMMYFUNCTION("""COMPUTED_VALUE"""),"Anel Místico")</f>
        <v>Anel Místico</v>
      </c>
      <c r="AJ608" s="242"/>
    </row>
    <row r="609" hidden="1">
      <c r="A609" s="241" t="str">
        <f>IFERROR(__xludf.DUMMYFUNCTION("""COMPUTED_VALUE"""),"Luvas do Arcanjo")</f>
        <v>Luvas do Arcanjo</v>
      </c>
      <c r="B609" s="241"/>
      <c r="C609" s="241" t="str">
        <f>IFERROR(__xludf.DUMMYFUNCTION("""COMPUTED_VALUE"""),"Runic Gauntlets")</f>
        <v>Runic Gauntlets</v>
      </c>
      <c r="D609" s="241"/>
      <c r="E609" s="241" t="str">
        <f>IFERROR(__xludf.DUMMYFUNCTION("""COMPUTED_VALUE"""),"Runic Gauntlets")</f>
        <v>Runic Gauntlets</v>
      </c>
      <c r="F609" s="241"/>
      <c r="G609" s="241" t="str">
        <f>IFERROR(__xludf.DUMMYFUNCTION("""COMPUTED_VALUE"""),"Runic Gauntlets")</f>
        <v>Runic Gauntlets</v>
      </c>
      <c r="H609" s="241"/>
      <c r="I609" s="241" t="str">
        <f>IFERROR(__xludf.DUMMYFUNCTION("""COMPUTED_VALUE"""),"Luvas do Arcanjo")</f>
        <v>Luvas do Arcanjo</v>
      </c>
      <c r="J609" s="241"/>
      <c r="K609" s="241" t="str">
        <f>IFERROR(__xludf.DUMMYFUNCTION("""COMPUTED_VALUE"""),"Luvas do Arcanjo")</f>
        <v>Luvas do Arcanjo</v>
      </c>
      <c r="L609" s="242"/>
      <c r="M609" s="241" t="str">
        <f>IFERROR(__xludf.DUMMYFUNCTION("""COMPUTED_VALUE"""),"Swimming Fins")</f>
        <v>Swimming Fins</v>
      </c>
      <c r="N609" s="241"/>
      <c r="O609" s="241" t="str">
        <f>IFERROR(__xludf.DUMMYFUNCTION("""COMPUTED_VALUE"""),"Starfrost Skates")</f>
        <v>Starfrost Skates</v>
      </c>
      <c r="P609" s="241"/>
      <c r="Q609" s="241" t="str">
        <f>IFERROR(__xludf.DUMMYFUNCTION("""COMPUTED_VALUE"""),"Starfrost Skates")</f>
        <v>Starfrost Skates</v>
      </c>
      <c r="R609" s="241"/>
      <c r="S609" s="241" t="str">
        <f>IFERROR(__xludf.DUMMYFUNCTION("""COMPUTED_VALUE"""),"Starfrost Skates")</f>
        <v>Starfrost Skates</v>
      </c>
      <c r="T609" s="241"/>
      <c r="U609" s="241" t="str">
        <f>IFERROR(__xludf.DUMMYFUNCTION("""COMPUTED_VALUE"""),"Starfrost Skates")</f>
        <v>Starfrost Skates</v>
      </c>
      <c r="V609" s="241"/>
      <c r="W609" s="241" t="str">
        <f>IFERROR(__xludf.DUMMYFUNCTION("""COMPUTED_VALUE"""),"Swimming Fins")</f>
        <v>Swimming Fins</v>
      </c>
      <c r="X609" s="242"/>
      <c r="Y609" s="241" t="str">
        <f>IFERROR(__xludf.DUMMYFUNCTION("""COMPUTED_VALUE"""),"Anel Grotesco")</f>
        <v>Anel Grotesco</v>
      </c>
      <c r="Z609" s="241"/>
      <c r="AA609" s="241" t="str">
        <f>IFERROR(__xludf.DUMMYFUNCTION("""COMPUTED_VALUE"""),"Broquel da Medusa")</f>
        <v>Broquel da Medusa</v>
      </c>
      <c r="AB609" s="241"/>
      <c r="AC609" s="241" t="str">
        <f>IFERROR(__xludf.DUMMYFUNCTION("""COMPUTED_VALUE"""),"Broquel da Medusa")</f>
        <v>Broquel da Medusa</v>
      </c>
      <c r="AD609" s="241"/>
      <c r="AE609" s="241" t="str">
        <f>IFERROR(__xludf.DUMMYFUNCTION("""COMPUTED_VALUE"""),"Anel Grotesco")</f>
        <v>Anel Grotesco</v>
      </c>
      <c r="AF609" s="241"/>
      <c r="AG609" s="241" t="str">
        <f>IFERROR(__xludf.DUMMYFUNCTION("""COMPUTED_VALUE"""),"Coração de Gaia")</f>
        <v>Coração de Gaia</v>
      </c>
      <c r="AH609" s="241"/>
      <c r="AI609" s="241" t="str">
        <f>IFERROR(__xludf.DUMMYFUNCTION("""COMPUTED_VALUE"""),"Anel Grotesco")</f>
        <v>Anel Grotesco</v>
      </c>
      <c r="AJ609" s="242"/>
    </row>
    <row r="610" hidden="1">
      <c r="A610" s="241" t="str">
        <f>IFERROR(__xludf.DUMMYFUNCTION("""COMPUTED_VALUE"""),"Luvas do subterrâneo")</f>
        <v>Luvas do subterrâneo</v>
      </c>
      <c r="B610" s="241"/>
      <c r="C610" s="241" t="str">
        <f>IFERROR(__xludf.DUMMYFUNCTION("""COMPUTED_VALUE"""),"Punhos de Zeus")</f>
        <v>Punhos de Zeus</v>
      </c>
      <c r="D610" s="241"/>
      <c r="E610" s="241" t="str">
        <f>IFERROR(__xludf.DUMMYFUNCTION("""COMPUTED_VALUE"""),"Punhos de Zeus")</f>
        <v>Punhos de Zeus</v>
      </c>
      <c r="F610" s="241"/>
      <c r="G610" s="241" t="str">
        <f>IFERROR(__xludf.DUMMYFUNCTION("""COMPUTED_VALUE"""),"Punhos de Zeus")</f>
        <v>Punhos de Zeus</v>
      </c>
      <c r="H610" s="241"/>
      <c r="I610" s="241" t="str">
        <f>IFERROR(__xludf.DUMMYFUNCTION("""COMPUTED_VALUE"""),"Luvas do subterrâneo")</f>
        <v>Luvas do subterrâneo</v>
      </c>
      <c r="J610" s="241"/>
      <c r="K610" s="241" t="str">
        <f>IFERROR(__xludf.DUMMYFUNCTION("""COMPUTED_VALUE"""),"Luvas do subterrâneo")</f>
        <v>Luvas do subterrâneo</v>
      </c>
      <c r="L610" s="242"/>
      <c r="M610" s="241" t="str">
        <f>IFERROR(__xludf.DUMMYFUNCTION("""COMPUTED_VALUE"""),"Rodas Celestiais de Fogo")</f>
        <v>Rodas Celestiais de Fogo</v>
      </c>
      <c r="N610" s="241"/>
      <c r="O610" s="241" t="str">
        <f>IFERROR(__xludf.DUMMYFUNCTION("""COMPUTED_VALUE"""),"Proto-skate")</f>
        <v>Proto-skate</v>
      </c>
      <c r="P610" s="241"/>
      <c r="Q610" s="241" t="str">
        <f>IFERROR(__xludf.DUMMYFUNCTION("""COMPUTED_VALUE"""),"Proto-skate")</f>
        <v>Proto-skate</v>
      </c>
      <c r="R610" s="241"/>
      <c r="S610" s="241" t="str">
        <f>IFERROR(__xludf.DUMMYFUNCTION("""COMPUTED_VALUE"""),"Proto-skate")</f>
        <v>Proto-skate</v>
      </c>
      <c r="T610" s="241"/>
      <c r="U610" s="241" t="str">
        <f>IFERROR(__xludf.DUMMYFUNCTION("""COMPUTED_VALUE"""),"Proto-skate")</f>
        <v>Proto-skate</v>
      </c>
      <c r="V610" s="241"/>
      <c r="W610" s="241" t="str">
        <f>IFERROR(__xludf.DUMMYFUNCTION("""COMPUTED_VALUE"""),"Rodas Celestiais de Fogo")</f>
        <v>Rodas Celestiais de Fogo</v>
      </c>
      <c r="X610" s="242"/>
      <c r="Y610" s="241" t="str">
        <f>IFERROR(__xludf.DUMMYFUNCTION("""COMPUTED_VALUE"""),"Anel Azulado")</f>
        <v>Anel Azulado</v>
      </c>
      <c r="Z610" s="241"/>
      <c r="AA610" s="241" t="str">
        <f>IFERROR(__xludf.DUMMYFUNCTION("""COMPUTED_VALUE"""),"Escudo do oráculo")</f>
        <v>Escudo do oráculo</v>
      </c>
      <c r="AB610" s="241"/>
      <c r="AC610" s="241" t="str">
        <f>IFERROR(__xludf.DUMMYFUNCTION("""COMPUTED_VALUE"""),"Escudo do oráculo")</f>
        <v>Escudo do oráculo</v>
      </c>
      <c r="AD610" s="241"/>
      <c r="AE610" s="241" t="str">
        <f>IFERROR(__xludf.DUMMYFUNCTION("""COMPUTED_VALUE"""),"Anel Azulado")</f>
        <v>Anel Azulado</v>
      </c>
      <c r="AF610" s="241"/>
      <c r="AG610" s="241" t="str">
        <f>IFERROR(__xludf.DUMMYFUNCTION("""COMPUTED_VALUE"""),"Amuleto primordial")</f>
        <v>Amuleto primordial</v>
      </c>
      <c r="AH610" s="241"/>
      <c r="AI610" s="241" t="str">
        <f>IFERROR(__xludf.DUMMYFUNCTION("""COMPUTED_VALUE"""),"Anel Azulado")</f>
        <v>Anel Azulado</v>
      </c>
      <c r="AJ610" s="242"/>
    </row>
    <row r="611" hidden="1">
      <c r="A611" s="241" t="str">
        <f>IFERROR(__xludf.DUMMYFUNCTION("""COMPUTED_VALUE"""),"Mummy Hands")</f>
        <v>Mummy Hands</v>
      </c>
      <c r="B611" s="241"/>
      <c r="C611" s="241"/>
      <c r="D611" s="241"/>
      <c r="E611" s="241"/>
      <c r="F611" s="241"/>
      <c r="G611" s="241"/>
      <c r="H611" s="241"/>
      <c r="I611" s="241" t="str">
        <f>IFERROR(__xludf.DUMMYFUNCTION("""COMPUTED_VALUE"""),"Mummy Hands")</f>
        <v>Mummy Hands</v>
      </c>
      <c r="J611" s="241"/>
      <c r="K611" s="241" t="str">
        <f>IFERROR(__xludf.DUMMYFUNCTION("""COMPUTED_VALUE"""),"Mummy Hands")</f>
        <v>Mummy Hands</v>
      </c>
      <c r="L611" s="242"/>
      <c r="M611" s="241"/>
      <c r="N611" s="241"/>
      <c r="O611" s="241"/>
      <c r="P611" s="241"/>
      <c r="Q611" s="241"/>
      <c r="R611" s="241"/>
      <c r="S611" s="241" t="str">
        <f>IFERROR(__xludf.DUMMYFUNCTION("""COMPUTED_VALUE"""),"Bota dos Elfos")</f>
        <v>Bota dos Elfos</v>
      </c>
      <c r="T611" s="241"/>
      <c r="U611" s="241" t="str">
        <f>IFERROR(__xludf.DUMMYFUNCTION("""COMPUTED_VALUE"""),"Bota dos Elfos")</f>
        <v>Bota dos Elfos</v>
      </c>
      <c r="V611" s="241"/>
      <c r="W611" s="241"/>
      <c r="X611" s="242"/>
      <c r="Y611" s="241" t="str">
        <f>IFERROR(__xludf.DUMMYFUNCTION("""COMPUTED_VALUE"""),"Anel de casamento")</f>
        <v>Anel de casamento</v>
      </c>
      <c r="Z611" s="241"/>
      <c r="AA611" s="241" t="str">
        <f>IFERROR(__xludf.DUMMYFUNCTION("""COMPUTED_VALUE"""),"Mãe Natureza")</f>
        <v>Mãe Natureza</v>
      </c>
      <c r="AB611" s="241"/>
      <c r="AC611" s="241" t="str">
        <f>IFERROR(__xludf.DUMMYFUNCTION("""COMPUTED_VALUE"""),"Mãe Natureza")</f>
        <v>Mãe Natureza</v>
      </c>
      <c r="AD611" s="241"/>
      <c r="AE611" s="241" t="str">
        <f>IFERROR(__xludf.DUMMYFUNCTION("""COMPUTED_VALUE"""),"Anel de casamento")</f>
        <v>Anel de casamento</v>
      </c>
      <c r="AF611" s="241"/>
      <c r="AG611" s="241" t="str">
        <f>IFERROR(__xludf.DUMMYFUNCTION("""COMPUTED_VALUE"""),"Ominous Charm")</f>
        <v>Ominous Charm</v>
      </c>
      <c r="AH611" s="241"/>
      <c r="AI611" s="241" t="str">
        <f>IFERROR(__xludf.DUMMYFUNCTION("""COMPUTED_VALUE"""),"Anel de casamento")</f>
        <v>Anel de casamento</v>
      </c>
      <c r="AJ611" s="242"/>
    </row>
    <row r="612" hidden="1">
      <c r="A612" s="241" t="str">
        <f>IFERROR(__xludf.DUMMYFUNCTION("""COMPUTED_VALUE"""),"Toque de Fluffle")</f>
        <v>Toque de Fluffle</v>
      </c>
      <c r="B612" s="241"/>
      <c r="C612" s="241"/>
      <c r="D612" s="241"/>
      <c r="E612" s="241"/>
      <c r="F612" s="241"/>
      <c r="G612" s="241"/>
      <c r="H612" s="241"/>
      <c r="I612" s="241" t="str">
        <f>IFERROR(__xludf.DUMMYFUNCTION("""COMPUTED_VALUE"""),"Toque de Fluffle")</f>
        <v>Toque de Fluffle</v>
      </c>
      <c r="J612" s="241"/>
      <c r="K612" s="241" t="str">
        <f>IFERROR(__xludf.DUMMYFUNCTION("""COMPUTED_VALUE"""),"Toque de Fluffle")</f>
        <v>Toque de Fluffle</v>
      </c>
      <c r="L612" s="242"/>
      <c r="M612" s="241"/>
      <c r="N612" s="241"/>
      <c r="O612" s="241"/>
      <c r="P612" s="241"/>
      <c r="Q612" s="241"/>
      <c r="R612" s="241"/>
      <c r="S612" s="241" t="str">
        <f>IFERROR(__xludf.DUMMYFUNCTION("""COMPUTED_VALUE"""),"Calçado Lunar ")</f>
        <v>Calçado Lunar </v>
      </c>
      <c r="T612" s="241"/>
      <c r="U612" s="241" t="str">
        <f>IFERROR(__xludf.DUMMYFUNCTION("""COMPUTED_VALUE"""),"Calçado Lunar ")</f>
        <v>Calçado Lunar </v>
      </c>
      <c r="V612" s="241"/>
      <c r="W612" s="241"/>
      <c r="X612" s="242"/>
      <c r="Y612" s="241" t="str">
        <f>IFERROR(__xludf.DUMMYFUNCTION("""COMPUTED_VALUE"""),"Círculo de antimagia")</f>
        <v>Círculo de antimagia</v>
      </c>
      <c r="Z612" s="241"/>
      <c r="AA612" s="241" t="str">
        <f>IFERROR(__xludf.DUMMYFUNCTION("""COMPUTED_VALUE"""),"Escudo Meia Lua")</f>
        <v>Escudo Meia Lua</v>
      </c>
      <c r="AB612" s="241"/>
      <c r="AC612" s="241" t="str">
        <f>IFERROR(__xludf.DUMMYFUNCTION("""COMPUTED_VALUE"""),"Escudo Meia Lua")</f>
        <v>Escudo Meia Lua</v>
      </c>
      <c r="AD612" s="241"/>
      <c r="AE612" s="241" t="str">
        <f>IFERROR(__xludf.DUMMYFUNCTION("""COMPUTED_VALUE"""),"Círculo de antimagia")</f>
        <v>Círculo de antimagia</v>
      </c>
      <c r="AF612" s="241"/>
      <c r="AG612" s="241"/>
      <c r="AH612" s="241"/>
      <c r="AI612" s="241" t="str">
        <f>IFERROR(__xludf.DUMMYFUNCTION("""COMPUTED_VALUE"""),"Círculo de antimagia")</f>
        <v>Círculo de antimagia</v>
      </c>
      <c r="AJ612" s="242"/>
    </row>
    <row r="613" hidden="1">
      <c r="A613" s="241"/>
      <c r="B613" s="241"/>
      <c r="C613" s="241"/>
      <c r="D613" s="241"/>
      <c r="E613" s="241"/>
      <c r="F613" s="241"/>
      <c r="G613" s="241"/>
      <c r="H613" s="241"/>
      <c r="I613" s="241" t="str">
        <f>IFERROR(__xludf.DUMMYFUNCTION("""COMPUTED_VALUE"""),"Manoplas Lunares")</f>
        <v>Manoplas Lunares</v>
      </c>
      <c r="J613" s="241"/>
      <c r="K613" s="241"/>
      <c r="L613" s="242"/>
      <c r="M613" s="241"/>
      <c r="N613" s="241"/>
      <c r="O613" s="241"/>
      <c r="P613" s="241"/>
      <c r="Q613" s="241"/>
      <c r="R613" s="241"/>
      <c r="S613" s="241" t="str">
        <f>IFERROR(__xludf.DUMMYFUNCTION("""COMPUTED_VALUE"""),"Meh-ticulosamente Feito")</f>
        <v>Meh-ticulosamente Feito</v>
      </c>
      <c r="T613" s="241"/>
      <c r="U613" s="241" t="str">
        <f>IFERROR(__xludf.DUMMYFUNCTION("""COMPUTED_VALUE"""),"Meh-ticulosamente Feito")</f>
        <v>Meh-ticulosamente Feito</v>
      </c>
      <c r="V613" s="241"/>
      <c r="W613" s="241"/>
      <c r="X613" s="242"/>
      <c r="Y613" s="241" t="str">
        <f>IFERROR(__xludf.DUMMYFUNCTION("""COMPUTED_VALUE"""),"Anel de Midas")</f>
        <v>Anel de Midas</v>
      </c>
      <c r="Z613" s="241"/>
      <c r="AA613" s="241" t="str">
        <f>IFERROR(__xludf.DUMMYFUNCTION("""COMPUTED_VALUE"""),"Celtic Shield")</f>
        <v>Celtic Shield</v>
      </c>
      <c r="AB613" s="241"/>
      <c r="AC613" s="241" t="str">
        <f>IFERROR(__xludf.DUMMYFUNCTION("""COMPUTED_VALUE"""),"Celtic Shield")</f>
        <v>Celtic Shield</v>
      </c>
      <c r="AD613" s="241"/>
      <c r="AE613" s="241" t="str">
        <f>IFERROR(__xludf.DUMMYFUNCTION("""COMPUTED_VALUE"""),"Anel de Midas")</f>
        <v>Anel de Midas</v>
      </c>
      <c r="AF613" s="241"/>
      <c r="AG613" s="241"/>
      <c r="AH613" s="241"/>
      <c r="AI613" s="241" t="str">
        <f>IFERROR(__xludf.DUMMYFUNCTION("""COMPUTED_VALUE"""),"Anel de Midas")</f>
        <v>Anel de Midas</v>
      </c>
      <c r="AJ613" s="242"/>
    </row>
    <row r="614" hidden="1">
      <c r="A614" s="241"/>
      <c r="B614" s="241"/>
      <c r="C614" s="241"/>
      <c r="D614" s="241"/>
      <c r="E614" s="241"/>
      <c r="F614" s="241"/>
      <c r="G614" s="241"/>
      <c r="H614" s="241"/>
      <c r="I614" s="241" t="str">
        <f>IFERROR(__xludf.DUMMYFUNCTION("""COMPUTED_VALUE"""),"Gancho mão de metal")</f>
        <v>Gancho mão de metal</v>
      </c>
      <c r="J614" s="241"/>
      <c r="K614" s="241"/>
      <c r="L614" s="242"/>
      <c r="M614" s="241"/>
      <c r="N614" s="241"/>
      <c r="O614" s="241"/>
      <c r="P614" s="241"/>
      <c r="Q614" s="241"/>
      <c r="R614" s="241"/>
      <c r="S614" s="241" t="str">
        <f>IFERROR(__xludf.DUMMYFUNCTION("""COMPUTED_VALUE"""),"Sandálias de Asas ")</f>
        <v>Sandálias de Asas </v>
      </c>
      <c r="T614" s="241"/>
      <c r="U614" s="241" t="str">
        <f>IFERROR(__xludf.DUMMYFUNCTION("""COMPUTED_VALUE"""),"Sandálias de Asas ")</f>
        <v>Sandálias de Asas </v>
      </c>
      <c r="V614" s="241"/>
      <c r="W614" s="241"/>
      <c r="X614" s="242"/>
      <c r="Y614" s="241" t="str">
        <f>IFERROR(__xludf.DUMMYFUNCTION("""COMPUTED_VALUE"""),"Anel do Conhecimento")</f>
        <v>Anel do Conhecimento</v>
      </c>
      <c r="Z614" s="241"/>
      <c r="AA614" s="241" t="str">
        <f>IFERROR(__xludf.DUMMYFUNCTION("""COMPUTED_VALUE"""),"Painel Refrator")</f>
        <v>Painel Refrator</v>
      </c>
      <c r="AB614" s="241"/>
      <c r="AC614" s="241" t="str">
        <f>IFERROR(__xludf.DUMMYFUNCTION("""COMPUTED_VALUE"""),"Painel Refrator")</f>
        <v>Painel Refrator</v>
      </c>
      <c r="AD614" s="241"/>
      <c r="AE614" s="241" t="str">
        <f>IFERROR(__xludf.DUMMYFUNCTION("""COMPUTED_VALUE"""),"Anel do Conhecimento")</f>
        <v>Anel do Conhecimento</v>
      </c>
      <c r="AF614" s="241"/>
      <c r="AG614" s="241"/>
      <c r="AH614" s="241"/>
      <c r="AI614" s="241" t="str">
        <f>IFERROR(__xludf.DUMMYFUNCTION("""COMPUTED_VALUE"""),"Anel do Conhecimento")</f>
        <v>Anel do Conhecimento</v>
      </c>
      <c r="AJ614" s="242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 t="str">
        <f>IFERROR(__xludf.DUMMYFUNCTION("""COMPUTED_VALUE"""),"Garra Gelada")</f>
        <v>Garra Gelada</v>
      </c>
      <c r="J615" s="241"/>
      <c r="K615" s="241"/>
      <c r="L615" s="242"/>
      <c r="M615" s="241"/>
      <c r="N615" s="241"/>
      <c r="O615" s="241"/>
      <c r="P615" s="241"/>
      <c r="Q615" s="241"/>
      <c r="R615" s="241"/>
      <c r="S615" s="241" t="str">
        <f>IFERROR(__xludf.DUMMYFUNCTION("""COMPUTED_VALUE"""),"Encontra-Caminho")</f>
        <v>Encontra-Caminho</v>
      </c>
      <c r="T615" s="241"/>
      <c r="U615" s="241" t="str">
        <f>IFERROR(__xludf.DUMMYFUNCTION("""COMPUTED_VALUE"""),"Encontra-Caminho")</f>
        <v>Encontra-Caminho</v>
      </c>
      <c r="V615" s="241"/>
      <c r="W615" s="241"/>
      <c r="X615" s="242"/>
      <c r="Y615" s="241" t="str">
        <f>IFERROR(__xludf.DUMMYFUNCTION("""COMPUTED_VALUE"""),"Flauta de Ferro")</f>
        <v>Flauta de Ferro</v>
      </c>
      <c r="Z615" s="241"/>
      <c r="AA615" s="241"/>
      <c r="AB615" s="241"/>
      <c r="AC615" s="241"/>
      <c r="AD615" s="241"/>
      <c r="AE615" s="241" t="str">
        <f>IFERROR(__xludf.DUMMYFUNCTION("""COMPUTED_VALUE"""),"Protetor")</f>
        <v>Protetor</v>
      </c>
      <c r="AF615" s="241"/>
      <c r="AG615" s="241"/>
      <c r="AH615" s="241"/>
      <c r="AI615" s="241" t="str">
        <f>IFERROR(__xludf.DUMMYFUNCTION("""COMPUTED_VALUE"""),"Flauta de Ferro")</f>
        <v>Flauta de Ferro</v>
      </c>
      <c r="AJ615" s="242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 t="str">
        <f>IFERROR(__xludf.DUMMYFUNCTION("""COMPUTED_VALUE"""),"Manoplas do Rei")</f>
        <v>Manoplas do Rei</v>
      </c>
      <c r="J616" s="241"/>
      <c r="K616" s="241"/>
      <c r="L616" s="242"/>
      <c r="M616" s="241"/>
      <c r="N616" s="241"/>
      <c r="O616" s="241"/>
      <c r="P616" s="241"/>
      <c r="Q616" s="241"/>
      <c r="R616" s="241"/>
      <c r="S616" s="241" t="str">
        <f>IFERROR(__xludf.DUMMYFUNCTION("""COMPUTED_VALUE"""),"Botas piratas")</f>
        <v>Botas piratas</v>
      </c>
      <c r="T616" s="241"/>
      <c r="U616" s="241" t="str">
        <f>IFERROR(__xludf.DUMMYFUNCTION("""COMPUTED_VALUE"""),"Botas piratas")</f>
        <v>Botas piratas</v>
      </c>
      <c r="V616" s="241"/>
      <c r="W616" s="241"/>
      <c r="X616" s="242"/>
      <c r="Y616" s="241" t="str">
        <f>IFERROR(__xludf.DUMMYFUNCTION("""COMPUTED_VALUE"""),"Harpa Congelada")</f>
        <v>Harpa Congelada</v>
      </c>
      <c r="Z616" s="241"/>
      <c r="AA616" s="241"/>
      <c r="AB616" s="241"/>
      <c r="AC616" s="241"/>
      <c r="AD616" s="241"/>
      <c r="AE616" s="241" t="str">
        <f>IFERROR(__xludf.DUMMYFUNCTION("""COMPUTED_VALUE"""),"Contra Fogo")</f>
        <v>Contra Fogo</v>
      </c>
      <c r="AF616" s="241"/>
      <c r="AG616" s="241"/>
      <c r="AH616" s="241"/>
      <c r="AI616" s="241" t="str">
        <f>IFERROR(__xludf.DUMMYFUNCTION("""COMPUTED_VALUE"""),"Harpa Congelada")</f>
        <v>Harpa Congelada</v>
      </c>
      <c r="AJ616" s="242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 t="str">
        <f>IFERROR(__xludf.DUMMYFUNCTION("""COMPUTED_VALUE"""),"Chocantes ")</f>
        <v>Chocantes </v>
      </c>
      <c r="J617" s="241"/>
      <c r="K617" s="241"/>
      <c r="L617" s="242"/>
      <c r="M617" s="241"/>
      <c r="N617" s="241"/>
      <c r="O617" s="241"/>
      <c r="P617" s="241"/>
      <c r="Q617" s="241"/>
      <c r="R617" s="241"/>
      <c r="S617" s="241" t="str">
        <f>IFERROR(__xludf.DUMMYFUNCTION("""COMPUTED_VALUE"""),"Anda-em-planos")</f>
        <v>Anda-em-planos</v>
      </c>
      <c r="T617" s="241"/>
      <c r="U617" s="241" t="str">
        <f>IFERROR(__xludf.DUMMYFUNCTION("""COMPUTED_VALUE"""),"Anda-em-planos")</f>
        <v>Anda-em-planos</v>
      </c>
      <c r="V617" s="241"/>
      <c r="W617" s="241"/>
      <c r="X617" s="242"/>
      <c r="Y617" s="241" t="str">
        <f>IFERROR(__xludf.DUMMYFUNCTION("""COMPUTED_VALUE"""),"Flauta Ygg")</f>
        <v>Flauta Ygg</v>
      </c>
      <c r="Z617" s="241"/>
      <c r="AA617" s="241"/>
      <c r="AB617" s="241"/>
      <c r="AC617" s="241"/>
      <c r="AD617" s="241"/>
      <c r="AE617" s="241" t="str">
        <f>IFERROR(__xludf.DUMMYFUNCTION("""COMPUTED_VALUE"""),"Scarab Shield")</f>
        <v>Scarab Shield</v>
      </c>
      <c r="AF617" s="241"/>
      <c r="AG617" s="241"/>
      <c r="AH617" s="241"/>
      <c r="AI617" s="241" t="str">
        <f>IFERROR(__xludf.DUMMYFUNCTION("""COMPUTED_VALUE"""),"Flauta Ygg")</f>
        <v>Flauta Ygg</v>
      </c>
      <c r="AJ617" s="242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 t="str">
        <f>IFERROR(__xludf.DUMMYFUNCTION("""COMPUTED_VALUE"""),"Manopla de escamas de Dragão")</f>
        <v>Manopla de escamas de Dragão</v>
      </c>
      <c r="J618" s="241"/>
      <c r="K618" s="241"/>
      <c r="L618" s="242"/>
      <c r="M618" s="241"/>
      <c r="N618" s="241"/>
      <c r="O618" s="241"/>
      <c r="P618" s="241"/>
      <c r="Q618" s="241"/>
      <c r="R618" s="241"/>
      <c r="S618" s="241" t="str">
        <f>IFERROR(__xludf.DUMMYFUNCTION("""COMPUTED_VALUE"""),"Botas dracônicas")</f>
        <v>Botas dracônicas</v>
      </c>
      <c r="T618" s="241"/>
      <c r="U618" s="241" t="str">
        <f>IFERROR(__xludf.DUMMYFUNCTION("""COMPUTED_VALUE"""),"Botas dracônicas")</f>
        <v>Botas dracônicas</v>
      </c>
      <c r="V618" s="241"/>
      <c r="W618" s="241"/>
      <c r="X618" s="242"/>
      <c r="Y618" s="241" t="str">
        <f>IFERROR(__xludf.DUMMYFUNCTION("""COMPUTED_VALUE"""),"Chifre de Serpente ")</f>
        <v>Chifre de Serpente </v>
      </c>
      <c r="Z618" s="241"/>
      <c r="AA618" s="241"/>
      <c r="AB618" s="241"/>
      <c r="AC618" s="241"/>
      <c r="AD618" s="241"/>
      <c r="AE618" s="241" t="str">
        <f>IFERROR(__xludf.DUMMYFUNCTION("""COMPUTED_VALUE"""),"Égide ")</f>
        <v>Égide </v>
      </c>
      <c r="AF618" s="241"/>
      <c r="AG618" s="241"/>
      <c r="AH618" s="241"/>
      <c r="AI618" s="241" t="str">
        <f>IFERROR(__xludf.DUMMYFUNCTION("""COMPUTED_VALUE"""),"Chifre de Serpente ")</f>
        <v>Chifre de Serpente </v>
      </c>
      <c r="AJ618" s="242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 t="str">
        <f>IFERROR(__xludf.DUMMYFUNCTION("""COMPUTED_VALUE"""),"Punhos de Adamantium")</f>
        <v>Punhos de Adamantium</v>
      </c>
      <c r="J619" s="241"/>
      <c r="K619" s="241"/>
      <c r="L619" s="242"/>
      <c r="M619" s="241"/>
      <c r="N619" s="241"/>
      <c r="O619" s="241"/>
      <c r="P619" s="241"/>
      <c r="Q619" s="241"/>
      <c r="R619" s="241"/>
      <c r="S619" s="241" t="str">
        <f>IFERROR(__xludf.DUMMYFUNCTION("""COMPUTED_VALUE"""),"Sapatos do fogo-gelo")</f>
        <v>Sapatos do fogo-gelo</v>
      </c>
      <c r="T619" s="241"/>
      <c r="U619" s="241" t="str">
        <f>IFERROR(__xludf.DUMMYFUNCTION("""COMPUTED_VALUE"""),"Sapatos do fogo-gelo")</f>
        <v>Sapatos do fogo-gelo</v>
      </c>
      <c r="V619" s="241"/>
      <c r="W619" s="241"/>
      <c r="X619" s="242"/>
      <c r="Y619" s="241" t="str">
        <f>IFERROR(__xludf.DUMMYFUNCTION("""COMPUTED_VALUE"""),"Gu Zheng")</f>
        <v>Gu Zheng</v>
      </c>
      <c r="Z619" s="241"/>
      <c r="AA619" s="241"/>
      <c r="AB619" s="241"/>
      <c r="AC619" s="241"/>
      <c r="AD619" s="241"/>
      <c r="AE619" s="241" t="str">
        <f>IFERROR(__xludf.DUMMYFUNCTION("""COMPUTED_VALUE"""),"Escudo Estrelado")</f>
        <v>Escudo Estrelado</v>
      </c>
      <c r="AF619" s="241"/>
      <c r="AG619" s="241"/>
      <c r="AH619" s="241"/>
      <c r="AI619" s="241" t="str">
        <f>IFERROR(__xludf.DUMMYFUNCTION("""COMPUTED_VALUE"""),"Gu Zheng")</f>
        <v>Gu Zheng</v>
      </c>
      <c r="AJ619" s="242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 t="str">
        <f>IFERROR(__xludf.DUMMYFUNCTION("""COMPUTED_VALUE"""),"Manoplas do Berserker")</f>
        <v>Manoplas do Berserker</v>
      </c>
      <c r="J620" s="241"/>
      <c r="K620" s="241"/>
      <c r="L620" s="242"/>
      <c r="M620" s="241"/>
      <c r="N620" s="241"/>
      <c r="O620" s="241"/>
      <c r="P620" s="241"/>
      <c r="Q620" s="241"/>
      <c r="R620" s="241"/>
      <c r="S620" s="241" t="str">
        <f>IFERROR(__xludf.DUMMYFUNCTION("""COMPUTED_VALUE"""),"Marcha ardente")</f>
        <v>Marcha ardente</v>
      </c>
      <c r="T620" s="241"/>
      <c r="U620" s="241" t="str">
        <f>IFERROR(__xludf.DUMMYFUNCTION("""COMPUTED_VALUE"""),"Marcha ardente")</f>
        <v>Marcha ardente</v>
      </c>
      <c r="V620" s="241"/>
      <c r="W620" s="241"/>
      <c r="X620" s="242"/>
      <c r="Y620" s="241" t="str">
        <f>IFERROR(__xludf.DUMMYFUNCTION("""COMPUTED_VALUE"""),"Batimento Dracônico ")</f>
        <v>Batimento Dracônico </v>
      </c>
      <c r="Z620" s="241"/>
      <c r="AA620" s="241"/>
      <c r="AB620" s="241"/>
      <c r="AC620" s="241"/>
      <c r="AD620" s="241"/>
      <c r="AE620" s="241" t="str">
        <f>IFERROR(__xludf.DUMMYFUNCTION("""COMPUTED_VALUE"""),"Escudo de cristal")</f>
        <v>Escudo de cristal</v>
      </c>
      <c r="AF620" s="241"/>
      <c r="AG620" s="241"/>
      <c r="AH620" s="241"/>
      <c r="AI620" s="241" t="str">
        <f>IFERROR(__xludf.DUMMYFUNCTION("""COMPUTED_VALUE"""),"Batimento Dracônico ")</f>
        <v>Batimento Dracônico </v>
      </c>
      <c r="AJ620" s="242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 t="str">
        <f>IFERROR(__xludf.DUMMYFUNCTION("""COMPUTED_VALUE"""),"Luvas Cibernéticas")</f>
        <v>Luvas Cibernéticas</v>
      </c>
      <c r="J621" s="241"/>
      <c r="K621" s="241"/>
      <c r="L621" s="242"/>
      <c r="M621" s="241"/>
      <c r="N621" s="241"/>
      <c r="O621" s="241"/>
      <c r="P621" s="241"/>
      <c r="Q621" s="241"/>
      <c r="R621" s="241"/>
      <c r="S621" s="241" t="str">
        <f>IFERROR(__xludf.DUMMYFUNCTION("""COMPUTED_VALUE"""),"Ice Walkers")</f>
        <v>Ice Walkers</v>
      </c>
      <c r="T621" s="241"/>
      <c r="U621" s="241" t="str">
        <f>IFERROR(__xludf.DUMMYFUNCTION("""COMPUTED_VALUE"""),"Ice Walkers")</f>
        <v>Ice Walkers</v>
      </c>
      <c r="V621" s="241"/>
      <c r="W621" s="241"/>
      <c r="X621" s="242"/>
      <c r="Y621" s="241" t="str">
        <f>IFERROR(__xludf.DUMMYFUNCTION("""COMPUTED_VALUE"""),"Cordas angelicais")</f>
        <v>Cordas angelicais</v>
      </c>
      <c r="Z621" s="241"/>
      <c r="AA621" s="241"/>
      <c r="AB621" s="241"/>
      <c r="AC621" s="241"/>
      <c r="AD621" s="241"/>
      <c r="AE621" s="241" t="str">
        <f>IFERROR(__xludf.DUMMYFUNCTION("""COMPUTED_VALUE"""),"Crânio de Dragão")</f>
        <v>Crânio de Dragão</v>
      </c>
      <c r="AF621" s="241"/>
      <c r="AG621" s="241"/>
      <c r="AH621" s="241"/>
      <c r="AI621" s="241" t="str">
        <f>IFERROR(__xludf.DUMMYFUNCTION("""COMPUTED_VALUE"""),"Cordas angelicais")</f>
        <v>Cordas angelicais</v>
      </c>
      <c r="AJ621" s="242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 t="str">
        <f>IFERROR(__xludf.DUMMYFUNCTION("""COMPUTED_VALUE"""),"Esmagadores Vulcânicos")</f>
        <v>Esmagadores Vulcânicos</v>
      </c>
      <c r="J622" s="241"/>
      <c r="K622" s="241"/>
      <c r="L622" s="242"/>
      <c r="M622" s="241"/>
      <c r="N622" s="241"/>
      <c r="O622" s="241"/>
      <c r="P622" s="241"/>
      <c r="Q622" s="241"/>
      <c r="R622" s="241"/>
      <c r="S622" s="241" t="str">
        <f>IFERROR(__xludf.DUMMYFUNCTION("""COMPUTED_VALUE"""),"Swimming Fins")</f>
        <v>Swimming Fins</v>
      </c>
      <c r="T622" s="241"/>
      <c r="U622" s="241" t="str">
        <f>IFERROR(__xludf.DUMMYFUNCTION("""COMPUTED_VALUE"""),"Swimming Fins")</f>
        <v>Swimming Fins</v>
      </c>
      <c r="V622" s="241"/>
      <c r="W622" s="241"/>
      <c r="X622" s="242"/>
      <c r="Y622" s="241" t="str">
        <f>IFERROR(__xludf.DUMMYFUNCTION("""COMPUTED_VALUE"""),"Ceremonial Er-hu")</f>
        <v>Ceremonial Er-hu</v>
      </c>
      <c r="Z622" s="241"/>
      <c r="AA622" s="241"/>
      <c r="AB622" s="241"/>
      <c r="AC622" s="241"/>
      <c r="AD622" s="241"/>
      <c r="AE622" s="241" t="str">
        <f>IFERROR(__xludf.DUMMYFUNCTION("""COMPUTED_VALUE"""),"Escudo gigante")</f>
        <v>Escudo gigante</v>
      </c>
      <c r="AF622" s="241"/>
      <c r="AG622" s="241"/>
      <c r="AH622" s="241"/>
      <c r="AI622" s="241" t="str">
        <f>IFERROR(__xludf.DUMMYFUNCTION("""COMPUTED_VALUE"""),"Ceremonial Er-hu")</f>
        <v>Ceremonial Er-hu</v>
      </c>
      <c r="AJ622" s="242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 t="str">
        <f>IFERROR(__xludf.DUMMYFUNCTION("""COMPUTED_VALUE"""),"Gauntlet do Chieftain")</f>
        <v>Gauntlet do Chieftain</v>
      </c>
      <c r="J623" s="241"/>
      <c r="K623" s="241"/>
      <c r="L623" s="242"/>
      <c r="M623" s="241"/>
      <c r="N623" s="241"/>
      <c r="O623" s="241"/>
      <c r="P623" s="241"/>
      <c r="Q623" s="241"/>
      <c r="R623" s="241"/>
      <c r="S623" s="241" t="str">
        <f>IFERROR(__xludf.DUMMYFUNCTION("""COMPUTED_VALUE"""),"Rodas Celestiais de Fogo")</f>
        <v>Rodas Celestiais de Fogo</v>
      </c>
      <c r="T623" s="241"/>
      <c r="U623" s="241" t="str">
        <f>IFERROR(__xludf.DUMMYFUNCTION("""COMPUTED_VALUE"""),"Rodas Celestiais de Fogo")</f>
        <v>Rodas Celestiais de Fogo</v>
      </c>
      <c r="V623" s="241"/>
      <c r="W623" s="241"/>
      <c r="X623" s="242"/>
      <c r="Y623" s="241" t="str">
        <f>IFERROR(__xludf.DUMMYFUNCTION("""COMPUTED_VALUE"""),"Harpa do Fogo Gelo")</f>
        <v>Harpa do Fogo Gelo</v>
      </c>
      <c r="Z623" s="241"/>
      <c r="AA623" s="241"/>
      <c r="AB623" s="241"/>
      <c r="AC623" s="241"/>
      <c r="AD623" s="241"/>
      <c r="AE623" s="241" t="str">
        <f>IFERROR(__xludf.DUMMYFUNCTION("""COMPUTED_VALUE"""),"Escudo do Aventureiro")</f>
        <v>Escudo do Aventureiro</v>
      </c>
      <c r="AF623" s="241"/>
      <c r="AG623" s="241"/>
      <c r="AH623" s="241"/>
      <c r="AI623" s="241" t="str">
        <f>IFERROR(__xludf.DUMMYFUNCTION("""COMPUTED_VALUE"""),"Harpa do Fogo Gelo")</f>
        <v>Harpa do Fogo Gelo</v>
      </c>
      <c r="AJ623" s="242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 t="str">
        <f>IFERROR(__xludf.DUMMYFUNCTION("""COMPUTED_VALUE"""),"Runic Gauntlets")</f>
        <v>Runic Gauntlets</v>
      </c>
      <c r="J624" s="241"/>
      <c r="K624" s="241"/>
      <c r="L624" s="242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2"/>
      <c r="Y624" s="241" t="str">
        <f>IFERROR(__xludf.DUMMYFUNCTION("""COMPUTED_VALUE"""),"Flauta de gaia ")</f>
        <v>Flauta de gaia </v>
      </c>
      <c r="Z624" s="241"/>
      <c r="AA624" s="241"/>
      <c r="AB624" s="241"/>
      <c r="AC624" s="241"/>
      <c r="AD624" s="241"/>
      <c r="AE624" s="241" t="str">
        <f>IFERROR(__xludf.DUMMYFUNCTION("""COMPUTED_VALUE"""),"Shark Bite")</f>
        <v>Shark Bite</v>
      </c>
      <c r="AF624" s="241"/>
      <c r="AG624" s="241"/>
      <c r="AH624" s="241"/>
      <c r="AI624" s="241" t="str">
        <f>IFERROR(__xludf.DUMMYFUNCTION("""COMPUTED_VALUE"""),"Flauta de gaia ")</f>
        <v>Flauta de gaia </v>
      </c>
      <c r="AJ624" s="242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 t="str">
        <f>IFERROR(__xludf.DUMMYFUNCTION("""COMPUTED_VALUE"""),"Punhos de Zeus")</f>
        <v>Punhos de Zeus</v>
      </c>
      <c r="J625" s="241"/>
      <c r="K625" s="241"/>
      <c r="L625" s="242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2"/>
      <c r="Y625" s="241" t="str">
        <f>IFERROR(__xludf.DUMMYFUNCTION("""COMPUTED_VALUE"""),"Flauta Convocadora")</f>
        <v>Flauta Convocadora</v>
      </c>
      <c r="Z625" s="241"/>
      <c r="AA625" s="241"/>
      <c r="AB625" s="241"/>
      <c r="AC625" s="241"/>
      <c r="AD625" s="241"/>
      <c r="AE625" s="241" t="str">
        <f>IFERROR(__xludf.DUMMYFUNCTION("""COMPUTED_VALUE"""),"Buckler de Atena")</f>
        <v>Buckler de Atena</v>
      </c>
      <c r="AF625" s="241"/>
      <c r="AG625" s="241"/>
      <c r="AH625" s="241"/>
      <c r="AI625" s="241" t="str">
        <f>IFERROR(__xludf.DUMMYFUNCTION("""COMPUTED_VALUE"""),"Flauta Convocadora")</f>
        <v>Flauta Convocadora</v>
      </c>
      <c r="AJ625" s="242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2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2"/>
      <c r="Y626" s="241"/>
      <c r="Z626" s="241"/>
      <c r="AA626" s="241"/>
      <c r="AB626" s="241"/>
      <c r="AC626" s="241"/>
      <c r="AD626" s="241"/>
      <c r="AE626" s="241" t="str">
        <f>IFERROR(__xludf.DUMMYFUNCTION("""COMPUTED_VALUE"""),"Broquel da Medusa")</f>
        <v>Broquel da Medusa</v>
      </c>
      <c r="AF626" s="241"/>
      <c r="AG626" s="241"/>
      <c r="AH626" s="241"/>
      <c r="AI626" s="241" t="str">
        <f>IFERROR(__xludf.DUMMYFUNCTION("""COMPUTED_VALUE"""),"Feitiço do Vento ")</f>
        <v>Feitiço do Vento </v>
      </c>
      <c r="AJ626" s="242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2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2"/>
      <c r="Y627" s="241"/>
      <c r="Z627" s="241"/>
      <c r="AA627" s="241"/>
      <c r="AB627" s="241"/>
      <c r="AC627" s="241"/>
      <c r="AD627" s="241"/>
      <c r="AE627" s="241" t="str">
        <f>IFERROR(__xludf.DUMMYFUNCTION("""COMPUTED_VALUE"""),"Escudo do oráculo")</f>
        <v>Escudo do oráculo</v>
      </c>
      <c r="AF627" s="241"/>
      <c r="AG627" s="241"/>
      <c r="AH627" s="241"/>
      <c r="AI627" s="241" t="str">
        <f>IFERROR(__xludf.DUMMYFUNCTION("""COMPUTED_VALUE"""),"Símbolo do Exorcismo")</f>
        <v>Símbolo do Exorcismo</v>
      </c>
      <c r="AJ627" s="242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2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2"/>
      <c r="Y628" s="241"/>
      <c r="Z628" s="241"/>
      <c r="AA628" s="241"/>
      <c r="AB628" s="241"/>
      <c r="AC628" s="241"/>
      <c r="AD628" s="241"/>
      <c r="AE628" s="241" t="str">
        <f>IFERROR(__xludf.DUMMYFUNCTION("""COMPUTED_VALUE"""),"Mãe Natureza")</f>
        <v>Mãe Natureza</v>
      </c>
      <c r="AF628" s="241"/>
      <c r="AG628" s="241"/>
      <c r="AH628" s="241"/>
      <c r="AI628" s="241" t="str">
        <f>IFERROR(__xludf.DUMMYFUNCTION("""COMPUTED_VALUE"""),"Proteção defensora")</f>
        <v>Proteção defensora</v>
      </c>
      <c r="AJ628" s="242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2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2"/>
      <c r="Y629" s="241"/>
      <c r="Z629" s="241"/>
      <c r="AA629" s="241"/>
      <c r="AB629" s="241"/>
      <c r="AC629" s="241"/>
      <c r="AD629" s="241"/>
      <c r="AE629" s="241" t="str">
        <f>IFERROR(__xludf.DUMMYFUNCTION("""COMPUTED_VALUE"""),"Escudo Meia Lua")</f>
        <v>Escudo Meia Lua</v>
      </c>
      <c r="AF629" s="241"/>
      <c r="AG629" s="241"/>
      <c r="AH629" s="241"/>
      <c r="AI629" s="241" t="str">
        <f>IFERROR(__xludf.DUMMYFUNCTION("""COMPUTED_VALUE"""),"Amuleto Ankh")</f>
        <v>Amuleto Ankh</v>
      </c>
      <c r="AJ629" s="242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2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2"/>
      <c r="Y630" s="241"/>
      <c r="Z630" s="241"/>
      <c r="AA630" s="241"/>
      <c r="AB630" s="241"/>
      <c r="AC630" s="241"/>
      <c r="AD630" s="241"/>
      <c r="AE630" s="241" t="str">
        <f>IFERROR(__xludf.DUMMYFUNCTION("""COMPUTED_VALUE"""),"Celtic Shield")</f>
        <v>Celtic Shield</v>
      </c>
      <c r="AF630" s="241"/>
      <c r="AG630" s="241"/>
      <c r="AH630" s="241"/>
      <c r="AI630" s="241" t="str">
        <f>IFERROR(__xludf.DUMMYFUNCTION("""COMPUTED_VALUE"""),"Coração de Lich")</f>
        <v>Coração de Lich</v>
      </c>
      <c r="AJ630" s="242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2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2"/>
      <c r="Y631" s="241"/>
      <c r="Z631" s="241"/>
      <c r="AA631" s="241"/>
      <c r="AB631" s="241"/>
      <c r="AC631" s="241"/>
      <c r="AD631" s="241"/>
      <c r="AE631" s="241" t="str">
        <f>IFERROR(__xludf.DUMMYFUNCTION("""COMPUTED_VALUE"""),"Painel Refrator")</f>
        <v>Painel Refrator</v>
      </c>
      <c r="AF631" s="241"/>
      <c r="AG631" s="241"/>
      <c r="AH631" s="241"/>
      <c r="AI631" s="241" t="str">
        <f>IFERROR(__xludf.DUMMYFUNCTION("""COMPUTED_VALUE"""),"Amuleto dracônico")</f>
        <v>Amuleto dracônico</v>
      </c>
      <c r="AJ631" s="242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2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2"/>
      <c r="Y632" s="241"/>
      <c r="Z632" s="241"/>
      <c r="AA632" s="241"/>
      <c r="AB632" s="241"/>
      <c r="AC632" s="241"/>
      <c r="AD632" s="241"/>
      <c r="AE632" s="241" t="str">
        <f>IFERROR(__xludf.DUMMYFUNCTION("""COMPUTED_VALUE"""),"Feitiço do Vento ")</f>
        <v>Feitiço do Vento </v>
      </c>
      <c r="AF632" s="241"/>
      <c r="AG632" s="241"/>
      <c r="AH632" s="241"/>
      <c r="AI632" s="241" t="str">
        <f>IFERROR(__xludf.DUMMYFUNCTION("""COMPUTED_VALUE"""),"Lágrima da Deusa")</f>
        <v>Lágrima da Deusa</v>
      </c>
      <c r="AJ632" s="242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2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2"/>
      <c r="Y633" s="241"/>
      <c r="Z633" s="241"/>
      <c r="AA633" s="241"/>
      <c r="AB633" s="241"/>
      <c r="AC633" s="241"/>
      <c r="AD633" s="241"/>
      <c r="AE633" s="241" t="str">
        <f>IFERROR(__xludf.DUMMYFUNCTION("""COMPUTED_VALUE"""),"Símbolo do Exorcismo")</f>
        <v>Símbolo do Exorcismo</v>
      </c>
      <c r="AF633" s="241"/>
      <c r="AG633" s="241"/>
      <c r="AH633" s="241"/>
      <c r="AI633" s="241" t="str">
        <f>IFERROR(__xludf.DUMMYFUNCTION("""COMPUTED_VALUE"""),"Coração do Sol")</f>
        <v>Coração do Sol</v>
      </c>
      <c r="AJ633" s="242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2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2"/>
      <c r="Y634" s="241"/>
      <c r="Z634" s="241"/>
      <c r="AA634" s="241"/>
      <c r="AB634" s="241"/>
      <c r="AC634" s="241"/>
      <c r="AD634" s="241"/>
      <c r="AE634" s="241" t="str">
        <f>IFERROR(__xludf.DUMMYFUNCTION("""COMPUTED_VALUE"""),"Proteção defensora")</f>
        <v>Proteção defensora</v>
      </c>
      <c r="AF634" s="241"/>
      <c r="AG634" s="241"/>
      <c r="AH634" s="241"/>
      <c r="AI634" s="241" t="str">
        <f>IFERROR(__xludf.DUMMYFUNCTION("""COMPUTED_VALUE"""),"Herança de Azbandar")</f>
        <v>Herança de Azbandar</v>
      </c>
      <c r="AJ634" s="242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2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2"/>
      <c r="Y635" s="241"/>
      <c r="Z635" s="241"/>
      <c r="AA635" s="241"/>
      <c r="AB635" s="241"/>
      <c r="AC635" s="241"/>
      <c r="AD635" s="241"/>
      <c r="AE635" s="241" t="str">
        <f>IFERROR(__xludf.DUMMYFUNCTION("""COMPUTED_VALUE"""),"Amuleto Ankh")</f>
        <v>Amuleto Ankh</v>
      </c>
      <c r="AF635" s="241"/>
      <c r="AG635" s="241"/>
      <c r="AH635" s="241"/>
      <c r="AI635" s="241" t="str">
        <f>IFERROR(__xludf.DUMMYFUNCTION("""COMPUTED_VALUE"""),"Herança de Família")</f>
        <v>Herança de Família</v>
      </c>
      <c r="AJ635" s="242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2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2"/>
      <c r="Y636" s="241"/>
      <c r="Z636" s="241"/>
      <c r="AA636" s="241"/>
      <c r="AB636" s="241"/>
      <c r="AC636" s="241"/>
      <c r="AD636" s="241"/>
      <c r="AE636" s="241" t="str">
        <f>IFERROR(__xludf.DUMMYFUNCTION("""COMPUTED_VALUE"""),"Coração de Lich")</f>
        <v>Coração de Lich</v>
      </c>
      <c r="AF636" s="241"/>
      <c r="AG636" s="241"/>
      <c r="AH636" s="241"/>
      <c r="AI636" s="241" t="str">
        <f>IFERROR(__xludf.DUMMYFUNCTION("""COMPUTED_VALUE"""),"Talismã do fogo-gelo")</f>
        <v>Talismã do fogo-gelo</v>
      </c>
      <c r="AJ636" s="242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2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2"/>
      <c r="Y637" s="241"/>
      <c r="Z637" s="241"/>
      <c r="AA637" s="241"/>
      <c r="AB637" s="241"/>
      <c r="AC637" s="241"/>
      <c r="AD637" s="241"/>
      <c r="AE637" s="241" t="str">
        <f>IFERROR(__xludf.DUMMYFUNCTION("""COMPUTED_VALUE"""),"Amuleto dracônico")</f>
        <v>Amuleto dracônico</v>
      </c>
      <c r="AF637" s="241"/>
      <c r="AG637" s="241"/>
      <c r="AH637" s="241"/>
      <c r="AI637" s="241" t="str">
        <f>IFERROR(__xludf.DUMMYFUNCTION("""COMPUTED_VALUE"""),"Coração de Gaia")</f>
        <v>Coração de Gaia</v>
      </c>
      <c r="AJ637" s="242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2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2"/>
      <c r="Y638" s="241"/>
      <c r="Z638" s="241"/>
      <c r="AA638" s="241"/>
      <c r="AB638" s="241"/>
      <c r="AC638" s="241"/>
      <c r="AD638" s="241"/>
      <c r="AE638" s="241" t="str">
        <f>IFERROR(__xludf.DUMMYFUNCTION("""COMPUTED_VALUE"""),"Lágrima da Deusa")</f>
        <v>Lágrima da Deusa</v>
      </c>
      <c r="AF638" s="241"/>
      <c r="AG638" s="241"/>
      <c r="AH638" s="241"/>
      <c r="AI638" s="241" t="str">
        <f>IFERROR(__xludf.DUMMYFUNCTION("""COMPUTED_VALUE"""),"Amuleto primordial")</f>
        <v>Amuleto primordial</v>
      </c>
      <c r="AJ638" s="242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2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2"/>
      <c r="Y639" s="241"/>
      <c r="Z639" s="241"/>
      <c r="AA639" s="241"/>
      <c r="AB639" s="241"/>
      <c r="AC639" s="241"/>
      <c r="AD639" s="241"/>
      <c r="AE639" s="241" t="str">
        <f>IFERROR(__xludf.DUMMYFUNCTION("""COMPUTED_VALUE"""),"Coração do Sol")</f>
        <v>Coração do Sol</v>
      </c>
      <c r="AF639" s="241"/>
      <c r="AG639" s="241"/>
      <c r="AH639" s="241"/>
      <c r="AI639" s="241" t="str">
        <f>IFERROR(__xludf.DUMMYFUNCTION("""COMPUTED_VALUE"""),"Ominous Charm")</f>
        <v>Ominous Charm</v>
      </c>
      <c r="AJ639" s="242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2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2"/>
      <c r="Y640" s="241"/>
      <c r="Z640" s="241"/>
      <c r="AA640" s="241"/>
      <c r="AB640" s="241"/>
      <c r="AC640" s="241"/>
      <c r="AD640" s="241"/>
      <c r="AE640" s="241" t="str">
        <f>IFERROR(__xludf.DUMMYFUNCTION("""COMPUTED_VALUE"""),"Herança de Azbandar")</f>
        <v>Herança de Azbandar</v>
      </c>
      <c r="AF640" s="241"/>
      <c r="AG640" s="241"/>
      <c r="AH640" s="241"/>
      <c r="AI640" s="241"/>
      <c r="AJ640" s="242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2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2"/>
      <c r="Y641" s="241"/>
      <c r="Z641" s="241"/>
      <c r="AA641" s="241"/>
      <c r="AB641" s="241"/>
      <c r="AC641" s="241"/>
      <c r="AD641" s="241"/>
      <c r="AE641" s="241" t="str">
        <f>IFERROR(__xludf.DUMMYFUNCTION("""COMPUTED_VALUE"""),"Herança de Família")</f>
        <v>Herança de Família</v>
      </c>
      <c r="AF641" s="241"/>
      <c r="AG641" s="241"/>
      <c r="AH641" s="241"/>
      <c r="AI641" s="241"/>
      <c r="AJ641" s="242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2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2"/>
      <c r="Y642" s="241"/>
      <c r="Z642" s="241"/>
      <c r="AA642" s="241"/>
      <c r="AB642" s="241"/>
      <c r="AC642" s="241"/>
      <c r="AD642" s="241"/>
      <c r="AE642" s="241" t="str">
        <f>IFERROR(__xludf.DUMMYFUNCTION("""COMPUTED_VALUE"""),"Talismã do fogo-gelo")</f>
        <v>Talismã do fogo-gelo</v>
      </c>
      <c r="AF642" s="241"/>
      <c r="AG642" s="241"/>
      <c r="AH642" s="241"/>
      <c r="AI642" s="241"/>
      <c r="AJ642" s="242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2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2"/>
      <c r="Y643" s="241"/>
      <c r="Z643" s="241"/>
      <c r="AA643" s="241"/>
      <c r="AB643" s="241"/>
      <c r="AC643" s="241"/>
      <c r="AD643" s="241"/>
      <c r="AE643" s="241" t="str">
        <f>IFERROR(__xludf.DUMMYFUNCTION("""COMPUTED_VALUE"""),"Coração de Gaia")</f>
        <v>Coração de Gaia</v>
      </c>
      <c r="AF643" s="241"/>
      <c r="AG643" s="241"/>
      <c r="AH643" s="241"/>
      <c r="AI643" s="241"/>
      <c r="AJ643" s="242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2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2"/>
      <c r="Y644" s="241"/>
      <c r="Z644" s="241"/>
      <c r="AA644" s="241"/>
      <c r="AB644" s="241"/>
      <c r="AC644" s="241"/>
      <c r="AD644" s="241"/>
      <c r="AE644" s="241" t="str">
        <f>IFERROR(__xludf.DUMMYFUNCTION("""COMPUTED_VALUE"""),"Amuleto primordial")</f>
        <v>Amuleto primordial</v>
      </c>
      <c r="AF644" s="241"/>
      <c r="AG644" s="241"/>
      <c r="AH644" s="241"/>
      <c r="AI644" s="241"/>
      <c r="AJ644" s="242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2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2"/>
      <c r="Y645" s="241"/>
      <c r="Z645" s="241"/>
      <c r="AA645" s="241"/>
      <c r="AB645" s="241"/>
      <c r="AC645" s="241"/>
      <c r="AD645" s="241"/>
      <c r="AE645" s="241" t="str">
        <f>IFERROR(__xludf.DUMMYFUNCTION("""COMPUTED_VALUE"""),"Ominous Charm")</f>
        <v>Ominous Charm</v>
      </c>
      <c r="AF645" s="241"/>
      <c r="AG645" s="241"/>
      <c r="AH645" s="241"/>
      <c r="AI645" s="241"/>
      <c r="AJ645" s="242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2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2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2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2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2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2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2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2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2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2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2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2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2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2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2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2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2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2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2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2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2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2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2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2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2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2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2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2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2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2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2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2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2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2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2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2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2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2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2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2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2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2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2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2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2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2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2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2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2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2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2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2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2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2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2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2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2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2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2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2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2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2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2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2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2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2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2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2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2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2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2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2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2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2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2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2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2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2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2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2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2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2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2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2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2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2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2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2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2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2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2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2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2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2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2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2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2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2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2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2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2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2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2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2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2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2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2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2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2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2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2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2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2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2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2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2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2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2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2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2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2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2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2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2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2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2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2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2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2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2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2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2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2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2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2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2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2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2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2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2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2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2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2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2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2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2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2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2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2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2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2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2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2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2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2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2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2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2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2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2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2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2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2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2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2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2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2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2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2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2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2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2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2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2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2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2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2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2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2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2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2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2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2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2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2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2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2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2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2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2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2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2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2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2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2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2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2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2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2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2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2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2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2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2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2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2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2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2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2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2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2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2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2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2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2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2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2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2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2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2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2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2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2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2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2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2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2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2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2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2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2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2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2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2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2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2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2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2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2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2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2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2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2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2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2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2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2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2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2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2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2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2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2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2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2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2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2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2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2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2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2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2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2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2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2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2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2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2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2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2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2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2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2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2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2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2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2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2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2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2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2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2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2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2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2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2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2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2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2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2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2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2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2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2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2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2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2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2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2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2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2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2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2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2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2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2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2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2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2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2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2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2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2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2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2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2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2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2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2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2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2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2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2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2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2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2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2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2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2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2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2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2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2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2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2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2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2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2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2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2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2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2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2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2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2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2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2"/>
    </row>
    <row r="763" hidden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2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2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2"/>
    </row>
    <row r="764" hidden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2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2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2"/>
    </row>
    <row r="765" hidden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2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2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2"/>
    </row>
    <row r="766" hidden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2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2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2"/>
    </row>
    <row r="767" hidden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2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2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2"/>
    </row>
    <row r="768" hidden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2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2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2"/>
    </row>
    <row r="769" hidden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2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2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2"/>
    </row>
    <row r="770" hidden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2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2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2"/>
    </row>
    <row r="771" hidden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2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2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2"/>
    </row>
    <row r="772" hidden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2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2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2"/>
    </row>
    <row r="773" hidden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2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2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2"/>
    </row>
    <row r="774" hidden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2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2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2"/>
    </row>
    <row r="775" hidden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2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2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2"/>
    </row>
    <row r="776" hidden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2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2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2"/>
    </row>
    <row r="777" hidden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2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2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2"/>
    </row>
    <row r="778" hidden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2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2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2"/>
    </row>
    <row r="779" hidden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2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2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2"/>
    </row>
    <row r="780" hidden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2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2"/>
    </row>
    <row r="781" hidden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2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2"/>
    </row>
    <row r="782" hidden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2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2"/>
    </row>
    <row r="783" hidden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2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2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2"/>
    </row>
    <row r="784" hidden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2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2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2"/>
    </row>
    <row r="785" hidden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2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2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2"/>
    </row>
    <row r="786" hidden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2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2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2"/>
    </row>
    <row r="787" hidden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2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2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2"/>
    </row>
    <row r="788" hidden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2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2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2"/>
    </row>
    <row r="789" hidden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2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2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2"/>
    </row>
    <row r="790" hidden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2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2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2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2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2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2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2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2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2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2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2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2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2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2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2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2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2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2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2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2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2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2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2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2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2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2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2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2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2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2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2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2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2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2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2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2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2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2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2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2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2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2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2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2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2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2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2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2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2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2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2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2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2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2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2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2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2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2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2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2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2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2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2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2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2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2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2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2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2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2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2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2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2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2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2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2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2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2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2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2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2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2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2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2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2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2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2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2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2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2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2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2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2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2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2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2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2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2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2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2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2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2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2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2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2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2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2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2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2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2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2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2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2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2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2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2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2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2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2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2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2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2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2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2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2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2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2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2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2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2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2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2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2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2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2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2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2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2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2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2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2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2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2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2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2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2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2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2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2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2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2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2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2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2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2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2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2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2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2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2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2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2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2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2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2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2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2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2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2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2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2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2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2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2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2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2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2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2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2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2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2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2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2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2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2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2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2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2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2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2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2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2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2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2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2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2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2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2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2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2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2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2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2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2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2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2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2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2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2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2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2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2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2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2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2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2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2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2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2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2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2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2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2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2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2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2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2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2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2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2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2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2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2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2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2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2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2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2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2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2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2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2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2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2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2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2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2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2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2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2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2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2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2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2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2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2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2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2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2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2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2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2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2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2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2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2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2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2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2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2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2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2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2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2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2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2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2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2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2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2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2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2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2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2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2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2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2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2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2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2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2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2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2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2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2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2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2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2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2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2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2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2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2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2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2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2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2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2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2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2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2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2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2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2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2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2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2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2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2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2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2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2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2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2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2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2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2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2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2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2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2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2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2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2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2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2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2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2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2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2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2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2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2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2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2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2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2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2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2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2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2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2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2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2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2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2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2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2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2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2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2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2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2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2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2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2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2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2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2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2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2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2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2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2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2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2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2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2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2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2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2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2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2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2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2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2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2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2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2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2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2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2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2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2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2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2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2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2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2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2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2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2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2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2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2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2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2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2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2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2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2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2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2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2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2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2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2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2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2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2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2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2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2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2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2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2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2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2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2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2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2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2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2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2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2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2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2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2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2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2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2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2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2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2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2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2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2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2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2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2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2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2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2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2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2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2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2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2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2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2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2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2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2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2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2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2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2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2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2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2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2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2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2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2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2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2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2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2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2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2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2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2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2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2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2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2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2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2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2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2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2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2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2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2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2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2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2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2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2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2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2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2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2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2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2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2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2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2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2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2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2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2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2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2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2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2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2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2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2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2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2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2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2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2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2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2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2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2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2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2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2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2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2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2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2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2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2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2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2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2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2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2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2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2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2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2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2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2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2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2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2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2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2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2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2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2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2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2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2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2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2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2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2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2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2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2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2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2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2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2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2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2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2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2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2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2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2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2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2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2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2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2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2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2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2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2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2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2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2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2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2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2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2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2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2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2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2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2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2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2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2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2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2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2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2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2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2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2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2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2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2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2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2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2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2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2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2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2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2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2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2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2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2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2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2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2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2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2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2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2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2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2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2"/>
    </row>
    <row r="1001" hidden="1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2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2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2"/>
    </row>
    <row r="1002" hidden="1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2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2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2"/>
    </row>
    <row r="1003" hidden="1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2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2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2"/>
    </row>
    <row r="1004" hidden="1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2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2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2"/>
    </row>
    <row r="1005" hidden="1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2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2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2"/>
    </row>
    <row r="1006" hidden="1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2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2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2"/>
    </row>
    <row r="1007" hidden="1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2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2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2"/>
    </row>
    <row r="1008" hidden="1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2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2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2"/>
    </row>
    <row r="1009" hidden="1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2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2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2"/>
    </row>
    <row r="1010" hidden="1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2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2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2"/>
    </row>
    <row r="1011" hidden="1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2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2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2"/>
    </row>
    <row r="1012" hidden="1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2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2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2"/>
    </row>
    <row r="1013" hidden="1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2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2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2"/>
    </row>
    <row r="1014" hidden="1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2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2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2"/>
    </row>
    <row r="1015" hidden="1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2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2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2"/>
    </row>
    <row r="1016" hidden="1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2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2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2"/>
    </row>
    <row r="1017" hidden="1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2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2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2"/>
    </row>
    <row r="1018" hidden="1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2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2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2"/>
    </row>
    <row r="1019" hidden="1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2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2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2"/>
    </row>
    <row r="1020" hidden="1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2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2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2"/>
    </row>
    <row r="1021" hidden="1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2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2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2"/>
    </row>
    <row r="1022" hidden="1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2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2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2"/>
    </row>
    <row r="1023" hidden="1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2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2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2"/>
    </row>
    <row r="1024" hidden="1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2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2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2"/>
    </row>
    <row r="1025" hidden="1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2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2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2"/>
    </row>
    <row r="1026" hidden="1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2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2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2"/>
    </row>
    <row r="1027" hidden="1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2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2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2"/>
    </row>
    <row r="1028" hidden="1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2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2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2"/>
    </row>
    <row r="1029" hidden="1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2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2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2"/>
    </row>
    <row r="1030" hidden="1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2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2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2"/>
    </row>
    <row r="1031" hidden="1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2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2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2"/>
    </row>
    <row r="1032" hidden="1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2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2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2"/>
    </row>
    <row r="1033" hidden="1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2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2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2"/>
    </row>
    <row r="1034" hidden="1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2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2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2"/>
    </row>
    <row r="1035" hidden="1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2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2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2"/>
    </row>
    <row r="1036" hidden="1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2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2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2"/>
    </row>
    <row r="1037" hidden="1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2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2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2"/>
    </row>
    <row r="1038" hidden="1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2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2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2"/>
    </row>
    <row r="1039" hidden="1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2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2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2"/>
    </row>
    <row r="1040" hidden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2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2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2"/>
    </row>
    <row r="1041" hidden="1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2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2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2"/>
    </row>
    <row r="1042" hidden="1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2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2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2"/>
    </row>
    <row r="1043" hidden="1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2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2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2"/>
    </row>
    <row r="1044" hidden="1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2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2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2"/>
    </row>
    <row r="1045" hidden="1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2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2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2"/>
    </row>
    <row r="1046" hidden="1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2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2"/>
      <c r="Y1046" s="241"/>
      <c r="Z1046" s="241"/>
      <c r="AA1046" s="241"/>
      <c r="AB1046" s="241"/>
      <c r="AC1046" s="241"/>
      <c r="AD1046" s="241"/>
      <c r="AE1046" s="241"/>
      <c r="AF1046" s="241"/>
      <c r="AG1046" s="241"/>
      <c r="AH1046" s="241"/>
      <c r="AI1046" s="241"/>
      <c r="AJ1046" s="242"/>
    </row>
    <row r="1047" hidden="1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2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2"/>
      <c r="Y1047" s="241"/>
      <c r="Z1047" s="241"/>
      <c r="AA1047" s="241"/>
      <c r="AB1047" s="241"/>
      <c r="AC1047" s="241"/>
      <c r="AD1047" s="241"/>
      <c r="AE1047" s="241"/>
      <c r="AF1047" s="241"/>
      <c r="AG1047" s="241"/>
      <c r="AH1047" s="241"/>
      <c r="AI1047" s="241"/>
      <c r="AJ1047" s="242"/>
    </row>
    <row r="1048" hidden="1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2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2"/>
      <c r="Y1048" s="241"/>
      <c r="Z1048" s="241"/>
      <c r="AA1048" s="241"/>
      <c r="AB1048" s="241"/>
      <c r="AC1048" s="241"/>
      <c r="AD1048" s="241"/>
      <c r="AE1048" s="241"/>
      <c r="AF1048" s="241"/>
      <c r="AG1048" s="241"/>
      <c r="AH1048" s="241"/>
      <c r="AI1048" s="241"/>
      <c r="AJ1048" s="242"/>
    </row>
    <row r="1049" hidden="1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2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2"/>
      <c r="Y1049" s="241"/>
      <c r="Z1049" s="241"/>
      <c r="AA1049" s="241"/>
      <c r="AB1049" s="241"/>
      <c r="AC1049" s="241"/>
      <c r="AD1049" s="241"/>
      <c r="AE1049" s="241"/>
      <c r="AF1049" s="241"/>
      <c r="AG1049" s="241"/>
      <c r="AH1049" s="241"/>
      <c r="AI1049" s="241"/>
      <c r="AJ1049" s="242"/>
    </row>
    <row r="1050" hidden="1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2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2"/>
      <c r="Y1050" s="241"/>
      <c r="Z1050" s="241"/>
      <c r="AA1050" s="241"/>
      <c r="AB1050" s="241"/>
      <c r="AC1050" s="241"/>
      <c r="AD1050" s="241"/>
      <c r="AE1050" s="241"/>
      <c r="AF1050" s="241"/>
      <c r="AG1050" s="241"/>
      <c r="AH1050" s="241"/>
      <c r="AI1050" s="241"/>
      <c r="AJ1050" s="242"/>
    </row>
    <row r="1051" hidden="1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2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2"/>
      <c r="Y1051" s="241"/>
      <c r="Z1051" s="241"/>
      <c r="AA1051" s="241"/>
      <c r="AB1051" s="241"/>
      <c r="AC1051" s="241"/>
      <c r="AD1051" s="241"/>
      <c r="AE1051" s="241"/>
      <c r="AF1051" s="241"/>
      <c r="AG1051" s="241"/>
      <c r="AH1051" s="241"/>
      <c r="AI1051" s="241"/>
      <c r="AJ1051" s="242"/>
    </row>
    <row r="1052" hidden="1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2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2"/>
      <c r="Y1052" s="241"/>
      <c r="Z1052" s="241"/>
      <c r="AA1052" s="241"/>
      <c r="AB1052" s="241"/>
      <c r="AC1052" s="241"/>
      <c r="AD1052" s="241"/>
      <c r="AE1052" s="241"/>
      <c r="AF1052" s="241"/>
      <c r="AG1052" s="241"/>
      <c r="AH1052" s="241"/>
      <c r="AI1052" s="241"/>
      <c r="AJ1052" s="242"/>
    </row>
    <row r="1053" hidden="1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2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2"/>
      <c r="Y1053" s="241"/>
      <c r="Z1053" s="241"/>
      <c r="AA1053" s="241"/>
      <c r="AB1053" s="241"/>
      <c r="AC1053" s="241"/>
      <c r="AD1053" s="241"/>
      <c r="AE1053" s="241"/>
      <c r="AF1053" s="241"/>
      <c r="AG1053" s="241"/>
      <c r="AH1053" s="241"/>
      <c r="AI1053" s="241"/>
      <c r="AJ1053" s="242"/>
    </row>
    <row r="1054" hidden="1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2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2"/>
      <c r="Y1054" s="241"/>
      <c r="Z1054" s="241"/>
      <c r="AA1054" s="241"/>
      <c r="AB1054" s="241"/>
      <c r="AC1054" s="241"/>
      <c r="AD1054" s="241"/>
      <c r="AE1054" s="241"/>
      <c r="AF1054" s="241"/>
      <c r="AG1054" s="241"/>
      <c r="AH1054" s="241"/>
      <c r="AI1054" s="241"/>
      <c r="AJ1054" s="242"/>
    </row>
    <row r="1055" hidden="1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2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2"/>
      <c r="Y1055" s="241"/>
      <c r="Z1055" s="241"/>
      <c r="AA1055" s="241"/>
      <c r="AB1055" s="241"/>
      <c r="AC1055" s="241"/>
      <c r="AD1055" s="241"/>
      <c r="AE1055" s="241"/>
      <c r="AF1055" s="241"/>
      <c r="AG1055" s="241"/>
      <c r="AH1055" s="241"/>
      <c r="AI1055" s="241"/>
      <c r="AJ1055" s="242"/>
    </row>
    <row r="1056" hidden="1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2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2"/>
      <c r="Y1056" s="241"/>
      <c r="Z1056" s="241"/>
      <c r="AA1056" s="241"/>
      <c r="AB1056" s="241"/>
      <c r="AC1056" s="241"/>
      <c r="AD1056" s="241"/>
      <c r="AE1056" s="241"/>
      <c r="AF1056" s="241"/>
      <c r="AG1056" s="241"/>
      <c r="AH1056" s="241"/>
      <c r="AI1056" s="241"/>
      <c r="AJ1056" s="242"/>
    </row>
    <row r="1057" hidden="1">
      <c r="A1057" s="241"/>
      <c r="B1057" s="241"/>
      <c r="C1057" s="241"/>
      <c r="D1057" s="241"/>
      <c r="E1057" s="241"/>
      <c r="F1057" s="241"/>
      <c r="G1057" s="241"/>
      <c r="H1057" s="241"/>
      <c r="I1057" s="241"/>
      <c r="J1057" s="241"/>
      <c r="K1057" s="241"/>
      <c r="L1057" s="242"/>
      <c r="M1057" s="241"/>
      <c r="N1057" s="241"/>
      <c r="O1057" s="241"/>
      <c r="P1057" s="241"/>
      <c r="Q1057" s="241"/>
      <c r="R1057" s="241"/>
      <c r="S1057" s="241"/>
      <c r="T1057" s="241"/>
      <c r="U1057" s="241"/>
      <c r="V1057" s="241"/>
      <c r="W1057" s="241"/>
      <c r="X1057" s="242"/>
      <c r="Y1057" s="241"/>
      <c r="Z1057" s="241"/>
      <c r="AA1057" s="241"/>
      <c r="AB1057" s="241"/>
      <c r="AC1057" s="241"/>
      <c r="AD1057" s="241"/>
      <c r="AE1057" s="241"/>
      <c r="AF1057" s="241"/>
      <c r="AG1057" s="241"/>
      <c r="AH1057" s="241"/>
      <c r="AI1057" s="241"/>
      <c r="AJ1057" s="242"/>
    </row>
    <row r="1058" hidden="1">
      <c r="A1058" s="241"/>
      <c r="B1058" s="241"/>
      <c r="C1058" s="241"/>
      <c r="D1058" s="241"/>
      <c r="E1058" s="241"/>
      <c r="F1058" s="241"/>
      <c r="G1058" s="241"/>
      <c r="H1058" s="241"/>
      <c r="I1058" s="241"/>
      <c r="J1058" s="241"/>
      <c r="K1058" s="241"/>
      <c r="L1058" s="242"/>
      <c r="M1058" s="241"/>
      <c r="N1058" s="241"/>
      <c r="O1058" s="241"/>
      <c r="P1058" s="241"/>
      <c r="Q1058" s="241"/>
      <c r="R1058" s="241"/>
      <c r="S1058" s="241"/>
      <c r="T1058" s="241"/>
      <c r="U1058" s="241"/>
      <c r="V1058" s="241"/>
      <c r="W1058" s="241"/>
      <c r="X1058" s="242"/>
      <c r="Y1058" s="241"/>
      <c r="Z1058" s="241"/>
      <c r="AA1058" s="241"/>
      <c r="AB1058" s="241"/>
      <c r="AC1058" s="241"/>
      <c r="AD1058" s="241"/>
      <c r="AE1058" s="241"/>
      <c r="AF1058" s="241"/>
      <c r="AG1058" s="241"/>
      <c r="AH1058" s="241"/>
      <c r="AI1058" s="241"/>
      <c r="AJ1058" s="242"/>
    </row>
    <row r="1059" hidden="1">
      <c r="A1059" s="241"/>
      <c r="B1059" s="241"/>
      <c r="C1059" s="241"/>
      <c r="D1059" s="241"/>
      <c r="E1059" s="241"/>
      <c r="F1059" s="241"/>
      <c r="G1059" s="241"/>
      <c r="H1059" s="241"/>
      <c r="I1059" s="241"/>
      <c r="J1059" s="241"/>
      <c r="K1059" s="241"/>
      <c r="L1059" s="242"/>
      <c r="M1059" s="241"/>
      <c r="N1059" s="241"/>
      <c r="O1059" s="241"/>
      <c r="P1059" s="241"/>
      <c r="Q1059" s="241"/>
      <c r="R1059" s="241"/>
      <c r="S1059" s="241"/>
      <c r="T1059" s="241"/>
      <c r="U1059" s="241"/>
      <c r="V1059" s="241"/>
      <c r="W1059" s="241"/>
      <c r="X1059" s="242"/>
      <c r="Y1059" s="241"/>
      <c r="Z1059" s="241"/>
      <c r="AA1059" s="241"/>
      <c r="AB1059" s="241"/>
      <c r="AC1059" s="241"/>
      <c r="AD1059" s="241"/>
      <c r="AE1059" s="241"/>
      <c r="AF1059" s="241"/>
      <c r="AG1059" s="241"/>
      <c r="AH1059" s="241"/>
      <c r="AI1059" s="241"/>
      <c r="AJ1059" s="242"/>
    </row>
    <row r="1060" hidden="1">
      <c r="A1060" s="241"/>
      <c r="B1060" s="241"/>
      <c r="C1060" s="241"/>
      <c r="D1060" s="241"/>
      <c r="E1060" s="241"/>
      <c r="F1060" s="241"/>
      <c r="G1060" s="241"/>
      <c r="H1060" s="241"/>
      <c r="I1060" s="241"/>
      <c r="J1060" s="241"/>
      <c r="K1060" s="241"/>
      <c r="L1060" s="242"/>
      <c r="M1060" s="241"/>
      <c r="N1060" s="241"/>
      <c r="O1060" s="241"/>
      <c r="P1060" s="241"/>
      <c r="Q1060" s="241"/>
      <c r="R1060" s="241"/>
      <c r="S1060" s="241"/>
      <c r="T1060" s="241"/>
      <c r="U1060" s="241"/>
      <c r="V1060" s="241"/>
      <c r="W1060" s="241"/>
      <c r="X1060" s="242"/>
      <c r="Y1060" s="241"/>
      <c r="Z1060" s="241"/>
      <c r="AA1060" s="241"/>
      <c r="AB1060" s="241"/>
      <c r="AC1060" s="241"/>
      <c r="AD1060" s="241"/>
      <c r="AE1060" s="241"/>
      <c r="AF1060" s="241"/>
      <c r="AG1060" s="241"/>
      <c r="AH1060" s="241"/>
      <c r="AI1060" s="241"/>
      <c r="AJ1060" s="242"/>
    </row>
    <row r="1061" hidden="1">
      <c r="A1061" s="241"/>
      <c r="B1061" s="241"/>
      <c r="C1061" s="241"/>
      <c r="D1061" s="241"/>
      <c r="E1061" s="241"/>
      <c r="F1061" s="241"/>
      <c r="G1061" s="241"/>
      <c r="H1061" s="241"/>
      <c r="I1061" s="241"/>
      <c r="J1061" s="241"/>
      <c r="K1061" s="241"/>
      <c r="L1061" s="242"/>
      <c r="M1061" s="241"/>
      <c r="N1061" s="241"/>
      <c r="O1061" s="241"/>
      <c r="P1061" s="241"/>
      <c r="Q1061" s="241"/>
      <c r="R1061" s="241"/>
      <c r="S1061" s="241"/>
      <c r="T1061" s="241"/>
      <c r="U1061" s="241"/>
      <c r="V1061" s="241"/>
      <c r="W1061" s="241"/>
      <c r="X1061" s="242"/>
      <c r="Y1061" s="241"/>
      <c r="Z1061" s="241"/>
      <c r="AA1061" s="241"/>
      <c r="AB1061" s="241"/>
      <c r="AC1061" s="241"/>
      <c r="AD1061" s="241"/>
      <c r="AE1061" s="241"/>
      <c r="AF1061" s="241"/>
      <c r="AG1061" s="241"/>
      <c r="AH1061" s="241"/>
      <c r="AI1061" s="241"/>
      <c r="AJ1061" s="242"/>
    </row>
    <row r="1062" hidden="1">
      <c r="A1062" s="241"/>
      <c r="B1062" s="241"/>
      <c r="C1062" s="241"/>
      <c r="D1062" s="241"/>
      <c r="E1062" s="241"/>
      <c r="F1062" s="241"/>
      <c r="G1062" s="241"/>
      <c r="H1062" s="241"/>
      <c r="I1062" s="241"/>
      <c r="J1062" s="241"/>
      <c r="K1062" s="241"/>
      <c r="L1062" s="242"/>
      <c r="M1062" s="241"/>
      <c r="N1062" s="241"/>
      <c r="O1062" s="241"/>
      <c r="P1062" s="241"/>
      <c r="Q1062" s="241"/>
      <c r="R1062" s="241"/>
      <c r="S1062" s="241"/>
      <c r="T1062" s="241"/>
      <c r="U1062" s="241"/>
      <c r="V1062" s="241"/>
      <c r="W1062" s="241"/>
      <c r="X1062" s="242"/>
      <c r="Y1062" s="241"/>
      <c r="Z1062" s="241"/>
      <c r="AA1062" s="241"/>
      <c r="AB1062" s="241"/>
      <c r="AC1062" s="241"/>
      <c r="AD1062" s="241"/>
      <c r="AE1062" s="241"/>
      <c r="AF1062" s="241"/>
      <c r="AG1062" s="241"/>
      <c r="AH1062" s="241"/>
      <c r="AI1062" s="241"/>
      <c r="AJ1062" s="242"/>
    </row>
    <row r="1063" hidden="1">
      <c r="A1063" s="241"/>
      <c r="B1063" s="241"/>
      <c r="C1063" s="241"/>
      <c r="D1063" s="241"/>
      <c r="E1063" s="241"/>
      <c r="F1063" s="241"/>
      <c r="G1063" s="241"/>
      <c r="H1063" s="241"/>
      <c r="I1063" s="241"/>
      <c r="J1063" s="241"/>
      <c r="K1063" s="241"/>
      <c r="L1063" s="242"/>
      <c r="M1063" s="241"/>
      <c r="N1063" s="241"/>
      <c r="O1063" s="241"/>
      <c r="P1063" s="241"/>
      <c r="Q1063" s="241"/>
      <c r="R1063" s="241"/>
      <c r="S1063" s="241"/>
      <c r="T1063" s="241"/>
      <c r="U1063" s="241"/>
      <c r="V1063" s="241"/>
      <c r="W1063" s="241"/>
      <c r="X1063" s="242"/>
      <c r="Y1063" s="241"/>
      <c r="Z1063" s="241"/>
      <c r="AA1063" s="241"/>
      <c r="AB1063" s="241"/>
      <c r="AC1063" s="241"/>
      <c r="AD1063" s="241"/>
      <c r="AE1063" s="241"/>
      <c r="AF1063" s="241"/>
      <c r="AG1063" s="241"/>
      <c r="AH1063" s="241"/>
      <c r="AI1063" s="241"/>
      <c r="AJ1063" s="242"/>
    </row>
    <row r="1064" hidden="1">
      <c r="A1064" s="241"/>
      <c r="B1064" s="241"/>
      <c r="C1064" s="241"/>
      <c r="D1064" s="241"/>
      <c r="E1064" s="241"/>
      <c r="F1064" s="241"/>
      <c r="G1064" s="241"/>
      <c r="H1064" s="241"/>
      <c r="I1064" s="241"/>
      <c r="J1064" s="241"/>
      <c r="K1064" s="241"/>
      <c r="L1064" s="242"/>
      <c r="M1064" s="241"/>
      <c r="N1064" s="241"/>
      <c r="O1064" s="241"/>
      <c r="P1064" s="241"/>
      <c r="Q1064" s="241"/>
      <c r="R1064" s="241"/>
      <c r="S1064" s="241"/>
      <c r="T1064" s="241"/>
      <c r="U1064" s="241"/>
      <c r="V1064" s="241"/>
      <c r="W1064" s="241"/>
      <c r="X1064" s="242"/>
      <c r="Y1064" s="241"/>
      <c r="Z1064" s="241"/>
      <c r="AA1064" s="241"/>
      <c r="AB1064" s="241"/>
      <c r="AC1064" s="241"/>
      <c r="AD1064" s="241"/>
      <c r="AE1064" s="241"/>
      <c r="AF1064" s="241"/>
      <c r="AG1064" s="241"/>
      <c r="AH1064" s="241"/>
      <c r="AI1064" s="241"/>
      <c r="AJ1064" s="242"/>
    </row>
    <row r="1065" hidden="1">
      <c r="A1065" s="241"/>
      <c r="B1065" s="241"/>
      <c r="C1065" s="241"/>
      <c r="D1065" s="241"/>
      <c r="E1065" s="241"/>
      <c r="F1065" s="241"/>
      <c r="G1065" s="241"/>
      <c r="H1065" s="241"/>
      <c r="I1065" s="241"/>
      <c r="J1065" s="241"/>
      <c r="K1065" s="241"/>
      <c r="L1065" s="242"/>
      <c r="M1065" s="241"/>
      <c r="N1065" s="241"/>
      <c r="O1065" s="241"/>
      <c r="P1065" s="241"/>
      <c r="Q1065" s="241"/>
      <c r="R1065" s="241"/>
      <c r="S1065" s="241"/>
      <c r="T1065" s="241"/>
      <c r="U1065" s="241"/>
      <c r="V1065" s="241"/>
      <c r="W1065" s="241"/>
      <c r="X1065" s="242"/>
      <c r="Y1065" s="241"/>
      <c r="Z1065" s="241"/>
      <c r="AA1065" s="241"/>
      <c r="AB1065" s="241"/>
      <c r="AC1065" s="241"/>
      <c r="AD1065" s="241"/>
      <c r="AE1065" s="241"/>
      <c r="AF1065" s="241"/>
      <c r="AG1065" s="241"/>
      <c r="AH1065" s="241"/>
      <c r="AI1065" s="241"/>
      <c r="AJ1065" s="242"/>
    </row>
    <row r="1066" hidden="1">
      <c r="A1066" s="241"/>
      <c r="B1066" s="241"/>
      <c r="C1066" s="241"/>
      <c r="D1066" s="241"/>
      <c r="E1066" s="241"/>
      <c r="F1066" s="241"/>
      <c r="G1066" s="241"/>
      <c r="H1066" s="241"/>
      <c r="I1066" s="241"/>
      <c r="J1066" s="241"/>
      <c r="K1066" s="241"/>
      <c r="L1066" s="242"/>
      <c r="M1066" s="241"/>
      <c r="N1066" s="241"/>
      <c r="O1066" s="241"/>
      <c r="P1066" s="241"/>
      <c r="Q1066" s="241"/>
      <c r="R1066" s="241"/>
      <c r="S1066" s="241"/>
      <c r="T1066" s="241"/>
      <c r="U1066" s="241"/>
      <c r="V1066" s="241"/>
      <c r="W1066" s="241"/>
      <c r="X1066" s="242"/>
      <c r="Y1066" s="241"/>
      <c r="Z1066" s="241"/>
      <c r="AA1066" s="241"/>
      <c r="AB1066" s="241"/>
      <c r="AC1066" s="241"/>
      <c r="AD1066" s="241"/>
      <c r="AE1066" s="241"/>
      <c r="AF1066" s="241"/>
      <c r="AG1066" s="241"/>
      <c r="AH1066" s="241"/>
      <c r="AI1066" s="241"/>
      <c r="AJ1066" s="242"/>
    </row>
    <row r="1067" hidden="1">
      <c r="A1067" s="241"/>
      <c r="B1067" s="241"/>
      <c r="C1067" s="241"/>
      <c r="D1067" s="241"/>
      <c r="E1067" s="241"/>
      <c r="F1067" s="241"/>
      <c r="G1067" s="241"/>
      <c r="H1067" s="241"/>
      <c r="I1067" s="241"/>
      <c r="J1067" s="241"/>
      <c r="K1067" s="241"/>
      <c r="L1067" s="242"/>
      <c r="M1067" s="241"/>
      <c r="N1067" s="241"/>
      <c r="O1067" s="241"/>
      <c r="P1067" s="241"/>
      <c r="Q1067" s="241"/>
      <c r="R1067" s="241"/>
      <c r="S1067" s="241"/>
      <c r="T1067" s="241"/>
      <c r="U1067" s="241"/>
      <c r="V1067" s="241"/>
      <c r="W1067" s="241"/>
      <c r="X1067" s="242"/>
      <c r="Y1067" s="241"/>
      <c r="Z1067" s="241"/>
      <c r="AA1067" s="241"/>
      <c r="AB1067" s="241"/>
      <c r="AC1067" s="241"/>
      <c r="AD1067" s="241"/>
      <c r="AE1067" s="241"/>
      <c r="AF1067" s="241"/>
      <c r="AG1067" s="241"/>
      <c r="AH1067" s="241"/>
      <c r="AI1067" s="241"/>
      <c r="AJ1067" s="242"/>
    </row>
    <row r="1068" hidden="1">
      <c r="A1068" s="241"/>
      <c r="B1068" s="241"/>
      <c r="C1068" s="241"/>
      <c r="D1068" s="241"/>
      <c r="E1068" s="241"/>
      <c r="F1068" s="241"/>
      <c r="G1068" s="241"/>
      <c r="H1068" s="241"/>
      <c r="I1068" s="241"/>
      <c r="J1068" s="241"/>
      <c r="K1068" s="241"/>
      <c r="L1068" s="242"/>
      <c r="M1068" s="241"/>
      <c r="N1068" s="241"/>
      <c r="O1068" s="241"/>
      <c r="P1068" s="241"/>
      <c r="Q1068" s="241"/>
      <c r="R1068" s="241"/>
      <c r="S1068" s="241"/>
      <c r="T1068" s="241"/>
      <c r="U1068" s="241"/>
      <c r="V1068" s="241"/>
      <c r="W1068" s="241"/>
      <c r="X1068" s="242"/>
      <c r="Y1068" s="241"/>
      <c r="Z1068" s="241"/>
      <c r="AA1068" s="241"/>
      <c r="AB1068" s="241"/>
      <c r="AC1068" s="241"/>
      <c r="AD1068" s="241"/>
      <c r="AE1068" s="241"/>
      <c r="AF1068" s="241"/>
      <c r="AG1068" s="241"/>
      <c r="AH1068" s="241"/>
      <c r="AI1068" s="241"/>
      <c r="AJ1068" s="242"/>
    </row>
    <row r="1069" hidden="1">
      <c r="A1069" s="241"/>
      <c r="B1069" s="241"/>
      <c r="C1069" s="241"/>
      <c r="D1069" s="241"/>
      <c r="E1069" s="241"/>
      <c r="F1069" s="241"/>
      <c r="G1069" s="241"/>
      <c r="H1069" s="241"/>
      <c r="I1069" s="241"/>
      <c r="J1069" s="241"/>
      <c r="K1069" s="241"/>
      <c r="L1069" s="242"/>
      <c r="M1069" s="241"/>
      <c r="N1069" s="241"/>
      <c r="O1069" s="241"/>
      <c r="P1069" s="241"/>
      <c r="Q1069" s="241"/>
      <c r="R1069" s="241"/>
      <c r="S1069" s="241"/>
      <c r="T1069" s="241"/>
      <c r="U1069" s="241"/>
      <c r="V1069" s="241"/>
      <c r="W1069" s="241"/>
      <c r="X1069" s="242"/>
      <c r="Y1069" s="241"/>
      <c r="Z1069" s="241"/>
      <c r="AA1069" s="241"/>
      <c r="AB1069" s="241"/>
      <c r="AC1069" s="241"/>
      <c r="AD1069" s="241"/>
      <c r="AE1069" s="241"/>
      <c r="AF1069" s="241"/>
      <c r="AG1069" s="241"/>
      <c r="AH1069" s="241"/>
      <c r="AI1069" s="241"/>
      <c r="AJ1069" s="242"/>
    </row>
    <row r="1070" hidden="1">
      <c r="A1070" s="241"/>
      <c r="B1070" s="241"/>
      <c r="C1070" s="241"/>
      <c r="D1070" s="241"/>
      <c r="E1070" s="241"/>
      <c r="F1070" s="241"/>
      <c r="G1070" s="241"/>
      <c r="H1070" s="241"/>
      <c r="I1070" s="241"/>
      <c r="J1070" s="241"/>
      <c r="K1070" s="241"/>
      <c r="L1070" s="242"/>
      <c r="M1070" s="241"/>
      <c r="N1070" s="241"/>
      <c r="O1070" s="241"/>
      <c r="P1070" s="241"/>
      <c r="Q1070" s="241"/>
      <c r="R1070" s="241"/>
      <c r="S1070" s="241"/>
      <c r="T1070" s="241"/>
      <c r="U1070" s="241"/>
      <c r="V1070" s="241"/>
      <c r="W1070" s="241"/>
      <c r="X1070" s="242"/>
      <c r="Y1070" s="241"/>
      <c r="Z1070" s="241"/>
      <c r="AA1070" s="241"/>
      <c r="AB1070" s="241"/>
      <c r="AC1070" s="241"/>
      <c r="AD1070" s="241"/>
      <c r="AE1070" s="241"/>
      <c r="AF1070" s="241"/>
      <c r="AG1070" s="241"/>
      <c r="AH1070" s="241"/>
      <c r="AI1070" s="241"/>
      <c r="AJ1070" s="242"/>
    </row>
    <row r="1071" hidden="1">
      <c r="A1071" s="241"/>
      <c r="B1071" s="241"/>
      <c r="C1071" s="241"/>
      <c r="D1071" s="241"/>
      <c r="E1071" s="241"/>
      <c r="F1071" s="241"/>
      <c r="G1071" s="241"/>
      <c r="H1071" s="241"/>
      <c r="I1071" s="241"/>
      <c r="J1071" s="241"/>
      <c r="K1071" s="241"/>
      <c r="L1071" s="242"/>
      <c r="M1071" s="241"/>
      <c r="N1071" s="241"/>
      <c r="O1071" s="241"/>
      <c r="P1071" s="241"/>
      <c r="Q1071" s="241"/>
      <c r="R1071" s="241"/>
      <c r="S1071" s="241"/>
      <c r="T1071" s="241"/>
      <c r="U1071" s="241"/>
      <c r="V1071" s="241"/>
      <c r="W1071" s="241"/>
      <c r="X1071" s="242"/>
      <c r="Y1071" s="241"/>
      <c r="Z1071" s="241"/>
      <c r="AA1071" s="241"/>
      <c r="AB1071" s="241"/>
      <c r="AC1071" s="241"/>
      <c r="AD1071" s="241"/>
      <c r="AE1071" s="241"/>
      <c r="AF1071" s="241"/>
      <c r="AG1071" s="241"/>
      <c r="AH1071" s="241"/>
      <c r="AI1071" s="241"/>
      <c r="AJ1071" s="242"/>
    </row>
    <row r="1072" hidden="1">
      <c r="A1072" s="241"/>
      <c r="B1072" s="241"/>
      <c r="C1072" s="241"/>
      <c r="D1072" s="241"/>
      <c r="E1072" s="241"/>
      <c r="F1072" s="241"/>
      <c r="G1072" s="241"/>
      <c r="H1072" s="241"/>
      <c r="I1072" s="241"/>
      <c r="J1072" s="241"/>
      <c r="K1072" s="241"/>
      <c r="L1072" s="242"/>
      <c r="M1072" s="241"/>
      <c r="N1072" s="241"/>
      <c r="O1072" s="241"/>
      <c r="P1072" s="241"/>
      <c r="Q1072" s="241"/>
      <c r="R1072" s="241"/>
      <c r="S1072" s="241"/>
      <c r="T1072" s="241"/>
      <c r="U1072" s="241"/>
      <c r="V1072" s="241"/>
      <c r="W1072" s="241"/>
      <c r="X1072" s="242"/>
      <c r="Y1072" s="241"/>
      <c r="Z1072" s="241"/>
      <c r="AA1072" s="241"/>
      <c r="AB1072" s="241"/>
      <c r="AC1072" s="241"/>
      <c r="AD1072" s="241"/>
      <c r="AE1072" s="241"/>
      <c r="AF1072" s="241"/>
      <c r="AG1072" s="241"/>
      <c r="AH1072" s="241"/>
      <c r="AI1072" s="241"/>
      <c r="AJ1072" s="242"/>
    </row>
    <row r="1073" hidden="1">
      <c r="A1073" s="241"/>
      <c r="B1073" s="241"/>
      <c r="C1073" s="241"/>
      <c r="D1073" s="241"/>
      <c r="E1073" s="241"/>
      <c r="F1073" s="241"/>
      <c r="G1073" s="241"/>
      <c r="H1073" s="241"/>
      <c r="I1073" s="241"/>
      <c r="J1073" s="241"/>
      <c r="K1073" s="241"/>
      <c r="L1073" s="242"/>
      <c r="M1073" s="241"/>
      <c r="N1073" s="241"/>
      <c r="O1073" s="241"/>
      <c r="P1073" s="241"/>
      <c r="Q1073" s="241"/>
      <c r="R1073" s="241"/>
      <c r="S1073" s="241"/>
      <c r="T1073" s="241"/>
      <c r="U1073" s="241"/>
      <c r="V1073" s="241"/>
      <c r="W1073" s="241"/>
      <c r="X1073" s="242"/>
      <c r="Y1073" s="241"/>
      <c r="Z1073" s="241"/>
      <c r="AA1073" s="241"/>
      <c r="AB1073" s="241"/>
      <c r="AC1073" s="241"/>
      <c r="AD1073" s="241"/>
      <c r="AE1073" s="241"/>
      <c r="AF1073" s="241"/>
      <c r="AG1073" s="241"/>
      <c r="AH1073" s="241"/>
      <c r="AI1073" s="241"/>
      <c r="AJ1073" s="242"/>
    </row>
    <row r="1074" hidden="1">
      <c r="A1074" s="241"/>
      <c r="B1074" s="241"/>
      <c r="C1074" s="241"/>
      <c r="D1074" s="241"/>
      <c r="E1074" s="241"/>
      <c r="F1074" s="241"/>
      <c r="G1074" s="241"/>
      <c r="H1074" s="241"/>
      <c r="I1074" s="241"/>
      <c r="J1074" s="241"/>
      <c r="K1074" s="241"/>
      <c r="L1074" s="242"/>
      <c r="M1074" s="241"/>
      <c r="N1074" s="241"/>
      <c r="O1074" s="241"/>
      <c r="P1074" s="241"/>
      <c r="Q1074" s="241"/>
      <c r="R1074" s="241"/>
      <c r="S1074" s="241"/>
      <c r="T1074" s="241"/>
      <c r="U1074" s="241"/>
      <c r="V1074" s="241"/>
      <c r="W1074" s="241"/>
      <c r="X1074" s="242"/>
      <c r="Y1074" s="241"/>
      <c r="Z1074" s="241"/>
      <c r="AA1074" s="241"/>
      <c r="AB1074" s="241"/>
      <c r="AC1074" s="241"/>
      <c r="AD1074" s="241"/>
      <c r="AE1074" s="241"/>
      <c r="AF1074" s="241"/>
      <c r="AG1074" s="241"/>
      <c r="AH1074" s="241"/>
      <c r="AI1074" s="241"/>
      <c r="AJ1074" s="242"/>
    </row>
    <row r="1075" hidden="1">
      <c r="A1075" s="241"/>
      <c r="B1075" s="241"/>
      <c r="C1075" s="241"/>
      <c r="D1075" s="241"/>
      <c r="E1075" s="241"/>
      <c r="F1075" s="241"/>
      <c r="G1075" s="241"/>
      <c r="H1075" s="241"/>
      <c r="I1075" s="241"/>
      <c r="J1075" s="241"/>
      <c r="K1075" s="241"/>
      <c r="L1075" s="242"/>
      <c r="M1075" s="241"/>
      <c r="N1075" s="241"/>
      <c r="O1075" s="241"/>
      <c r="P1075" s="241"/>
      <c r="Q1075" s="241"/>
      <c r="R1075" s="241"/>
      <c r="S1075" s="241"/>
      <c r="T1075" s="241"/>
      <c r="U1075" s="241"/>
      <c r="V1075" s="241"/>
      <c r="W1075" s="241"/>
      <c r="X1075" s="242"/>
      <c r="Y1075" s="241"/>
      <c r="Z1075" s="241"/>
      <c r="AA1075" s="241"/>
      <c r="AB1075" s="241"/>
      <c r="AC1075" s="241"/>
      <c r="AD1075" s="241"/>
      <c r="AE1075" s="241"/>
      <c r="AF1075" s="241"/>
      <c r="AG1075" s="241"/>
      <c r="AH1075" s="241"/>
      <c r="AI1075" s="241"/>
      <c r="AJ1075" s="242"/>
    </row>
    <row r="1076" hidden="1">
      <c r="A1076" s="241"/>
      <c r="B1076" s="241"/>
      <c r="C1076" s="241"/>
      <c r="D1076" s="241"/>
      <c r="E1076" s="241"/>
      <c r="F1076" s="241"/>
      <c r="G1076" s="241"/>
      <c r="H1076" s="241"/>
      <c r="I1076" s="241"/>
      <c r="J1076" s="241"/>
      <c r="K1076" s="241"/>
      <c r="L1076" s="242"/>
      <c r="M1076" s="241"/>
      <c r="N1076" s="241"/>
      <c r="O1076" s="241"/>
      <c r="P1076" s="241"/>
      <c r="Q1076" s="241"/>
      <c r="R1076" s="241"/>
      <c r="S1076" s="241"/>
      <c r="T1076" s="241"/>
      <c r="U1076" s="241"/>
      <c r="V1076" s="241"/>
      <c r="W1076" s="241"/>
      <c r="X1076" s="242"/>
      <c r="Y1076" s="241"/>
      <c r="Z1076" s="241"/>
      <c r="AA1076" s="241"/>
      <c r="AB1076" s="241"/>
      <c r="AC1076" s="241"/>
      <c r="AD1076" s="241"/>
      <c r="AE1076" s="241"/>
      <c r="AF1076" s="241"/>
      <c r="AG1076" s="241"/>
      <c r="AH1076" s="241"/>
      <c r="AI1076" s="241"/>
      <c r="AJ1076" s="242"/>
    </row>
    <row r="1077" hidden="1">
      <c r="A1077" s="241"/>
      <c r="B1077" s="241"/>
      <c r="C1077" s="241"/>
      <c r="D1077" s="241"/>
      <c r="E1077" s="241"/>
      <c r="F1077" s="241"/>
      <c r="G1077" s="241"/>
      <c r="H1077" s="241"/>
      <c r="I1077" s="241"/>
      <c r="J1077" s="241"/>
      <c r="K1077" s="241"/>
      <c r="L1077" s="242"/>
      <c r="M1077" s="241"/>
      <c r="N1077" s="241"/>
      <c r="O1077" s="241"/>
      <c r="P1077" s="241"/>
      <c r="Q1077" s="241"/>
      <c r="R1077" s="241"/>
      <c r="S1077" s="241"/>
      <c r="T1077" s="241"/>
      <c r="U1077" s="241"/>
      <c r="V1077" s="241"/>
      <c r="W1077" s="241"/>
      <c r="X1077" s="242"/>
      <c r="Y1077" s="241"/>
      <c r="Z1077" s="241"/>
      <c r="AA1077" s="241"/>
      <c r="AB1077" s="241"/>
      <c r="AC1077" s="241"/>
      <c r="AD1077" s="241"/>
      <c r="AE1077" s="241"/>
      <c r="AF1077" s="241"/>
      <c r="AG1077" s="241"/>
      <c r="AH1077" s="241"/>
      <c r="AI1077" s="241"/>
      <c r="AJ1077" s="242"/>
    </row>
    <row r="1078" hidden="1">
      <c r="A1078" s="241"/>
      <c r="B1078" s="241"/>
      <c r="C1078" s="241"/>
      <c r="D1078" s="241"/>
      <c r="E1078" s="241"/>
      <c r="F1078" s="241"/>
      <c r="G1078" s="241"/>
      <c r="H1078" s="241"/>
      <c r="I1078" s="241"/>
      <c r="J1078" s="241"/>
      <c r="K1078" s="241"/>
      <c r="L1078" s="242"/>
      <c r="M1078" s="241"/>
      <c r="N1078" s="241"/>
      <c r="O1078" s="241"/>
      <c r="P1078" s="241"/>
      <c r="Q1078" s="241"/>
      <c r="R1078" s="241"/>
      <c r="S1078" s="241"/>
      <c r="T1078" s="241"/>
      <c r="U1078" s="241"/>
      <c r="V1078" s="241"/>
      <c r="W1078" s="241"/>
      <c r="X1078" s="242"/>
      <c r="Y1078" s="241"/>
      <c r="Z1078" s="241"/>
      <c r="AA1078" s="241"/>
      <c r="AB1078" s="241"/>
      <c r="AC1078" s="241"/>
      <c r="AD1078" s="241"/>
      <c r="AE1078" s="241"/>
      <c r="AF1078" s="241"/>
      <c r="AG1078" s="241"/>
      <c r="AH1078" s="241"/>
      <c r="AI1078" s="241"/>
      <c r="AJ1078" s="242"/>
    </row>
    <row r="1079" hidden="1">
      <c r="A1079" s="241"/>
      <c r="B1079" s="241"/>
      <c r="C1079" s="241"/>
      <c r="D1079" s="241"/>
      <c r="E1079" s="241"/>
      <c r="F1079" s="241"/>
      <c r="G1079" s="241"/>
      <c r="H1079" s="241"/>
      <c r="I1079" s="241"/>
      <c r="J1079" s="241"/>
      <c r="K1079" s="241"/>
      <c r="L1079" s="242"/>
      <c r="M1079" s="241"/>
      <c r="N1079" s="241"/>
      <c r="O1079" s="241"/>
      <c r="P1079" s="241"/>
      <c r="Q1079" s="241"/>
      <c r="R1079" s="241"/>
      <c r="S1079" s="241"/>
      <c r="T1079" s="241"/>
      <c r="U1079" s="241"/>
      <c r="V1079" s="241"/>
      <c r="W1079" s="241"/>
      <c r="X1079" s="242"/>
      <c r="Y1079" s="241"/>
      <c r="Z1079" s="241"/>
      <c r="AA1079" s="241"/>
      <c r="AB1079" s="241"/>
      <c r="AC1079" s="241"/>
      <c r="AD1079" s="241"/>
      <c r="AE1079" s="241"/>
      <c r="AF1079" s="241"/>
      <c r="AG1079" s="241"/>
      <c r="AH1079" s="241"/>
      <c r="AI1079" s="241"/>
      <c r="AJ1079" s="242"/>
    </row>
    <row r="1080" hidden="1">
      <c r="A1080" s="241"/>
      <c r="B1080" s="241"/>
      <c r="C1080" s="241"/>
      <c r="D1080" s="241"/>
      <c r="E1080" s="241"/>
      <c r="F1080" s="241"/>
      <c r="G1080" s="241"/>
      <c r="H1080" s="241"/>
      <c r="I1080" s="241"/>
      <c r="J1080" s="241"/>
      <c r="K1080" s="241"/>
      <c r="L1080" s="242"/>
      <c r="M1080" s="241"/>
      <c r="N1080" s="241"/>
      <c r="O1080" s="241"/>
      <c r="P1080" s="241"/>
      <c r="Q1080" s="241"/>
      <c r="R1080" s="241"/>
      <c r="S1080" s="241"/>
      <c r="T1080" s="241"/>
      <c r="U1080" s="241"/>
      <c r="V1080" s="241"/>
      <c r="W1080" s="241"/>
      <c r="X1080" s="242"/>
      <c r="Y1080" s="241"/>
      <c r="Z1080" s="241"/>
      <c r="AA1080" s="241"/>
      <c r="AB1080" s="241"/>
      <c r="AC1080" s="241"/>
      <c r="AD1080" s="241"/>
      <c r="AE1080" s="241"/>
      <c r="AF1080" s="241"/>
      <c r="AG1080" s="241"/>
      <c r="AH1080" s="241"/>
      <c r="AI1080" s="241"/>
      <c r="AJ1080" s="242"/>
    </row>
    <row r="1081" hidden="1">
      <c r="A1081" s="241"/>
      <c r="B1081" s="241"/>
      <c r="C1081" s="241"/>
      <c r="D1081" s="241"/>
      <c r="E1081" s="241"/>
      <c r="F1081" s="241"/>
      <c r="G1081" s="241"/>
      <c r="H1081" s="241"/>
      <c r="I1081" s="241"/>
      <c r="J1081" s="241"/>
      <c r="K1081" s="241"/>
      <c r="L1081" s="242"/>
      <c r="M1081" s="241"/>
      <c r="N1081" s="241"/>
      <c r="O1081" s="241"/>
      <c r="P1081" s="241"/>
      <c r="Q1081" s="241"/>
      <c r="R1081" s="241"/>
      <c r="S1081" s="241"/>
      <c r="T1081" s="241"/>
      <c r="U1081" s="241"/>
      <c r="V1081" s="241"/>
      <c r="W1081" s="241"/>
      <c r="X1081" s="242"/>
      <c r="Y1081" s="241"/>
      <c r="Z1081" s="241"/>
      <c r="AA1081" s="241"/>
      <c r="AB1081" s="241"/>
      <c r="AC1081" s="241"/>
      <c r="AD1081" s="241"/>
      <c r="AE1081" s="241"/>
      <c r="AF1081" s="241"/>
      <c r="AG1081" s="241"/>
      <c r="AH1081" s="241"/>
      <c r="AI1081" s="241"/>
      <c r="AJ1081" s="242"/>
    </row>
    <row r="1082" hidden="1">
      <c r="A1082" s="241"/>
      <c r="B1082" s="241"/>
      <c r="C1082" s="241"/>
      <c r="D1082" s="241"/>
      <c r="E1082" s="241"/>
      <c r="F1082" s="241"/>
      <c r="G1082" s="241"/>
      <c r="H1082" s="241"/>
      <c r="I1082" s="241"/>
      <c r="J1082" s="241"/>
      <c r="K1082" s="241"/>
      <c r="L1082" s="242"/>
      <c r="M1082" s="241"/>
      <c r="N1082" s="241"/>
      <c r="O1082" s="241"/>
      <c r="P1082" s="241"/>
      <c r="Q1082" s="241"/>
      <c r="R1082" s="241"/>
      <c r="S1082" s="241"/>
      <c r="T1082" s="241"/>
      <c r="U1082" s="241"/>
      <c r="V1082" s="241"/>
      <c r="W1082" s="241"/>
      <c r="X1082" s="242"/>
      <c r="Y1082" s="241"/>
      <c r="Z1082" s="241"/>
      <c r="AA1082" s="241"/>
      <c r="AB1082" s="241"/>
      <c r="AC1082" s="241"/>
      <c r="AD1082" s="241"/>
      <c r="AE1082" s="241"/>
      <c r="AF1082" s="241"/>
      <c r="AG1082" s="241"/>
      <c r="AH1082" s="241"/>
      <c r="AI1082" s="241"/>
      <c r="AJ1082" s="242"/>
    </row>
    <row r="1083" hidden="1">
      <c r="A1083" s="241"/>
      <c r="B1083" s="241"/>
      <c r="C1083" s="241"/>
      <c r="D1083" s="241"/>
      <c r="E1083" s="241"/>
      <c r="F1083" s="241"/>
      <c r="G1083" s="241"/>
      <c r="H1083" s="241"/>
      <c r="I1083" s="241"/>
      <c r="J1083" s="241"/>
      <c r="K1083" s="241"/>
      <c r="L1083" s="242"/>
      <c r="M1083" s="241"/>
      <c r="N1083" s="241"/>
      <c r="O1083" s="241"/>
      <c r="P1083" s="241"/>
      <c r="Q1083" s="241"/>
      <c r="R1083" s="241"/>
      <c r="S1083" s="241"/>
      <c r="T1083" s="241"/>
      <c r="U1083" s="241"/>
      <c r="V1083" s="241"/>
      <c r="W1083" s="241"/>
      <c r="X1083" s="242"/>
      <c r="Y1083" s="241"/>
      <c r="Z1083" s="241"/>
      <c r="AA1083" s="241"/>
      <c r="AB1083" s="241"/>
      <c r="AC1083" s="241"/>
      <c r="AD1083" s="241"/>
      <c r="AE1083" s="241"/>
      <c r="AF1083" s="241"/>
      <c r="AG1083" s="241"/>
      <c r="AH1083" s="241"/>
      <c r="AI1083" s="241"/>
      <c r="AJ1083" s="242"/>
    </row>
    <row r="1084" hidden="1">
      <c r="A1084" s="241"/>
      <c r="B1084" s="241"/>
      <c r="C1084" s="241"/>
      <c r="D1084" s="241"/>
      <c r="E1084" s="241"/>
      <c r="F1084" s="241"/>
      <c r="G1084" s="241"/>
      <c r="H1084" s="241"/>
      <c r="I1084" s="241"/>
      <c r="J1084" s="241"/>
      <c r="K1084" s="241"/>
      <c r="L1084" s="242"/>
      <c r="M1084" s="241"/>
      <c r="N1084" s="241"/>
      <c r="O1084" s="241"/>
      <c r="P1084" s="241"/>
      <c r="Q1084" s="241"/>
      <c r="R1084" s="241"/>
      <c r="S1084" s="241"/>
      <c r="T1084" s="241"/>
      <c r="U1084" s="241"/>
      <c r="V1084" s="241"/>
      <c r="W1084" s="241"/>
      <c r="X1084" s="242"/>
      <c r="Y1084" s="241"/>
      <c r="Z1084" s="241"/>
      <c r="AA1084" s="241"/>
      <c r="AB1084" s="241"/>
      <c r="AC1084" s="241"/>
      <c r="AD1084" s="241"/>
      <c r="AE1084" s="241"/>
      <c r="AF1084" s="241"/>
      <c r="AG1084" s="241"/>
      <c r="AH1084" s="241"/>
      <c r="AI1084" s="241"/>
      <c r="AJ1084" s="242"/>
    </row>
    <row r="1085" hidden="1">
      <c r="A1085" s="241"/>
      <c r="B1085" s="241"/>
      <c r="C1085" s="241"/>
      <c r="D1085" s="241"/>
      <c r="E1085" s="241"/>
      <c r="F1085" s="241"/>
      <c r="G1085" s="241"/>
      <c r="H1085" s="241"/>
      <c r="I1085" s="241"/>
      <c r="J1085" s="241"/>
      <c r="K1085" s="241"/>
      <c r="L1085" s="242"/>
      <c r="M1085" s="241"/>
      <c r="N1085" s="241"/>
      <c r="O1085" s="241"/>
      <c r="P1085" s="241"/>
      <c r="Q1085" s="241"/>
      <c r="R1085" s="241"/>
      <c r="S1085" s="241"/>
      <c r="T1085" s="241"/>
      <c r="U1085" s="241"/>
      <c r="V1085" s="241"/>
      <c r="W1085" s="241"/>
      <c r="X1085" s="242"/>
      <c r="Y1085" s="241"/>
      <c r="Z1085" s="241"/>
      <c r="AA1085" s="241"/>
      <c r="AB1085" s="241"/>
      <c r="AC1085" s="241"/>
      <c r="AD1085" s="241"/>
      <c r="AE1085" s="241"/>
      <c r="AF1085" s="241"/>
      <c r="AG1085" s="241"/>
      <c r="AH1085" s="241"/>
      <c r="AI1085" s="241"/>
      <c r="AJ1085" s="242"/>
    </row>
    <row r="1086" hidden="1">
      <c r="A1086" s="241"/>
      <c r="B1086" s="241"/>
      <c r="C1086" s="241"/>
      <c r="D1086" s="241"/>
      <c r="E1086" s="241"/>
      <c r="F1086" s="241"/>
      <c r="G1086" s="241"/>
      <c r="H1086" s="241"/>
      <c r="I1086" s="241"/>
      <c r="J1086" s="241"/>
      <c r="K1086" s="241"/>
      <c r="L1086" s="242"/>
      <c r="M1086" s="241"/>
      <c r="N1086" s="241"/>
      <c r="O1086" s="241"/>
      <c r="P1086" s="241"/>
      <c r="Q1086" s="241"/>
      <c r="R1086" s="241"/>
      <c r="S1086" s="241"/>
      <c r="T1086" s="241"/>
      <c r="U1086" s="241"/>
      <c r="V1086" s="241"/>
      <c r="W1086" s="241"/>
      <c r="X1086" s="242"/>
      <c r="Y1086" s="241"/>
      <c r="Z1086" s="241"/>
      <c r="AA1086" s="241"/>
      <c r="AB1086" s="241"/>
      <c r="AC1086" s="241"/>
      <c r="AD1086" s="241"/>
      <c r="AE1086" s="241"/>
      <c r="AF1086" s="241"/>
      <c r="AG1086" s="241"/>
      <c r="AH1086" s="241"/>
      <c r="AI1086" s="241"/>
      <c r="AJ1086" s="242"/>
    </row>
    <row r="1087" hidden="1">
      <c r="A1087" s="241"/>
      <c r="B1087" s="241"/>
      <c r="C1087" s="241"/>
      <c r="D1087" s="241"/>
      <c r="E1087" s="241"/>
      <c r="F1087" s="241"/>
      <c r="G1087" s="241"/>
      <c r="H1087" s="241"/>
      <c r="I1087" s="241"/>
      <c r="J1087" s="241"/>
      <c r="K1087" s="241"/>
      <c r="L1087" s="242"/>
      <c r="M1087" s="241"/>
      <c r="N1087" s="241"/>
      <c r="O1087" s="241"/>
      <c r="P1087" s="241"/>
      <c r="Q1087" s="241"/>
      <c r="R1087" s="241"/>
      <c r="S1087" s="241"/>
      <c r="T1087" s="241"/>
      <c r="U1087" s="241"/>
      <c r="V1087" s="241"/>
      <c r="W1087" s="241"/>
      <c r="X1087" s="242"/>
      <c r="Y1087" s="241"/>
      <c r="Z1087" s="241"/>
      <c r="AA1087" s="241"/>
      <c r="AB1087" s="241"/>
      <c r="AC1087" s="241"/>
      <c r="AD1087" s="241"/>
      <c r="AE1087" s="241"/>
      <c r="AF1087" s="241"/>
      <c r="AG1087" s="241"/>
      <c r="AH1087" s="241"/>
      <c r="AI1087" s="241"/>
      <c r="AJ1087" s="242"/>
    </row>
    <row r="1088" hidden="1">
      <c r="A1088" s="241"/>
      <c r="B1088" s="241"/>
      <c r="C1088" s="241"/>
      <c r="D1088" s="241"/>
      <c r="E1088" s="241"/>
      <c r="F1088" s="241"/>
      <c r="G1088" s="241"/>
      <c r="H1088" s="241"/>
      <c r="I1088" s="241"/>
      <c r="J1088" s="241"/>
      <c r="K1088" s="241"/>
      <c r="L1088" s="242"/>
      <c r="M1088" s="241"/>
      <c r="N1088" s="241"/>
      <c r="O1088" s="241"/>
      <c r="P1088" s="241"/>
      <c r="Q1088" s="241"/>
      <c r="R1088" s="241"/>
      <c r="S1088" s="241"/>
      <c r="T1088" s="241"/>
      <c r="U1088" s="241"/>
      <c r="V1088" s="241"/>
      <c r="W1088" s="241"/>
      <c r="X1088" s="242"/>
      <c r="Y1088" s="241"/>
      <c r="Z1088" s="241"/>
      <c r="AA1088" s="241"/>
      <c r="AB1088" s="241"/>
      <c r="AC1088" s="241"/>
      <c r="AD1088" s="241"/>
      <c r="AE1088" s="241"/>
      <c r="AF1088" s="241"/>
      <c r="AG1088" s="241"/>
      <c r="AH1088" s="241"/>
      <c r="AI1088" s="241"/>
      <c r="AJ1088" s="242"/>
    </row>
    <row r="1089" hidden="1">
      <c r="A1089" s="241"/>
      <c r="B1089" s="241"/>
      <c r="C1089" s="241"/>
      <c r="D1089" s="241"/>
      <c r="E1089" s="241"/>
      <c r="F1089" s="241"/>
      <c r="G1089" s="241"/>
      <c r="H1089" s="241"/>
      <c r="I1089" s="241"/>
      <c r="J1089" s="241"/>
      <c r="K1089" s="241"/>
      <c r="L1089" s="242"/>
      <c r="M1089" s="241"/>
      <c r="N1089" s="241"/>
      <c r="O1089" s="241"/>
      <c r="P1089" s="241"/>
      <c r="Q1089" s="241"/>
      <c r="R1089" s="241"/>
      <c r="S1089" s="241"/>
      <c r="T1089" s="241"/>
      <c r="U1089" s="241"/>
      <c r="V1089" s="241"/>
      <c r="W1089" s="241"/>
      <c r="X1089" s="242"/>
      <c r="Y1089" s="241"/>
      <c r="Z1089" s="241"/>
      <c r="AA1089" s="241"/>
      <c r="AB1089" s="241"/>
      <c r="AC1089" s="241"/>
      <c r="AD1089" s="241"/>
      <c r="AE1089" s="241"/>
      <c r="AF1089" s="241"/>
      <c r="AG1089" s="241"/>
      <c r="AH1089" s="241"/>
      <c r="AI1089" s="241"/>
      <c r="AJ1089" s="242"/>
    </row>
    <row r="1090" hidden="1">
      <c r="A1090" s="241"/>
      <c r="B1090" s="241"/>
      <c r="C1090" s="241"/>
      <c r="D1090" s="241"/>
      <c r="E1090" s="241"/>
      <c r="F1090" s="241"/>
      <c r="G1090" s="241"/>
      <c r="H1090" s="241"/>
      <c r="I1090" s="241"/>
      <c r="J1090" s="241"/>
      <c r="K1090" s="241"/>
      <c r="L1090" s="242"/>
      <c r="M1090" s="241"/>
      <c r="N1090" s="241"/>
      <c r="O1090" s="241"/>
      <c r="P1090" s="241"/>
      <c r="Q1090" s="241"/>
      <c r="R1090" s="241"/>
      <c r="S1090" s="241"/>
      <c r="T1090" s="241"/>
      <c r="U1090" s="241"/>
      <c r="V1090" s="241"/>
      <c r="W1090" s="241"/>
      <c r="X1090" s="242"/>
      <c r="Y1090" s="241"/>
      <c r="Z1090" s="241"/>
      <c r="AA1090" s="241"/>
      <c r="AB1090" s="241"/>
      <c r="AC1090" s="241"/>
      <c r="AD1090" s="241"/>
      <c r="AE1090" s="241"/>
      <c r="AF1090" s="241"/>
      <c r="AG1090" s="241"/>
      <c r="AH1090" s="241"/>
      <c r="AI1090" s="241"/>
      <c r="AJ1090" s="242"/>
    </row>
    <row r="1091" hidden="1">
      <c r="A1091" s="241"/>
      <c r="B1091" s="241"/>
      <c r="C1091" s="241"/>
      <c r="D1091" s="241"/>
      <c r="E1091" s="241"/>
      <c r="F1091" s="241"/>
      <c r="G1091" s="241"/>
      <c r="H1091" s="241"/>
      <c r="I1091" s="241"/>
      <c r="J1091" s="241"/>
      <c r="K1091" s="241"/>
      <c r="L1091" s="242"/>
      <c r="M1091" s="241"/>
      <c r="N1091" s="241"/>
      <c r="O1091" s="241"/>
      <c r="P1091" s="241"/>
      <c r="Q1091" s="241"/>
      <c r="R1091" s="241"/>
      <c r="S1091" s="241"/>
      <c r="T1091" s="241"/>
      <c r="U1091" s="241"/>
      <c r="V1091" s="241"/>
      <c r="W1091" s="241"/>
      <c r="X1091" s="242"/>
      <c r="Y1091" s="241"/>
      <c r="Z1091" s="241"/>
      <c r="AA1091" s="241"/>
      <c r="AB1091" s="241"/>
      <c r="AC1091" s="241"/>
      <c r="AD1091" s="241"/>
      <c r="AE1091" s="241"/>
      <c r="AF1091" s="241"/>
      <c r="AG1091" s="241"/>
      <c r="AH1091" s="241"/>
      <c r="AI1091" s="241"/>
      <c r="AJ1091" s="242"/>
    </row>
    <row r="1092" hidden="1">
      <c r="A1092" s="241"/>
      <c r="B1092" s="241"/>
      <c r="C1092" s="241"/>
      <c r="D1092" s="241"/>
      <c r="E1092" s="241"/>
      <c r="F1092" s="241"/>
      <c r="G1092" s="241"/>
      <c r="H1092" s="241"/>
      <c r="I1092" s="241"/>
      <c r="J1092" s="241"/>
      <c r="K1092" s="241"/>
      <c r="L1092" s="242"/>
      <c r="M1092" s="241"/>
      <c r="N1092" s="241"/>
      <c r="O1092" s="241"/>
      <c r="P1092" s="241"/>
      <c r="Q1092" s="241"/>
      <c r="R1092" s="241"/>
      <c r="S1092" s="241"/>
      <c r="T1092" s="241"/>
      <c r="U1092" s="241"/>
      <c r="V1092" s="241"/>
      <c r="W1092" s="241"/>
      <c r="X1092" s="242"/>
      <c r="Y1092" s="241"/>
      <c r="Z1092" s="241"/>
      <c r="AA1092" s="241"/>
      <c r="AB1092" s="241"/>
      <c r="AC1092" s="241"/>
      <c r="AD1092" s="241"/>
      <c r="AE1092" s="241"/>
      <c r="AF1092" s="241"/>
      <c r="AG1092" s="241"/>
      <c r="AH1092" s="241"/>
      <c r="AI1092" s="241"/>
      <c r="AJ1092" s="242"/>
    </row>
    <row r="1093" hidden="1">
      <c r="A1093" s="241"/>
      <c r="B1093" s="241"/>
      <c r="C1093" s="241"/>
      <c r="D1093" s="241"/>
      <c r="E1093" s="241"/>
      <c r="F1093" s="241"/>
      <c r="G1093" s="241"/>
      <c r="H1093" s="241"/>
      <c r="I1093" s="241"/>
      <c r="J1093" s="241"/>
      <c r="K1093" s="241"/>
      <c r="L1093" s="242"/>
      <c r="M1093" s="241"/>
      <c r="N1093" s="241"/>
      <c r="O1093" s="241"/>
      <c r="P1093" s="241"/>
      <c r="Q1093" s="241"/>
      <c r="R1093" s="241"/>
      <c r="S1093" s="241"/>
      <c r="T1093" s="241"/>
      <c r="U1093" s="241"/>
      <c r="V1093" s="241"/>
      <c r="W1093" s="241"/>
      <c r="X1093" s="242"/>
      <c r="Y1093" s="241"/>
      <c r="Z1093" s="241"/>
      <c r="AA1093" s="241"/>
      <c r="AB1093" s="241"/>
      <c r="AC1093" s="241"/>
      <c r="AD1093" s="241"/>
      <c r="AE1093" s="241"/>
      <c r="AF1093" s="241"/>
      <c r="AG1093" s="241"/>
      <c r="AH1093" s="241"/>
      <c r="AI1093" s="241"/>
      <c r="AJ1093" s="242"/>
    </row>
    <row r="1094" hidden="1">
      <c r="A1094" s="241"/>
      <c r="B1094" s="241"/>
      <c r="C1094" s="241"/>
      <c r="D1094" s="241"/>
      <c r="E1094" s="241"/>
      <c r="F1094" s="241"/>
      <c r="G1094" s="241"/>
      <c r="H1094" s="241"/>
      <c r="I1094" s="241"/>
      <c r="J1094" s="241"/>
      <c r="K1094" s="241"/>
      <c r="L1094" s="242"/>
      <c r="M1094" s="241"/>
      <c r="N1094" s="241"/>
      <c r="O1094" s="241"/>
      <c r="P1094" s="241"/>
      <c r="Q1094" s="241"/>
      <c r="R1094" s="241"/>
      <c r="S1094" s="241"/>
      <c r="T1094" s="241"/>
      <c r="U1094" s="241"/>
      <c r="V1094" s="241"/>
      <c r="W1094" s="241"/>
      <c r="X1094" s="242"/>
      <c r="Y1094" s="241"/>
      <c r="Z1094" s="241"/>
      <c r="AA1094" s="241"/>
      <c r="AB1094" s="241"/>
      <c r="AC1094" s="241"/>
      <c r="AD1094" s="241"/>
      <c r="AE1094" s="241"/>
      <c r="AF1094" s="241"/>
      <c r="AG1094" s="241"/>
      <c r="AH1094" s="241"/>
      <c r="AI1094" s="241"/>
      <c r="AJ1094" s="242"/>
    </row>
    <row r="1095" hidden="1">
      <c r="A1095" s="241"/>
      <c r="B1095" s="241"/>
      <c r="C1095" s="241"/>
      <c r="D1095" s="241"/>
      <c r="E1095" s="241"/>
      <c r="F1095" s="241"/>
      <c r="G1095" s="241"/>
      <c r="H1095" s="241"/>
      <c r="I1095" s="241"/>
      <c r="J1095" s="241"/>
      <c r="K1095" s="241"/>
      <c r="L1095" s="242"/>
      <c r="M1095" s="241"/>
      <c r="N1095" s="241"/>
      <c r="O1095" s="241"/>
      <c r="P1095" s="241"/>
      <c r="Q1095" s="241"/>
      <c r="R1095" s="241"/>
      <c r="S1095" s="241"/>
      <c r="T1095" s="241"/>
      <c r="U1095" s="241"/>
      <c r="V1095" s="241"/>
      <c r="W1095" s="241"/>
      <c r="X1095" s="242"/>
      <c r="Y1095" s="241"/>
      <c r="Z1095" s="241"/>
      <c r="AA1095" s="241"/>
      <c r="AB1095" s="241"/>
      <c r="AC1095" s="241"/>
      <c r="AD1095" s="241"/>
      <c r="AE1095" s="241"/>
      <c r="AF1095" s="241"/>
      <c r="AG1095" s="241"/>
      <c r="AH1095" s="241"/>
      <c r="AI1095" s="241"/>
      <c r="AJ1095" s="242"/>
    </row>
    <row r="1096" hidden="1">
      <c r="A1096" s="241"/>
      <c r="B1096" s="241"/>
      <c r="C1096" s="241"/>
      <c r="D1096" s="241"/>
      <c r="E1096" s="241"/>
      <c r="F1096" s="241"/>
      <c r="G1096" s="241"/>
      <c r="H1096" s="241"/>
      <c r="I1096" s="241"/>
      <c r="J1096" s="241"/>
      <c r="K1096" s="241"/>
      <c r="L1096" s="242"/>
      <c r="M1096" s="241"/>
      <c r="N1096" s="241"/>
      <c r="O1096" s="241"/>
      <c r="P1096" s="241"/>
      <c r="Q1096" s="241"/>
      <c r="R1096" s="241"/>
      <c r="S1096" s="241"/>
      <c r="T1096" s="241"/>
      <c r="U1096" s="241"/>
      <c r="V1096" s="241"/>
      <c r="W1096" s="241"/>
      <c r="X1096" s="242"/>
      <c r="Y1096" s="241"/>
      <c r="Z1096" s="241"/>
      <c r="AA1096" s="241"/>
      <c r="AB1096" s="241"/>
      <c r="AC1096" s="241"/>
      <c r="AD1096" s="241"/>
      <c r="AE1096" s="241"/>
      <c r="AF1096" s="241"/>
      <c r="AG1096" s="241"/>
      <c r="AH1096" s="241"/>
      <c r="AI1096" s="241"/>
      <c r="AJ1096" s="242"/>
    </row>
    <row r="1097" hidden="1">
      <c r="A1097" s="241"/>
      <c r="B1097" s="241"/>
      <c r="C1097" s="241"/>
      <c r="D1097" s="241"/>
      <c r="E1097" s="241"/>
      <c r="F1097" s="241"/>
      <c r="G1097" s="241"/>
      <c r="H1097" s="241"/>
      <c r="I1097" s="241"/>
      <c r="J1097" s="241"/>
      <c r="K1097" s="241"/>
      <c r="L1097" s="242"/>
      <c r="M1097" s="241"/>
      <c r="N1097" s="241"/>
      <c r="O1097" s="241"/>
      <c r="P1097" s="241"/>
      <c r="Q1097" s="241"/>
      <c r="R1097" s="241"/>
      <c r="S1097" s="241"/>
      <c r="T1097" s="241"/>
      <c r="U1097" s="241"/>
      <c r="V1097" s="241"/>
      <c r="W1097" s="241"/>
      <c r="X1097" s="242"/>
      <c r="Y1097" s="241"/>
      <c r="Z1097" s="241"/>
      <c r="AA1097" s="241"/>
      <c r="AB1097" s="241"/>
      <c r="AC1097" s="241"/>
      <c r="AD1097" s="241"/>
      <c r="AE1097" s="241"/>
      <c r="AF1097" s="241"/>
      <c r="AG1097" s="241"/>
      <c r="AH1097" s="241"/>
      <c r="AI1097" s="241"/>
      <c r="AJ1097" s="242"/>
    </row>
    <row r="1098" hidden="1">
      <c r="A1098" s="241"/>
      <c r="B1098" s="241"/>
      <c r="C1098" s="241"/>
      <c r="D1098" s="241"/>
      <c r="E1098" s="241"/>
      <c r="F1098" s="241"/>
      <c r="G1098" s="241"/>
      <c r="H1098" s="241"/>
      <c r="I1098" s="241"/>
      <c r="J1098" s="241"/>
      <c r="K1098" s="241"/>
      <c r="L1098" s="242"/>
      <c r="M1098" s="241"/>
      <c r="N1098" s="241"/>
      <c r="O1098" s="241"/>
      <c r="P1098" s="241"/>
      <c r="Q1098" s="241"/>
      <c r="R1098" s="241"/>
      <c r="S1098" s="241"/>
      <c r="T1098" s="241"/>
      <c r="U1098" s="241"/>
      <c r="V1098" s="241"/>
      <c r="W1098" s="241"/>
      <c r="X1098" s="242"/>
      <c r="Y1098" s="241"/>
      <c r="Z1098" s="241"/>
      <c r="AA1098" s="241"/>
      <c r="AB1098" s="241"/>
      <c r="AC1098" s="241"/>
      <c r="AD1098" s="241"/>
      <c r="AE1098" s="241"/>
      <c r="AF1098" s="241"/>
      <c r="AG1098" s="241"/>
      <c r="AH1098" s="241"/>
      <c r="AI1098" s="241"/>
      <c r="AJ1098" s="242"/>
    </row>
    <row r="1099" hidden="1">
      <c r="A1099" s="241"/>
      <c r="B1099" s="241"/>
      <c r="C1099" s="241"/>
      <c r="D1099" s="241"/>
      <c r="E1099" s="241"/>
      <c r="F1099" s="241"/>
      <c r="G1099" s="241"/>
      <c r="H1099" s="241"/>
      <c r="I1099" s="241"/>
      <c r="J1099" s="241"/>
      <c r="K1099" s="241"/>
      <c r="L1099" s="242"/>
      <c r="M1099" s="241"/>
      <c r="N1099" s="241"/>
      <c r="O1099" s="241"/>
      <c r="P1099" s="241"/>
      <c r="Q1099" s="241"/>
      <c r="R1099" s="241"/>
      <c r="S1099" s="241"/>
      <c r="T1099" s="241"/>
      <c r="U1099" s="241"/>
      <c r="V1099" s="241"/>
      <c r="W1099" s="241"/>
      <c r="X1099" s="242"/>
      <c r="Y1099" s="241"/>
      <c r="Z1099" s="241"/>
      <c r="AA1099" s="241"/>
      <c r="AB1099" s="241"/>
      <c r="AC1099" s="241"/>
      <c r="AD1099" s="241"/>
      <c r="AE1099" s="241"/>
      <c r="AF1099" s="241"/>
      <c r="AG1099" s="241"/>
      <c r="AH1099" s="241"/>
      <c r="AI1099" s="241"/>
      <c r="AJ1099" s="242"/>
    </row>
    <row r="1100" hidden="1">
      <c r="A1100" s="241"/>
      <c r="B1100" s="241"/>
      <c r="C1100" s="241"/>
      <c r="D1100" s="241"/>
      <c r="E1100" s="241"/>
      <c r="F1100" s="241"/>
      <c r="G1100" s="241"/>
      <c r="H1100" s="241"/>
      <c r="I1100" s="241"/>
      <c r="J1100" s="241"/>
      <c r="K1100" s="241"/>
      <c r="L1100" s="242"/>
      <c r="M1100" s="241"/>
      <c r="N1100" s="241"/>
      <c r="O1100" s="241"/>
      <c r="P1100" s="241"/>
      <c r="Q1100" s="241"/>
      <c r="R1100" s="241"/>
      <c r="S1100" s="241"/>
      <c r="T1100" s="241"/>
      <c r="U1100" s="241"/>
      <c r="V1100" s="241"/>
      <c r="W1100" s="241"/>
      <c r="X1100" s="242"/>
      <c r="Y1100" s="241"/>
      <c r="Z1100" s="241"/>
      <c r="AA1100" s="241"/>
      <c r="AB1100" s="241"/>
      <c r="AC1100" s="241"/>
      <c r="AD1100" s="241"/>
      <c r="AE1100" s="241"/>
      <c r="AF1100" s="241"/>
      <c r="AG1100" s="241"/>
      <c r="AH1100" s="241"/>
      <c r="AI1100" s="241"/>
      <c r="AJ1100" s="242"/>
    </row>
    <row r="1101" hidden="1">
      <c r="A1101" s="241"/>
      <c r="B1101" s="241"/>
      <c r="C1101" s="241"/>
      <c r="D1101" s="241"/>
      <c r="E1101" s="241"/>
      <c r="F1101" s="241"/>
      <c r="G1101" s="241"/>
      <c r="H1101" s="241"/>
      <c r="I1101" s="241"/>
      <c r="J1101" s="241"/>
      <c r="K1101" s="241"/>
      <c r="L1101" s="242"/>
      <c r="M1101" s="241"/>
      <c r="N1101" s="241"/>
      <c r="O1101" s="241"/>
      <c r="P1101" s="241"/>
      <c r="Q1101" s="241"/>
      <c r="R1101" s="241"/>
      <c r="S1101" s="241"/>
      <c r="T1101" s="241"/>
      <c r="U1101" s="241"/>
      <c r="V1101" s="241"/>
      <c r="W1101" s="241"/>
      <c r="X1101" s="242"/>
      <c r="Y1101" s="241"/>
      <c r="Z1101" s="241"/>
      <c r="AA1101" s="241"/>
      <c r="AB1101" s="241"/>
      <c r="AC1101" s="241"/>
      <c r="AD1101" s="241"/>
      <c r="AE1101" s="241"/>
      <c r="AF1101" s="241"/>
      <c r="AG1101" s="241"/>
      <c r="AH1101" s="241"/>
      <c r="AI1101" s="241"/>
      <c r="AJ1101" s="242"/>
    </row>
    <row r="1102" hidden="1">
      <c r="A1102" s="241"/>
      <c r="B1102" s="241"/>
      <c r="C1102" s="241"/>
      <c r="D1102" s="241"/>
      <c r="E1102" s="241"/>
      <c r="F1102" s="241"/>
      <c r="G1102" s="241"/>
      <c r="H1102" s="241"/>
      <c r="I1102" s="241"/>
      <c r="J1102" s="241"/>
      <c r="K1102" s="241"/>
      <c r="L1102" s="242"/>
      <c r="M1102" s="241"/>
      <c r="N1102" s="241"/>
      <c r="O1102" s="241"/>
      <c r="P1102" s="241"/>
      <c r="Q1102" s="241"/>
      <c r="R1102" s="241"/>
      <c r="S1102" s="241"/>
      <c r="T1102" s="241"/>
      <c r="U1102" s="241"/>
      <c r="V1102" s="241"/>
      <c r="W1102" s="241"/>
      <c r="X1102" s="242"/>
      <c r="Y1102" s="241"/>
      <c r="Z1102" s="241"/>
      <c r="AA1102" s="241"/>
      <c r="AB1102" s="241"/>
      <c r="AC1102" s="241"/>
      <c r="AD1102" s="241"/>
      <c r="AE1102" s="241"/>
      <c r="AF1102" s="241"/>
      <c r="AG1102" s="241"/>
      <c r="AH1102" s="241"/>
      <c r="AI1102" s="241"/>
      <c r="AJ1102" s="242"/>
    </row>
    <row r="1103" hidden="1">
      <c r="A1103" s="241"/>
      <c r="B1103" s="241"/>
      <c r="C1103" s="241"/>
      <c r="D1103" s="241"/>
      <c r="E1103" s="241"/>
      <c r="F1103" s="241"/>
      <c r="G1103" s="241"/>
      <c r="H1103" s="241"/>
      <c r="I1103" s="241"/>
      <c r="J1103" s="241"/>
      <c r="K1103" s="241"/>
      <c r="L1103" s="242"/>
      <c r="M1103" s="241"/>
      <c r="N1103" s="241"/>
      <c r="O1103" s="241"/>
      <c r="P1103" s="241"/>
      <c r="Q1103" s="241"/>
      <c r="R1103" s="241"/>
      <c r="S1103" s="241"/>
      <c r="T1103" s="241"/>
      <c r="U1103" s="241"/>
      <c r="V1103" s="241"/>
      <c r="W1103" s="241"/>
      <c r="X1103" s="242"/>
      <c r="Y1103" s="241"/>
      <c r="Z1103" s="241"/>
      <c r="AA1103" s="241"/>
      <c r="AB1103" s="241"/>
      <c r="AC1103" s="241"/>
      <c r="AD1103" s="241"/>
      <c r="AE1103" s="241"/>
      <c r="AF1103" s="241"/>
      <c r="AG1103" s="241"/>
      <c r="AH1103" s="241"/>
      <c r="AI1103" s="241"/>
      <c r="AJ1103" s="242"/>
    </row>
    <row r="1104" hidden="1">
      <c r="A1104" s="241"/>
      <c r="B1104" s="241"/>
      <c r="C1104" s="241"/>
      <c r="D1104" s="241"/>
      <c r="E1104" s="241"/>
      <c r="F1104" s="241"/>
      <c r="G1104" s="241"/>
      <c r="H1104" s="241"/>
      <c r="I1104" s="241"/>
      <c r="J1104" s="241"/>
      <c r="K1104" s="241"/>
      <c r="L1104" s="242"/>
      <c r="M1104" s="241"/>
      <c r="N1104" s="241"/>
      <c r="O1104" s="241"/>
      <c r="P1104" s="241"/>
      <c r="Q1104" s="241"/>
      <c r="R1104" s="241"/>
      <c r="S1104" s="241"/>
      <c r="T1104" s="241"/>
      <c r="U1104" s="241"/>
      <c r="V1104" s="241"/>
      <c r="W1104" s="241"/>
      <c r="X1104" s="242"/>
      <c r="Y1104" s="241"/>
      <c r="Z1104" s="241"/>
      <c r="AA1104" s="241"/>
      <c r="AB1104" s="241"/>
      <c r="AC1104" s="241"/>
      <c r="AD1104" s="241"/>
      <c r="AE1104" s="241"/>
      <c r="AF1104" s="241"/>
      <c r="AG1104" s="241"/>
      <c r="AH1104" s="241"/>
      <c r="AI1104" s="241"/>
      <c r="AJ1104" s="242"/>
    </row>
    <row r="1105" hidden="1">
      <c r="A1105" s="241"/>
      <c r="B1105" s="241"/>
      <c r="C1105" s="241"/>
      <c r="D1105" s="241"/>
      <c r="E1105" s="241"/>
      <c r="F1105" s="241"/>
      <c r="G1105" s="241"/>
      <c r="H1105" s="241"/>
      <c r="I1105" s="241"/>
      <c r="J1105" s="241"/>
      <c r="K1105" s="241"/>
      <c r="L1105" s="242"/>
      <c r="M1105" s="241"/>
      <c r="N1105" s="241"/>
      <c r="O1105" s="241"/>
      <c r="P1105" s="241"/>
      <c r="Q1105" s="241"/>
      <c r="R1105" s="241"/>
      <c r="S1105" s="241"/>
      <c r="T1105" s="241"/>
      <c r="U1105" s="241"/>
      <c r="V1105" s="241"/>
      <c r="W1105" s="241"/>
      <c r="X1105" s="242"/>
      <c r="Y1105" s="241"/>
      <c r="Z1105" s="241"/>
      <c r="AA1105" s="241"/>
      <c r="AB1105" s="241"/>
      <c r="AC1105" s="241"/>
      <c r="AD1105" s="241"/>
      <c r="AE1105" s="241"/>
      <c r="AF1105" s="241"/>
      <c r="AG1105" s="241"/>
      <c r="AH1105" s="241"/>
      <c r="AI1105" s="241"/>
      <c r="AJ1105" s="242"/>
    </row>
    <row r="1106" hidden="1">
      <c r="A1106" s="241"/>
      <c r="B1106" s="241"/>
      <c r="C1106" s="241"/>
      <c r="D1106" s="241"/>
      <c r="E1106" s="241"/>
      <c r="F1106" s="241"/>
      <c r="G1106" s="241"/>
      <c r="H1106" s="241"/>
      <c r="I1106" s="241"/>
      <c r="J1106" s="241"/>
      <c r="K1106" s="241"/>
      <c r="L1106" s="242"/>
      <c r="M1106" s="241"/>
      <c r="N1106" s="241"/>
      <c r="O1106" s="241"/>
      <c r="P1106" s="241"/>
      <c r="Q1106" s="241"/>
      <c r="R1106" s="241"/>
      <c r="S1106" s="241"/>
      <c r="T1106" s="241"/>
      <c r="U1106" s="241"/>
      <c r="V1106" s="241"/>
      <c r="W1106" s="241"/>
      <c r="X1106" s="242"/>
      <c r="Y1106" s="241"/>
      <c r="Z1106" s="241"/>
      <c r="AA1106" s="241"/>
      <c r="AB1106" s="241"/>
      <c r="AC1106" s="241"/>
      <c r="AD1106" s="241"/>
      <c r="AE1106" s="241"/>
      <c r="AF1106" s="241"/>
      <c r="AG1106" s="241"/>
      <c r="AH1106" s="241"/>
      <c r="AI1106" s="241"/>
      <c r="AJ1106" s="242"/>
    </row>
    <row r="1107" hidden="1">
      <c r="A1107" s="241"/>
      <c r="B1107" s="241"/>
      <c r="C1107" s="241"/>
      <c r="D1107" s="241"/>
      <c r="E1107" s="241"/>
      <c r="F1107" s="241"/>
      <c r="G1107" s="241"/>
      <c r="H1107" s="241"/>
      <c r="I1107" s="241"/>
      <c r="J1107" s="241"/>
      <c r="K1107" s="241"/>
      <c r="L1107" s="242"/>
      <c r="M1107" s="241"/>
      <c r="N1107" s="241"/>
      <c r="O1107" s="241"/>
      <c r="P1107" s="241"/>
      <c r="Q1107" s="241"/>
      <c r="R1107" s="241"/>
      <c r="S1107" s="241"/>
      <c r="T1107" s="241"/>
      <c r="U1107" s="241"/>
      <c r="V1107" s="241"/>
      <c r="W1107" s="241"/>
      <c r="X1107" s="242"/>
      <c r="Y1107" s="241"/>
      <c r="Z1107" s="241"/>
      <c r="AA1107" s="241"/>
      <c r="AB1107" s="241"/>
      <c r="AC1107" s="241"/>
      <c r="AD1107" s="241"/>
      <c r="AE1107" s="241"/>
      <c r="AF1107" s="241"/>
      <c r="AG1107" s="241"/>
      <c r="AH1107" s="241"/>
      <c r="AI1107" s="241"/>
      <c r="AJ1107" s="242"/>
    </row>
    <row r="1108" hidden="1">
      <c r="A1108" s="241"/>
      <c r="B1108" s="241"/>
      <c r="C1108" s="241"/>
      <c r="D1108" s="241"/>
      <c r="E1108" s="241"/>
      <c r="F1108" s="241"/>
      <c r="G1108" s="241"/>
      <c r="H1108" s="241"/>
      <c r="I1108" s="241"/>
      <c r="J1108" s="241"/>
      <c r="K1108" s="241"/>
      <c r="L1108" s="242"/>
      <c r="M1108" s="241"/>
      <c r="N1108" s="241"/>
      <c r="O1108" s="241"/>
      <c r="P1108" s="241"/>
      <c r="Q1108" s="241"/>
      <c r="R1108" s="241"/>
      <c r="S1108" s="241"/>
      <c r="T1108" s="241"/>
      <c r="U1108" s="241"/>
      <c r="V1108" s="241"/>
      <c r="W1108" s="241"/>
      <c r="X1108" s="242"/>
      <c r="Y1108" s="241"/>
      <c r="Z1108" s="241"/>
      <c r="AA1108" s="241"/>
      <c r="AB1108" s="241"/>
      <c r="AC1108" s="241"/>
      <c r="AD1108" s="241"/>
      <c r="AE1108" s="241"/>
      <c r="AF1108" s="241"/>
      <c r="AG1108" s="241"/>
      <c r="AH1108" s="241"/>
      <c r="AI1108" s="241"/>
      <c r="AJ1108" s="242"/>
    </row>
    <row r="1109" hidden="1">
      <c r="A1109" s="241"/>
      <c r="B1109" s="241"/>
      <c r="C1109" s="241"/>
      <c r="D1109" s="241"/>
      <c r="E1109" s="241"/>
      <c r="F1109" s="241"/>
      <c r="G1109" s="241"/>
      <c r="H1109" s="241"/>
      <c r="I1109" s="241"/>
      <c r="J1109" s="241"/>
      <c r="K1109" s="241"/>
      <c r="L1109" s="242"/>
      <c r="M1109" s="241"/>
      <c r="N1109" s="241"/>
      <c r="O1109" s="241"/>
      <c r="P1109" s="241"/>
      <c r="Q1109" s="241"/>
      <c r="R1109" s="241"/>
      <c r="S1109" s="241"/>
      <c r="T1109" s="241"/>
      <c r="U1109" s="241"/>
      <c r="V1109" s="241"/>
      <c r="W1109" s="241"/>
      <c r="X1109" s="242"/>
      <c r="Y1109" s="241"/>
      <c r="Z1109" s="241"/>
      <c r="AA1109" s="241"/>
      <c r="AB1109" s="241"/>
      <c r="AC1109" s="241"/>
      <c r="AD1109" s="241"/>
      <c r="AE1109" s="241"/>
      <c r="AF1109" s="241"/>
      <c r="AG1109" s="241"/>
      <c r="AH1109" s="241"/>
      <c r="AI1109" s="241"/>
      <c r="AJ1109" s="242"/>
    </row>
    <row r="1110" hidden="1">
      <c r="A1110" s="241"/>
      <c r="B1110" s="241"/>
      <c r="C1110" s="241"/>
      <c r="D1110" s="241"/>
      <c r="E1110" s="241"/>
      <c r="F1110" s="241"/>
      <c r="G1110" s="241"/>
      <c r="H1110" s="241"/>
      <c r="I1110" s="241"/>
      <c r="J1110" s="241"/>
      <c r="K1110" s="241"/>
      <c r="L1110" s="242"/>
      <c r="M1110" s="241"/>
      <c r="N1110" s="241"/>
      <c r="O1110" s="241"/>
      <c r="P1110" s="241"/>
      <c r="Q1110" s="241"/>
      <c r="R1110" s="241"/>
      <c r="S1110" s="241"/>
      <c r="T1110" s="241"/>
      <c r="U1110" s="241"/>
      <c r="V1110" s="241"/>
      <c r="W1110" s="241"/>
      <c r="X1110" s="242"/>
      <c r="Y1110" s="241"/>
      <c r="Z1110" s="241"/>
      <c r="AA1110" s="241"/>
      <c r="AB1110" s="241"/>
      <c r="AC1110" s="241"/>
      <c r="AD1110" s="241"/>
      <c r="AE1110" s="241"/>
      <c r="AF1110" s="241"/>
      <c r="AG1110" s="241"/>
      <c r="AH1110" s="241"/>
      <c r="AI1110" s="241"/>
      <c r="AJ1110" s="242"/>
    </row>
    <row r="1111" hidden="1">
      <c r="A1111" s="241"/>
      <c r="B1111" s="241"/>
      <c r="C1111" s="241"/>
      <c r="D1111" s="241"/>
      <c r="E1111" s="241"/>
      <c r="F1111" s="241"/>
      <c r="G1111" s="241"/>
      <c r="H1111" s="241"/>
      <c r="I1111" s="241"/>
      <c r="J1111" s="241"/>
      <c r="K1111" s="241"/>
      <c r="L1111" s="242"/>
      <c r="M1111" s="241"/>
      <c r="N1111" s="241"/>
      <c r="O1111" s="241"/>
      <c r="P1111" s="241"/>
      <c r="Q1111" s="241"/>
      <c r="R1111" s="241"/>
      <c r="S1111" s="241"/>
      <c r="T1111" s="241"/>
      <c r="U1111" s="241"/>
      <c r="V1111" s="241"/>
      <c r="W1111" s="241"/>
      <c r="X1111" s="242"/>
      <c r="Y1111" s="241"/>
      <c r="Z1111" s="241"/>
      <c r="AA1111" s="241"/>
      <c r="AB1111" s="241"/>
      <c r="AC1111" s="241"/>
      <c r="AD1111" s="241"/>
      <c r="AE1111" s="241"/>
      <c r="AF1111" s="241"/>
      <c r="AG1111" s="241"/>
      <c r="AH1111" s="241"/>
      <c r="AI1111" s="241"/>
      <c r="AJ1111" s="242"/>
    </row>
    <row r="1112" hidden="1">
      <c r="A1112" s="241"/>
      <c r="B1112" s="241"/>
      <c r="C1112" s="241"/>
      <c r="D1112" s="241"/>
      <c r="E1112" s="241"/>
      <c r="F1112" s="241"/>
      <c r="G1112" s="241"/>
      <c r="H1112" s="241"/>
      <c r="I1112" s="241"/>
      <c r="J1112" s="241"/>
      <c r="K1112" s="241"/>
      <c r="L1112" s="242"/>
      <c r="M1112" s="241"/>
      <c r="N1112" s="241"/>
      <c r="O1112" s="241"/>
      <c r="P1112" s="241"/>
      <c r="Q1112" s="241"/>
      <c r="R1112" s="241"/>
      <c r="S1112" s="241"/>
      <c r="T1112" s="241"/>
      <c r="U1112" s="241"/>
      <c r="V1112" s="241"/>
      <c r="W1112" s="241"/>
      <c r="X1112" s="242"/>
      <c r="Y1112" s="241"/>
      <c r="Z1112" s="241"/>
      <c r="AA1112" s="241"/>
      <c r="AB1112" s="241"/>
      <c r="AC1112" s="241"/>
      <c r="AD1112" s="241"/>
      <c r="AE1112" s="241"/>
      <c r="AF1112" s="241"/>
      <c r="AG1112" s="241"/>
      <c r="AH1112" s="241"/>
      <c r="AI1112" s="241"/>
      <c r="AJ1112" s="242"/>
    </row>
    <row r="1113" hidden="1">
      <c r="A1113" s="241"/>
      <c r="B1113" s="241"/>
      <c r="C1113" s="241"/>
      <c r="D1113" s="241"/>
      <c r="E1113" s="241"/>
      <c r="F1113" s="241"/>
      <c r="G1113" s="241"/>
      <c r="H1113" s="241"/>
      <c r="I1113" s="241"/>
      <c r="J1113" s="241"/>
      <c r="K1113" s="241"/>
      <c r="L1113" s="242"/>
      <c r="M1113" s="241"/>
      <c r="N1113" s="241"/>
      <c r="O1113" s="241"/>
      <c r="P1113" s="241"/>
      <c r="Q1113" s="241"/>
      <c r="R1113" s="241"/>
      <c r="S1113" s="241"/>
      <c r="T1113" s="241"/>
      <c r="U1113" s="241"/>
      <c r="V1113" s="241"/>
      <c r="W1113" s="241"/>
      <c r="X1113" s="242"/>
      <c r="Y1113" s="241"/>
      <c r="Z1113" s="241"/>
      <c r="AA1113" s="241"/>
      <c r="AB1113" s="241"/>
      <c r="AC1113" s="241"/>
      <c r="AD1113" s="241"/>
      <c r="AE1113" s="241"/>
      <c r="AF1113" s="241"/>
      <c r="AG1113" s="241"/>
      <c r="AH1113" s="241"/>
      <c r="AI1113" s="241"/>
      <c r="AJ1113" s="242"/>
    </row>
    <row r="1114" hidden="1">
      <c r="A1114" s="241"/>
      <c r="B1114" s="241"/>
      <c r="C1114" s="241"/>
      <c r="D1114" s="241"/>
      <c r="E1114" s="241"/>
      <c r="F1114" s="241"/>
      <c r="G1114" s="241"/>
      <c r="H1114" s="241"/>
      <c r="I1114" s="241"/>
      <c r="J1114" s="241"/>
      <c r="K1114" s="241"/>
      <c r="L1114" s="242"/>
      <c r="M1114" s="241"/>
      <c r="N1114" s="241"/>
      <c r="O1114" s="241"/>
      <c r="P1114" s="241"/>
      <c r="Q1114" s="241"/>
      <c r="R1114" s="241"/>
      <c r="S1114" s="241"/>
      <c r="T1114" s="241"/>
      <c r="U1114" s="241"/>
      <c r="V1114" s="241"/>
      <c r="W1114" s="241"/>
      <c r="X1114" s="242"/>
      <c r="Y1114" s="241"/>
      <c r="Z1114" s="241"/>
      <c r="AA1114" s="241"/>
      <c r="AB1114" s="241"/>
      <c r="AC1114" s="241"/>
      <c r="AD1114" s="241"/>
      <c r="AE1114" s="241"/>
      <c r="AF1114" s="241"/>
      <c r="AG1114" s="241"/>
      <c r="AH1114" s="241"/>
      <c r="AI1114" s="241"/>
      <c r="AJ1114" s="242"/>
    </row>
    <row r="1115" hidden="1">
      <c r="A1115" s="241"/>
      <c r="B1115" s="241"/>
      <c r="C1115" s="241"/>
      <c r="D1115" s="241"/>
      <c r="E1115" s="241"/>
      <c r="F1115" s="241"/>
      <c r="G1115" s="241"/>
      <c r="H1115" s="241"/>
      <c r="I1115" s="241"/>
      <c r="J1115" s="241"/>
      <c r="K1115" s="241"/>
      <c r="L1115" s="242"/>
      <c r="M1115" s="241"/>
      <c r="N1115" s="241"/>
      <c r="O1115" s="241"/>
      <c r="P1115" s="241"/>
      <c r="Q1115" s="241"/>
      <c r="R1115" s="241"/>
      <c r="S1115" s="241"/>
      <c r="T1115" s="241"/>
      <c r="U1115" s="241"/>
      <c r="V1115" s="241"/>
      <c r="W1115" s="241"/>
      <c r="X1115" s="242"/>
      <c r="Y1115" s="241"/>
      <c r="Z1115" s="241"/>
      <c r="AA1115" s="241"/>
      <c r="AB1115" s="241"/>
      <c r="AC1115" s="241"/>
      <c r="AD1115" s="241"/>
      <c r="AE1115" s="241"/>
      <c r="AF1115" s="241"/>
      <c r="AG1115" s="241"/>
      <c r="AH1115" s="241"/>
      <c r="AI1115" s="241"/>
      <c r="AJ1115" s="242"/>
    </row>
    <row r="1116" hidden="1">
      <c r="A1116" s="241"/>
      <c r="B1116" s="241"/>
      <c r="C1116" s="241"/>
      <c r="D1116" s="241"/>
      <c r="E1116" s="241"/>
      <c r="F1116" s="241"/>
      <c r="G1116" s="241"/>
      <c r="H1116" s="241"/>
      <c r="I1116" s="241"/>
      <c r="J1116" s="241"/>
      <c r="K1116" s="241"/>
      <c r="L1116" s="242"/>
      <c r="M1116" s="241"/>
      <c r="N1116" s="241"/>
      <c r="O1116" s="241"/>
      <c r="P1116" s="241"/>
      <c r="Q1116" s="241"/>
      <c r="R1116" s="241"/>
      <c r="S1116" s="241"/>
      <c r="T1116" s="241"/>
      <c r="U1116" s="241"/>
      <c r="V1116" s="241"/>
      <c r="W1116" s="241"/>
      <c r="X1116" s="242"/>
      <c r="Y1116" s="241"/>
      <c r="Z1116" s="241"/>
      <c r="AA1116" s="241"/>
      <c r="AB1116" s="241"/>
      <c r="AC1116" s="241"/>
      <c r="AD1116" s="241"/>
      <c r="AE1116" s="241"/>
      <c r="AF1116" s="241"/>
      <c r="AG1116" s="241"/>
      <c r="AH1116" s="241"/>
      <c r="AI1116" s="241"/>
      <c r="AJ1116" s="242"/>
    </row>
    <row r="1117" hidden="1">
      <c r="A1117" s="241"/>
      <c r="B1117" s="241"/>
      <c r="C1117" s="241"/>
      <c r="D1117" s="241"/>
      <c r="E1117" s="241"/>
      <c r="F1117" s="241"/>
      <c r="G1117" s="241"/>
      <c r="H1117" s="241"/>
      <c r="I1117" s="241"/>
      <c r="J1117" s="241"/>
      <c r="K1117" s="241"/>
      <c r="L1117" s="242"/>
      <c r="M1117" s="241"/>
      <c r="N1117" s="241"/>
      <c r="O1117" s="241"/>
      <c r="P1117" s="241"/>
      <c r="Q1117" s="241"/>
      <c r="R1117" s="241"/>
      <c r="S1117" s="241"/>
      <c r="T1117" s="241"/>
      <c r="U1117" s="241"/>
      <c r="V1117" s="241"/>
      <c r="W1117" s="241"/>
      <c r="X1117" s="242"/>
      <c r="Y1117" s="241"/>
      <c r="Z1117" s="241"/>
      <c r="AA1117" s="241"/>
      <c r="AB1117" s="241"/>
      <c r="AC1117" s="241"/>
      <c r="AD1117" s="241"/>
      <c r="AE1117" s="241"/>
      <c r="AF1117" s="241"/>
      <c r="AG1117" s="241"/>
      <c r="AH1117" s="241"/>
      <c r="AI1117" s="241"/>
      <c r="AJ1117" s="242"/>
    </row>
    <row r="1118" hidden="1">
      <c r="A1118" s="241"/>
      <c r="B1118" s="241"/>
      <c r="C1118" s="241"/>
      <c r="D1118" s="241"/>
      <c r="E1118" s="241"/>
      <c r="F1118" s="241"/>
      <c r="G1118" s="241"/>
      <c r="H1118" s="241"/>
      <c r="I1118" s="241"/>
      <c r="J1118" s="241"/>
      <c r="K1118" s="241"/>
      <c r="L1118" s="242"/>
      <c r="M1118" s="241"/>
      <c r="N1118" s="241"/>
      <c r="O1118" s="241"/>
      <c r="P1118" s="241"/>
      <c r="Q1118" s="241"/>
      <c r="R1118" s="241"/>
      <c r="S1118" s="241"/>
      <c r="T1118" s="241"/>
      <c r="U1118" s="241"/>
      <c r="V1118" s="241"/>
      <c r="W1118" s="241"/>
      <c r="X1118" s="242"/>
      <c r="Y1118" s="241"/>
      <c r="Z1118" s="241"/>
      <c r="AA1118" s="241"/>
      <c r="AB1118" s="241"/>
      <c r="AC1118" s="241"/>
      <c r="AD1118" s="241"/>
      <c r="AE1118" s="241"/>
      <c r="AF1118" s="241"/>
      <c r="AG1118" s="241"/>
      <c r="AH1118" s="241"/>
      <c r="AI1118" s="241"/>
      <c r="AJ1118" s="242"/>
    </row>
    <row r="1119" hidden="1">
      <c r="A1119" s="241"/>
      <c r="B1119" s="241"/>
      <c r="C1119" s="241"/>
      <c r="D1119" s="241"/>
      <c r="E1119" s="241"/>
      <c r="F1119" s="241"/>
      <c r="G1119" s="241"/>
      <c r="H1119" s="241"/>
      <c r="I1119" s="241"/>
      <c r="J1119" s="241"/>
      <c r="K1119" s="241"/>
      <c r="L1119" s="242"/>
      <c r="M1119" s="241"/>
      <c r="N1119" s="241"/>
      <c r="O1119" s="241"/>
      <c r="P1119" s="241"/>
      <c r="Q1119" s="241"/>
      <c r="R1119" s="241"/>
      <c r="S1119" s="241"/>
      <c r="T1119" s="241"/>
      <c r="U1119" s="241"/>
      <c r="V1119" s="241"/>
      <c r="W1119" s="241"/>
      <c r="X1119" s="242"/>
      <c r="Y1119" s="241"/>
      <c r="Z1119" s="241"/>
      <c r="AA1119" s="241"/>
      <c r="AB1119" s="241"/>
      <c r="AC1119" s="241"/>
      <c r="AD1119" s="241"/>
      <c r="AE1119" s="241"/>
      <c r="AF1119" s="241"/>
      <c r="AG1119" s="241"/>
      <c r="AH1119" s="241"/>
      <c r="AI1119" s="241"/>
      <c r="AJ1119" s="242"/>
    </row>
    <row r="1120" hidden="1">
      <c r="A1120" s="241"/>
      <c r="B1120" s="241"/>
      <c r="C1120" s="241"/>
      <c r="D1120" s="241"/>
      <c r="E1120" s="241"/>
      <c r="F1120" s="241"/>
      <c r="G1120" s="241"/>
      <c r="H1120" s="241"/>
      <c r="I1120" s="241"/>
      <c r="J1120" s="241"/>
      <c r="K1120" s="241"/>
      <c r="L1120" s="242"/>
      <c r="M1120" s="241"/>
      <c r="N1120" s="241"/>
      <c r="O1120" s="241"/>
      <c r="P1120" s="241"/>
      <c r="Q1120" s="241"/>
      <c r="R1120" s="241"/>
      <c r="S1120" s="241"/>
      <c r="T1120" s="241"/>
      <c r="U1120" s="241"/>
      <c r="V1120" s="241"/>
      <c r="W1120" s="241"/>
      <c r="X1120" s="242"/>
      <c r="Y1120" s="241"/>
      <c r="Z1120" s="241"/>
      <c r="AA1120" s="241"/>
      <c r="AB1120" s="241"/>
      <c r="AC1120" s="241"/>
      <c r="AD1120" s="241"/>
      <c r="AE1120" s="241"/>
      <c r="AF1120" s="241"/>
      <c r="AG1120" s="241"/>
      <c r="AH1120" s="241"/>
      <c r="AI1120" s="241"/>
      <c r="AJ1120" s="242"/>
    </row>
    <row r="1121" hidden="1">
      <c r="A1121" s="241"/>
      <c r="B1121" s="241"/>
      <c r="C1121" s="241"/>
      <c r="D1121" s="241"/>
      <c r="E1121" s="241"/>
      <c r="F1121" s="241"/>
      <c r="G1121" s="241"/>
      <c r="H1121" s="241"/>
      <c r="I1121" s="241"/>
      <c r="J1121" s="241"/>
      <c r="K1121" s="241"/>
      <c r="L1121" s="242"/>
      <c r="M1121" s="241"/>
      <c r="N1121" s="241"/>
      <c r="O1121" s="241"/>
      <c r="P1121" s="241"/>
      <c r="Q1121" s="241"/>
      <c r="R1121" s="241"/>
      <c r="S1121" s="241"/>
      <c r="T1121" s="241"/>
      <c r="U1121" s="241"/>
      <c r="V1121" s="241"/>
      <c r="W1121" s="241"/>
      <c r="X1121" s="242"/>
      <c r="Y1121" s="241"/>
      <c r="Z1121" s="241"/>
      <c r="AA1121" s="241"/>
      <c r="AB1121" s="241"/>
      <c r="AC1121" s="241"/>
      <c r="AD1121" s="241"/>
      <c r="AE1121" s="241"/>
      <c r="AF1121" s="241"/>
      <c r="AG1121" s="241"/>
      <c r="AH1121" s="241"/>
      <c r="AI1121" s="241"/>
      <c r="AJ1121" s="242"/>
    </row>
    <row r="1122" hidden="1">
      <c r="A1122" s="241"/>
      <c r="B1122" s="241"/>
      <c r="C1122" s="241"/>
      <c r="D1122" s="241"/>
      <c r="E1122" s="241"/>
      <c r="F1122" s="241"/>
      <c r="G1122" s="241"/>
      <c r="H1122" s="241"/>
      <c r="I1122" s="241"/>
      <c r="J1122" s="241"/>
      <c r="K1122" s="241"/>
      <c r="L1122" s="242"/>
      <c r="M1122" s="241"/>
      <c r="N1122" s="241"/>
      <c r="O1122" s="241"/>
      <c r="P1122" s="241"/>
      <c r="Q1122" s="241"/>
      <c r="R1122" s="241"/>
      <c r="S1122" s="241"/>
      <c r="T1122" s="241"/>
      <c r="U1122" s="241"/>
      <c r="V1122" s="241"/>
      <c r="W1122" s="241"/>
      <c r="X1122" s="242"/>
      <c r="Y1122" s="241"/>
      <c r="Z1122" s="241"/>
      <c r="AA1122" s="241"/>
      <c r="AB1122" s="241"/>
      <c r="AC1122" s="241"/>
      <c r="AD1122" s="241"/>
      <c r="AE1122" s="241"/>
      <c r="AF1122" s="241"/>
      <c r="AG1122" s="241"/>
      <c r="AH1122" s="241"/>
      <c r="AI1122" s="241"/>
      <c r="AJ1122" s="242"/>
    </row>
    <row r="1123" hidden="1">
      <c r="A1123" s="241"/>
      <c r="B1123" s="241"/>
      <c r="C1123" s="241"/>
      <c r="D1123" s="241"/>
      <c r="E1123" s="241"/>
      <c r="F1123" s="241"/>
      <c r="G1123" s="241"/>
      <c r="H1123" s="241"/>
      <c r="I1123" s="241"/>
      <c r="J1123" s="241"/>
      <c r="K1123" s="241"/>
      <c r="L1123" s="242"/>
      <c r="M1123" s="241"/>
      <c r="N1123" s="241"/>
      <c r="O1123" s="241"/>
      <c r="P1123" s="241"/>
      <c r="Q1123" s="241"/>
      <c r="R1123" s="241"/>
      <c r="S1123" s="241"/>
      <c r="T1123" s="241"/>
      <c r="U1123" s="241"/>
      <c r="V1123" s="241"/>
      <c r="W1123" s="241"/>
      <c r="X1123" s="242"/>
      <c r="Y1123" s="241"/>
      <c r="Z1123" s="241"/>
      <c r="AA1123" s="241"/>
      <c r="AB1123" s="241"/>
      <c r="AC1123" s="241"/>
      <c r="AD1123" s="241"/>
      <c r="AE1123" s="241"/>
      <c r="AF1123" s="241"/>
      <c r="AG1123" s="241"/>
      <c r="AH1123" s="241"/>
      <c r="AI1123" s="241"/>
      <c r="AJ1123" s="242"/>
    </row>
    <row r="1124" hidden="1">
      <c r="A1124" s="241"/>
      <c r="B1124" s="241"/>
      <c r="C1124" s="241"/>
      <c r="D1124" s="241"/>
      <c r="E1124" s="241"/>
      <c r="F1124" s="241"/>
      <c r="G1124" s="241"/>
      <c r="H1124" s="241"/>
      <c r="I1124" s="241"/>
      <c r="J1124" s="241"/>
      <c r="K1124" s="241"/>
      <c r="L1124" s="242"/>
      <c r="M1124" s="241"/>
      <c r="N1124" s="241"/>
      <c r="O1124" s="241"/>
      <c r="P1124" s="241"/>
      <c r="Q1124" s="241"/>
      <c r="R1124" s="241"/>
      <c r="S1124" s="241"/>
      <c r="T1124" s="241"/>
      <c r="U1124" s="241"/>
      <c r="V1124" s="241"/>
      <c r="W1124" s="241"/>
      <c r="X1124" s="242"/>
      <c r="Y1124" s="241"/>
      <c r="Z1124" s="241"/>
      <c r="AA1124" s="241"/>
      <c r="AB1124" s="241"/>
      <c r="AC1124" s="241"/>
      <c r="AD1124" s="241"/>
      <c r="AE1124" s="241"/>
      <c r="AF1124" s="241"/>
      <c r="AG1124" s="241"/>
      <c r="AH1124" s="241"/>
      <c r="AI1124" s="241"/>
      <c r="AJ1124" s="242"/>
    </row>
    <row r="1125" hidden="1">
      <c r="A1125" s="241"/>
      <c r="B1125" s="241"/>
      <c r="C1125" s="241"/>
      <c r="D1125" s="241"/>
      <c r="E1125" s="241"/>
      <c r="F1125" s="241"/>
      <c r="G1125" s="241"/>
      <c r="H1125" s="241"/>
      <c r="I1125" s="241"/>
      <c r="J1125" s="241"/>
      <c r="K1125" s="241"/>
      <c r="L1125" s="242"/>
      <c r="M1125" s="241"/>
      <c r="N1125" s="241"/>
      <c r="O1125" s="241"/>
      <c r="P1125" s="241"/>
      <c r="Q1125" s="241"/>
      <c r="R1125" s="241"/>
      <c r="S1125" s="241"/>
      <c r="T1125" s="241"/>
      <c r="U1125" s="241"/>
      <c r="V1125" s="241"/>
      <c r="W1125" s="241"/>
      <c r="X1125" s="242"/>
      <c r="Y1125" s="241"/>
      <c r="Z1125" s="241"/>
      <c r="AA1125" s="241"/>
      <c r="AB1125" s="241"/>
      <c r="AC1125" s="241"/>
      <c r="AD1125" s="241"/>
      <c r="AE1125" s="241"/>
      <c r="AF1125" s="241"/>
      <c r="AG1125" s="241"/>
      <c r="AH1125" s="241"/>
      <c r="AI1125" s="241"/>
      <c r="AJ1125" s="242"/>
    </row>
    <row r="1126" hidden="1">
      <c r="A1126" s="241"/>
      <c r="B1126" s="241"/>
      <c r="C1126" s="241"/>
      <c r="D1126" s="241"/>
      <c r="E1126" s="241"/>
      <c r="F1126" s="241"/>
      <c r="G1126" s="241"/>
      <c r="H1126" s="241"/>
      <c r="I1126" s="241"/>
      <c r="J1126" s="241"/>
      <c r="K1126" s="241"/>
      <c r="L1126" s="242"/>
      <c r="M1126" s="241"/>
      <c r="N1126" s="241"/>
      <c r="O1126" s="241"/>
      <c r="P1126" s="241"/>
      <c r="Q1126" s="241"/>
      <c r="R1126" s="241"/>
      <c r="S1126" s="241"/>
      <c r="T1126" s="241"/>
      <c r="U1126" s="241"/>
      <c r="V1126" s="241"/>
      <c r="W1126" s="241"/>
      <c r="X1126" s="242"/>
      <c r="Y1126" s="241"/>
      <c r="Z1126" s="241"/>
      <c r="AA1126" s="241"/>
      <c r="AB1126" s="241"/>
      <c r="AC1126" s="241"/>
      <c r="AD1126" s="241"/>
      <c r="AE1126" s="241"/>
      <c r="AF1126" s="241"/>
      <c r="AG1126" s="241"/>
      <c r="AH1126" s="241"/>
      <c r="AI1126" s="241"/>
      <c r="AJ1126" s="242"/>
    </row>
    <row r="1127" hidden="1">
      <c r="A1127" s="241"/>
      <c r="B1127" s="241"/>
      <c r="C1127" s="241"/>
      <c r="D1127" s="241"/>
      <c r="E1127" s="241"/>
      <c r="F1127" s="241"/>
      <c r="G1127" s="241"/>
      <c r="H1127" s="241"/>
      <c r="I1127" s="241"/>
      <c r="J1127" s="241"/>
      <c r="K1127" s="241"/>
      <c r="L1127" s="242"/>
      <c r="M1127" s="241"/>
      <c r="N1127" s="241"/>
      <c r="O1127" s="241"/>
      <c r="P1127" s="241"/>
      <c r="Q1127" s="241"/>
      <c r="R1127" s="241"/>
      <c r="S1127" s="241"/>
      <c r="T1127" s="241"/>
      <c r="U1127" s="241"/>
      <c r="V1127" s="241"/>
      <c r="W1127" s="241"/>
      <c r="X1127" s="242"/>
      <c r="Y1127" s="241"/>
      <c r="Z1127" s="241"/>
      <c r="AA1127" s="241"/>
      <c r="AB1127" s="241"/>
      <c r="AC1127" s="241"/>
      <c r="AD1127" s="241"/>
      <c r="AE1127" s="241"/>
      <c r="AF1127" s="241"/>
      <c r="AG1127" s="241"/>
      <c r="AH1127" s="241"/>
      <c r="AI1127" s="241"/>
      <c r="AJ1127" s="242"/>
    </row>
    <row r="1128" hidden="1">
      <c r="A1128" s="241"/>
      <c r="B1128" s="241"/>
      <c r="C1128" s="241"/>
      <c r="D1128" s="241"/>
      <c r="E1128" s="241"/>
      <c r="F1128" s="241"/>
      <c r="G1128" s="241"/>
      <c r="H1128" s="241"/>
      <c r="I1128" s="241"/>
      <c r="J1128" s="241"/>
      <c r="K1128" s="241"/>
      <c r="L1128" s="242"/>
      <c r="M1128" s="241"/>
      <c r="N1128" s="241"/>
      <c r="O1128" s="241"/>
      <c r="P1128" s="241"/>
      <c r="Q1128" s="241"/>
      <c r="R1128" s="241"/>
      <c r="S1128" s="241"/>
      <c r="T1128" s="241"/>
      <c r="U1128" s="241"/>
      <c r="V1128" s="241"/>
      <c r="W1128" s="241"/>
      <c r="X1128" s="242"/>
      <c r="Y1128" s="241"/>
      <c r="Z1128" s="241"/>
      <c r="AA1128" s="241"/>
      <c r="AB1128" s="241"/>
      <c r="AC1128" s="241"/>
      <c r="AD1128" s="241"/>
      <c r="AE1128" s="241"/>
      <c r="AF1128" s="241"/>
      <c r="AG1128" s="241"/>
      <c r="AH1128" s="241"/>
      <c r="AI1128" s="241"/>
      <c r="AJ1128" s="242"/>
    </row>
    <row r="1129" hidden="1">
      <c r="A1129" s="241"/>
      <c r="B1129" s="241"/>
      <c r="C1129" s="241"/>
      <c r="D1129" s="241"/>
      <c r="E1129" s="241"/>
      <c r="F1129" s="241"/>
      <c r="G1129" s="241"/>
      <c r="H1129" s="241"/>
      <c r="I1129" s="241"/>
      <c r="J1129" s="241"/>
      <c r="K1129" s="241"/>
      <c r="L1129" s="242"/>
      <c r="M1129" s="241"/>
      <c r="N1129" s="241"/>
      <c r="O1129" s="241"/>
      <c r="P1129" s="241"/>
      <c r="Q1129" s="241"/>
      <c r="R1129" s="241"/>
      <c r="S1129" s="241"/>
      <c r="T1129" s="241"/>
      <c r="U1129" s="241"/>
      <c r="V1129" s="241"/>
      <c r="W1129" s="241"/>
      <c r="X1129" s="242"/>
      <c r="Y1129" s="241"/>
      <c r="Z1129" s="241"/>
      <c r="AA1129" s="241"/>
      <c r="AB1129" s="241"/>
      <c r="AC1129" s="241"/>
      <c r="AD1129" s="241"/>
      <c r="AE1129" s="241"/>
      <c r="AF1129" s="241"/>
      <c r="AG1129" s="241"/>
      <c r="AH1129" s="241"/>
      <c r="AI1129" s="241"/>
      <c r="AJ1129" s="242"/>
    </row>
    <row r="1130" hidden="1">
      <c r="A1130" s="241"/>
      <c r="B1130" s="241"/>
      <c r="C1130" s="241"/>
      <c r="D1130" s="241"/>
      <c r="E1130" s="241"/>
      <c r="F1130" s="241"/>
      <c r="G1130" s="241"/>
      <c r="H1130" s="241"/>
      <c r="I1130" s="241"/>
      <c r="J1130" s="241"/>
      <c r="K1130" s="241"/>
      <c r="L1130" s="242"/>
      <c r="M1130" s="241"/>
      <c r="N1130" s="241"/>
      <c r="O1130" s="241"/>
      <c r="P1130" s="241"/>
      <c r="Q1130" s="241"/>
      <c r="R1130" s="241"/>
      <c r="S1130" s="241"/>
      <c r="T1130" s="241"/>
      <c r="U1130" s="241"/>
      <c r="V1130" s="241"/>
      <c r="W1130" s="241"/>
      <c r="X1130" s="242"/>
      <c r="Y1130" s="241"/>
      <c r="Z1130" s="241"/>
      <c r="AA1130" s="241"/>
      <c r="AB1130" s="241"/>
      <c r="AC1130" s="241"/>
      <c r="AD1130" s="241"/>
      <c r="AE1130" s="241"/>
      <c r="AF1130" s="241"/>
      <c r="AG1130" s="241"/>
      <c r="AH1130" s="241"/>
      <c r="AI1130" s="241"/>
      <c r="AJ1130" s="242"/>
    </row>
    <row r="1131" hidden="1">
      <c r="A1131" s="241"/>
      <c r="B1131" s="241"/>
      <c r="C1131" s="241"/>
      <c r="D1131" s="241"/>
      <c r="E1131" s="241"/>
      <c r="F1131" s="241"/>
      <c r="G1131" s="241"/>
      <c r="H1131" s="241"/>
      <c r="I1131" s="241"/>
      <c r="J1131" s="241"/>
      <c r="K1131" s="241"/>
      <c r="L1131" s="242"/>
      <c r="M1131" s="241"/>
      <c r="N1131" s="241"/>
      <c r="O1131" s="241"/>
      <c r="P1131" s="241"/>
      <c r="Q1131" s="241"/>
      <c r="R1131" s="241"/>
      <c r="S1131" s="241"/>
      <c r="T1131" s="241"/>
      <c r="U1131" s="241"/>
      <c r="V1131" s="241"/>
      <c r="W1131" s="241"/>
      <c r="X1131" s="242"/>
      <c r="Y1131" s="241"/>
      <c r="Z1131" s="241"/>
      <c r="AA1131" s="241"/>
      <c r="AB1131" s="241"/>
      <c r="AC1131" s="241"/>
      <c r="AD1131" s="241"/>
      <c r="AE1131" s="241"/>
      <c r="AF1131" s="241"/>
      <c r="AG1131" s="241"/>
      <c r="AH1131" s="241"/>
      <c r="AI1131" s="241"/>
      <c r="AJ1131" s="242"/>
    </row>
    <row r="1132" hidden="1">
      <c r="A1132" s="241"/>
      <c r="B1132" s="241"/>
      <c r="C1132" s="241"/>
      <c r="D1132" s="241"/>
      <c r="E1132" s="241"/>
      <c r="F1132" s="241"/>
      <c r="G1132" s="241"/>
      <c r="H1132" s="241"/>
      <c r="I1132" s="241"/>
      <c r="J1132" s="241"/>
      <c r="K1132" s="241"/>
      <c r="L1132" s="242"/>
      <c r="M1132" s="241"/>
      <c r="N1132" s="241"/>
      <c r="O1132" s="241"/>
      <c r="P1132" s="241"/>
      <c r="Q1132" s="241"/>
      <c r="R1132" s="241"/>
      <c r="S1132" s="241"/>
      <c r="T1132" s="241"/>
      <c r="U1132" s="241"/>
      <c r="V1132" s="241"/>
      <c r="W1132" s="241"/>
      <c r="X1132" s="242"/>
      <c r="Y1132" s="241"/>
      <c r="Z1132" s="241"/>
      <c r="AA1132" s="241"/>
      <c r="AB1132" s="241"/>
      <c r="AC1132" s="241"/>
      <c r="AD1132" s="241"/>
      <c r="AE1132" s="241"/>
      <c r="AF1132" s="241"/>
      <c r="AG1132" s="241"/>
      <c r="AH1132" s="241"/>
      <c r="AI1132" s="241"/>
      <c r="AJ1132" s="242"/>
    </row>
    <row r="1133" hidden="1">
      <c r="A1133" s="241"/>
      <c r="B1133" s="241"/>
      <c r="C1133" s="241"/>
      <c r="D1133" s="241"/>
      <c r="E1133" s="241"/>
      <c r="F1133" s="241"/>
      <c r="G1133" s="241"/>
      <c r="H1133" s="241"/>
      <c r="I1133" s="241"/>
      <c r="J1133" s="241"/>
      <c r="K1133" s="241"/>
      <c r="L1133" s="242"/>
      <c r="M1133" s="241"/>
      <c r="N1133" s="241"/>
      <c r="O1133" s="241"/>
      <c r="P1133" s="241"/>
      <c r="Q1133" s="241"/>
      <c r="R1133" s="241"/>
      <c r="S1133" s="241"/>
      <c r="T1133" s="241"/>
      <c r="U1133" s="241"/>
      <c r="V1133" s="241"/>
      <c r="W1133" s="241"/>
      <c r="X1133" s="242"/>
      <c r="Y1133" s="241"/>
      <c r="Z1133" s="241"/>
      <c r="AA1133" s="241"/>
      <c r="AB1133" s="241"/>
      <c r="AC1133" s="241"/>
      <c r="AD1133" s="241"/>
      <c r="AE1133" s="241"/>
      <c r="AF1133" s="241"/>
      <c r="AG1133" s="241"/>
      <c r="AH1133" s="241"/>
      <c r="AI1133" s="241"/>
      <c r="AJ1133" s="242"/>
    </row>
    <row r="1134" hidden="1">
      <c r="A1134" s="241"/>
      <c r="B1134" s="241"/>
      <c r="C1134" s="241"/>
      <c r="D1134" s="241"/>
      <c r="E1134" s="241"/>
      <c r="F1134" s="241"/>
      <c r="G1134" s="241"/>
      <c r="H1134" s="241"/>
      <c r="I1134" s="241"/>
      <c r="J1134" s="241"/>
      <c r="K1134" s="241"/>
      <c r="L1134" s="242"/>
      <c r="M1134" s="241"/>
      <c r="N1134" s="241"/>
      <c r="O1134" s="241"/>
      <c r="P1134" s="241"/>
      <c r="Q1134" s="241"/>
      <c r="R1134" s="241"/>
      <c r="S1134" s="241"/>
      <c r="T1134" s="241"/>
      <c r="U1134" s="241"/>
      <c r="V1134" s="241"/>
      <c r="W1134" s="241"/>
      <c r="X1134" s="242"/>
      <c r="Y1134" s="241"/>
      <c r="Z1134" s="241"/>
      <c r="AA1134" s="241"/>
      <c r="AB1134" s="241"/>
      <c r="AC1134" s="241"/>
      <c r="AD1134" s="241"/>
      <c r="AE1134" s="241"/>
      <c r="AF1134" s="241"/>
      <c r="AG1134" s="241"/>
      <c r="AH1134" s="241"/>
      <c r="AI1134" s="241"/>
      <c r="AJ1134" s="242"/>
    </row>
    <row r="1135" hidden="1">
      <c r="A1135" s="241"/>
      <c r="B1135" s="241"/>
      <c r="C1135" s="241"/>
      <c r="D1135" s="241"/>
      <c r="E1135" s="241"/>
      <c r="F1135" s="241"/>
      <c r="G1135" s="241"/>
      <c r="H1135" s="241"/>
      <c r="I1135" s="241"/>
      <c r="J1135" s="241"/>
      <c r="K1135" s="241"/>
      <c r="L1135" s="242"/>
      <c r="M1135" s="241"/>
      <c r="N1135" s="241"/>
      <c r="O1135" s="241"/>
      <c r="P1135" s="241"/>
      <c r="Q1135" s="241"/>
      <c r="R1135" s="241"/>
      <c r="S1135" s="241"/>
      <c r="T1135" s="241"/>
      <c r="U1135" s="241"/>
      <c r="V1135" s="241"/>
      <c r="W1135" s="241"/>
      <c r="X1135" s="242"/>
      <c r="Y1135" s="241"/>
      <c r="Z1135" s="241"/>
      <c r="AA1135" s="241"/>
      <c r="AB1135" s="241"/>
      <c r="AC1135" s="241"/>
      <c r="AD1135" s="241"/>
      <c r="AE1135" s="241"/>
      <c r="AF1135" s="241"/>
      <c r="AG1135" s="241"/>
      <c r="AH1135" s="241"/>
      <c r="AI1135" s="241"/>
      <c r="AJ1135" s="242"/>
    </row>
    <row r="1136" hidden="1">
      <c r="A1136" s="241"/>
      <c r="B1136" s="241"/>
      <c r="C1136" s="241"/>
      <c r="D1136" s="241"/>
      <c r="E1136" s="241"/>
      <c r="F1136" s="241"/>
      <c r="G1136" s="241"/>
      <c r="H1136" s="241"/>
      <c r="I1136" s="241"/>
      <c r="J1136" s="241"/>
      <c r="K1136" s="241"/>
      <c r="L1136" s="242"/>
      <c r="M1136" s="241"/>
      <c r="N1136" s="241"/>
      <c r="O1136" s="241"/>
      <c r="P1136" s="241"/>
      <c r="Q1136" s="241"/>
      <c r="R1136" s="241"/>
      <c r="S1136" s="241"/>
      <c r="T1136" s="241"/>
      <c r="U1136" s="241"/>
      <c r="V1136" s="241"/>
      <c r="W1136" s="241"/>
      <c r="X1136" s="242"/>
      <c r="Y1136" s="241"/>
      <c r="Z1136" s="241"/>
      <c r="AA1136" s="241"/>
      <c r="AB1136" s="241"/>
      <c r="AC1136" s="241"/>
      <c r="AD1136" s="241"/>
      <c r="AE1136" s="241"/>
      <c r="AF1136" s="241"/>
      <c r="AG1136" s="241"/>
      <c r="AH1136" s="241"/>
      <c r="AI1136" s="241"/>
      <c r="AJ1136" s="242"/>
    </row>
    <row r="1137" hidden="1">
      <c r="A1137" s="241"/>
      <c r="B1137" s="241"/>
      <c r="C1137" s="241"/>
      <c r="D1137" s="241"/>
      <c r="E1137" s="241"/>
      <c r="F1137" s="241"/>
      <c r="G1137" s="241"/>
      <c r="H1137" s="241"/>
      <c r="I1137" s="241"/>
      <c r="J1137" s="241"/>
      <c r="K1137" s="241"/>
      <c r="L1137" s="242"/>
      <c r="M1137" s="241"/>
      <c r="N1137" s="241"/>
      <c r="O1137" s="241"/>
      <c r="P1137" s="241"/>
      <c r="Q1137" s="241"/>
      <c r="R1137" s="241"/>
      <c r="S1137" s="241"/>
      <c r="T1137" s="241"/>
      <c r="U1137" s="241"/>
      <c r="V1137" s="241"/>
      <c r="W1137" s="241"/>
      <c r="X1137" s="242"/>
      <c r="Y1137" s="241"/>
      <c r="Z1137" s="241"/>
      <c r="AA1137" s="241"/>
      <c r="AB1137" s="241"/>
      <c r="AC1137" s="241"/>
      <c r="AD1137" s="241"/>
      <c r="AE1137" s="241"/>
      <c r="AF1137" s="241"/>
      <c r="AG1137" s="241"/>
      <c r="AH1137" s="241"/>
      <c r="AI1137" s="241"/>
      <c r="AJ1137" s="242"/>
    </row>
    <row r="1138" hidden="1">
      <c r="A1138" s="241"/>
      <c r="B1138" s="241"/>
      <c r="C1138" s="241"/>
      <c r="D1138" s="241"/>
      <c r="E1138" s="241"/>
      <c r="F1138" s="241"/>
      <c r="G1138" s="241"/>
      <c r="H1138" s="241"/>
      <c r="I1138" s="241"/>
      <c r="J1138" s="241"/>
      <c r="K1138" s="241"/>
      <c r="L1138" s="242"/>
      <c r="M1138" s="241"/>
      <c r="N1138" s="241"/>
      <c r="O1138" s="241"/>
      <c r="P1138" s="241"/>
      <c r="Q1138" s="241"/>
      <c r="R1138" s="241"/>
      <c r="S1138" s="241"/>
      <c r="T1138" s="241"/>
      <c r="U1138" s="241"/>
      <c r="V1138" s="241"/>
      <c r="W1138" s="241"/>
      <c r="X1138" s="242"/>
      <c r="Y1138" s="241"/>
      <c r="Z1138" s="241"/>
      <c r="AA1138" s="241"/>
      <c r="AB1138" s="241"/>
      <c r="AC1138" s="241"/>
      <c r="AD1138" s="241"/>
      <c r="AE1138" s="241"/>
      <c r="AF1138" s="241"/>
      <c r="AG1138" s="241"/>
      <c r="AH1138" s="241"/>
      <c r="AI1138" s="241"/>
      <c r="AJ1138" s="242"/>
    </row>
    <row r="1139" hidden="1">
      <c r="A1139" s="241"/>
      <c r="B1139" s="241"/>
      <c r="C1139" s="241"/>
      <c r="D1139" s="241"/>
      <c r="E1139" s="241"/>
      <c r="F1139" s="241"/>
      <c r="G1139" s="241"/>
      <c r="H1139" s="241"/>
      <c r="I1139" s="241"/>
      <c r="J1139" s="241"/>
      <c r="K1139" s="241"/>
      <c r="L1139" s="242"/>
      <c r="M1139" s="241"/>
      <c r="N1139" s="241"/>
      <c r="O1139" s="241"/>
      <c r="P1139" s="241"/>
      <c r="Q1139" s="241"/>
      <c r="R1139" s="241"/>
      <c r="S1139" s="241"/>
      <c r="T1139" s="241"/>
      <c r="U1139" s="241"/>
      <c r="V1139" s="241"/>
      <c r="W1139" s="241"/>
      <c r="X1139" s="242"/>
      <c r="Y1139" s="241"/>
      <c r="Z1139" s="241"/>
      <c r="AA1139" s="241"/>
      <c r="AB1139" s="241"/>
      <c r="AC1139" s="241"/>
      <c r="AD1139" s="241"/>
      <c r="AE1139" s="241"/>
      <c r="AF1139" s="241"/>
      <c r="AG1139" s="241"/>
      <c r="AH1139" s="241"/>
      <c r="AI1139" s="241"/>
      <c r="AJ1139" s="242"/>
    </row>
    <row r="1140" hidden="1">
      <c r="A1140" s="241"/>
      <c r="B1140" s="241"/>
      <c r="C1140" s="241"/>
      <c r="D1140" s="241"/>
      <c r="E1140" s="241"/>
      <c r="F1140" s="241"/>
      <c r="G1140" s="241"/>
      <c r="H1140" s="241"/>
      <c r="I1140" s="241"/>
      <c r="J1140" s="241"/>
      <c r="K1140" s="241"/>
      <c r="L1140" s="242"/>
      <c r="M1140" s="241"/>
      <c r="N1140" s="241"/>
      <c r="O1140" s="241"/>
      <c r="P1140" s="241"/>
      <c r="Q1140" s="241"/>
      <c r="R1140" s="241"/>
      <c r="S1140" s="241"/>
      <c r="T1140" s="241"/>
      <c r="U1140" s="241"/>
      <c r="V1140" s="241"/>
      <c r="W1140" s="241"/>
      <c r="X1140" s="242"/>
      <c r="Y1140" s="241"/>
      <c r="Z1140" s="241"/>
      <c r="AA1140" s="241"/>
      <c r="AB1140" s="241"/>
      <c r="AC1140" s="241"/>
      <c r="AD1140" s="241"/>
      <c r="AE1140" s="241"/>
      <c r="AF1140" s="241"/>
      <c r="AG1140" s="241"/>
      <c r="AH1140" s="241"/>
      <c r="AI1140" s="241"/>
      <c r="AJ1140" s="242"/>
    </row>
    <row r="1141" hidden="1">
      <c r="A1141" s="241"/>
      <c r="B1141" s="241"/>
      <c r="C1141" s="241"/>
      <c r="D1141" s="241"/>
      <c r="E1141" s="241"/>
      <c r="F1141" s="241"/>
      <c r="G1141" s="241"/>
      <c r="H1141" s="241"/>
      <c r="I1141" s="241"/>
      <c r="J1141" s="241"/>
      <c r="K1141" s="241"/>
      <c r="L1141" s="242"/>
      <c r="M1141" s="241"/>
      <c r="N1141" s="241"/>
      <c r="O1141" s="241"/>
      <c r="P1141" s="241"/>
      <c r="Q1141" s="241"/>
      <c r="R1141" s="241"/>
      <c r="S1141" s="241"/>
      <c r="T1141" s="241"/>
      <c r="U1141" s="241"/>
      <c r="V1141" s="241"/>
      <c r="W1141" s="241"/>
      <c r="X1141" s="242"/>
      <c r="Y1141" s="241"/>
      <c r="Z1141" s="241"/>
      <c r="AA1141" s="241"/>
      <c r="AB1141" s="241"/>
      <c r="AC1141" s="241"/>
      <c r="AD1141" s="241"/>
      <c r="AE1141" s="241"/>
      <c r="AF1141" s="241"/>
      <c r="AG1141" s="241"/>
      <c r="AH1141" s="241"/>
      <c r="AI1141" s="241"/>
      <c r="AJ1141" s="242"/>
    </row>
    <row r="1142" hidden="1">
      <c r="A1142" s="241"/>
      <c r="B1142" s="241"/>
      <c r="C1142" s="241"/>
      <c r="D1142" s="241"/>
      <c r="E1142" s="241"/>
      <c r="F1142" s="241"/>
      <c r="G1142" s="241"/>
      <c r="H1142" s="241"/>
      <c r="I1142" s="241"/>
      <c r="J1142" s="241"/>
      <c r="K1142" s="241"/>
      <c r="L1142" s="242"/>
      <c r="M1142" s="241"/>
      <c r="N1142" s="241"/>
      <c r="O1142" s="241"/>
      <c r="P1142" s="241"/>
      <c r="Q1142" s="241"/>
      <c r="R1142" s="241"/>
      <c r="S1142" s="241"/>
      <c r="T1142" s="241"/>
      <c r="U1142" s="241"/>
      <c r="V1142" s="241"/>
      <c r="W1142" s="241"/>
      <c r="X1142" s="242"/>
      <c r="Y1142" s="241"/>
      <c r="Z1142" s="241"/>
      <c r="AA1142" s="241"/>
      <c r="AB1142" s="241"/>
      <c r="AC1142" s="241"/>
      <c r="AD1142" s="241"/>
      <c r="AE1142" s="241"/>
      <c r="AF1142" s="241"/>
      <c r="AG1142" s="241"/>
      <c r="AH1142" s="241"/>
      <c r="AI1142" s="241"/>
      <c r="AJ1142" s="242"/>
    </row>
    <row r="1143" hidden="1">
      <c r="A1143" s="241"/>
      <c r="B1143" s="241"/>
      <c r="C1143" s="241"/>
      <c r="D1143" s="241"/>
      <c r="E1143" s="241"/>
      <c r="F1143" s="241"/>
      <c r="G1143" s="241"/>
      <c r="H1143" s="241"/>
      <c r="I1143" s="241"/>
      <c r="J1143" s="241"/>
      <c r="K1143" s="241"/>
      <c r="L1143" s="242"/>
      <c r="M1143" s="241"/>
      <c r="N1143" s="241"/>
      <c r="O1143" s="241"/>
      <c r="P1143" s="241"/>
      <c r="Q1143" s="241"/>
      <c r="R1143" s="241"/>
      <c r="S1143" s="241"/>
      <c r="T1143" s="241"/>
      <c r="U1143" s="241"/>
      <c r="V1143" s="241"/>
      <c r="W1143" s="241"/>
      <c r="X1143" s="242"/>
      <c r="Y1143" s="241"/>
      <c r="Z1143" s="241"/>
      <c r="AA1143" s="241"/>
      <c r="AB1143" s="241"/>
      <c r="AC1143" s="241"/>
      <c r="AD1143" s="241"/>
      <c r="AE1143" s="241"/>
      <c r="AF1143" s="241"/>
      <c r="AG1143" s="241"/>
      <c r="AH1143" s="241"/>
      <c r="AI1143" s="241"/>
      <c r="AJ1143" s="242"/>
    </row>
    <row r="1144" hidden="1">
      <c r="A1144" s="241"/>
      <c r="B1144" s="241"/>
      <c r="C1144" s="241"/>
      <c r="D1144" s="241"/>
      <c r="E1144" s="241"/>
      <c r="F1144" s="241"/>
      <c r="G1144" s="241"/>
      <c r="H1144" s="241"/>
      <c r="I1144" s="241"/>
      <c r="J1144" s="241"/>
      <c r="K1144" s="241"/>
      <c r="L1144" s="242"/>
      <c r="M1144" s="241"/>
      <c r="N1144" s="241"/>
      <c r="O1144" s="241"/>
      <c r="P1144" s="241"/>
      <c r="Q1144" s="241"/>
      <c r="R1144" s="241"/>
      <c r="S1144" s="241"/>
      <c r="T1144" s="241"/>
      <c r="U1144" s="241"/>
      <c r="V1144" s="241"/>
      <c r="W1144" s="241"/>
      <c r="X1144" s="242"/>
      <c r="Y1144" s="241"/>
      <c r="Z1144" s="241"/>
      <c r="AA1144" s="241"/>
      <c r="AB1144" s="241"/>
      <c r="AC1144" s="241"/>
      <c r="AD1144" s="241"/>
      <c r="AE1144" s="241"/>
      <c r="AF1144" s="241"/>
      <c r="AG1144" s="241"/>
      <c r="AH1144" s="241"/>
      <c r="AI1144" s="241"/>
      <c r="AJ1144" s="242"/>
    </row>
    <row r="1145" hidden="1">
      <c r="A1145" s="241"/>
      <c r="B1145" s="241"/>
      <c r="C1145" s="241"/>
      <c r="D1145" s="241"/>
      <c r="E1145" s="241"/>
      <c r="F1145" s="241"/>
      <c r="G1145" s="241"/>
      <c r="H1145" s="241"/>
      <c r="I1145" s="241"/>
      <c r="J1145" s="241"/>
      <c r="K1145" s="241"/>
      <c r="L1145" s="242"/>
      <c r="M1145" s="241"/>
      <c r="N1145" s="241"/>
      <c r="O1145" s="241"/>
      <c r="P1145" s="241"/>
      <c r="Q1145" s="241"/>
      <c r="R1145" s="241"/>
      <c r="S1145" s="241"/>
      <c r="T1145" s="241"/>
      <c r="U1145" s="241"/>
      <c r="V1145" s="241"/>
      <c r="W1145" s="241"/>
      <c r="X1145" s="242"/>
      <c r="Y1145" s="241"/>
      <c r="Z1145" s="241"/>
      <c r="AA1145" s="241"/>
      <c r="AB1145" s="241"/>
      <c r="AC1145" s="241"/>
      <c r="AD1145" s="241"/>
      <c r="AE1145" s="241"/>
      <c r="AF1145" s="241"/>
      <c r="AG1145" s="241"/>
      <c r="AH1145" s="241"/>
      <c r="AI1145" s="241"/>
      <c r="AJ1145" s="242"/>
    </row>
    <row r="1146" hidden="1">
      <c r="A1146" s="241"/>
      <c r="B1146" s="241"/>
      <c r="C1146" s="241"/>
      <c r="D1146" s="241"/>
      <c r="E1146" s="241"/>
      <c r="F1146" s="241"/>
      <c r="G1146" s="241"/>
      <c r="H1146" s="241"/>
      <c r="I1146" s="241"/>
      <c r="J1146" s="241"/>
      <c r="K1146" s="241"/>
      <c r="L1146" s="242"/>
      <c r="M1146" s="241"/>
      <c r="N1146" s="241"/>
      <c r="O1146" s="241"/>
      <c r="P1146" s="241"/>
      <c r="Q1146" s="241"/>
      <c r="R1146" s="241"/>
      <c r="S1146" s="241"/>
      <c r="T1146" s="241"/>
      <c r="U1146" s="241"/>
      <c r="V1146" s="241"/>
      <c r="W1146" s="241"/>
      <c r="X1146" s="242"/>
      <c r="Y1146" s="241"/>
      <c r="Z1146" s="241"/>
      <c r="AA1146" s="241"/>
      <c r="AB1146" s="241"/>
      <c r="AC1146" s="241"/>
      <c r="AD1146" s="241"/>
      <c r="AE1146" s="241"/>
      <c r="AF1146" s="241"/>
      <c r="AG1146" s="241"/>
      <c r="AH1146" s="241"/>
      <c r="AI1146" s="241"/>
      <c r="AJ1146" s="242"/>
    </row>
    <row r="1147" hidden="1">
      <c r="A1147" s="241"/>
      <c r="B1147" s="241"/>
      <c r="C1147" s="241"/>
      <c r="D1147" s="241"/>
      <c r="E1147" s="241"/>
      <c r="F1147" s="241"/>
      <c r="G1147" s="241"/>
      <c r="H1147" s="241"/>
      <c r="I1147" s="241"/>
      <c r="J1147" s="241"/>
      <c r="K1147" s="241"/>
      <c r="L1147" s="242"/>
      <c r="M1147" s="241"/>
      <c r="N1147" s="241"/>
      <c r="O1147" s="241"/>
      <c r="P1147" s="241"/>
      <c r="Q1147" s="241"/>
      <c r="R1147" s="241"/>
      <c r="S1147" s="241"/>
      <c r="T1147" s="241"/>
      <c r="U1147" s="241"/>
      <c r="V1147" s="241"/>
      <c r="W1147" s="241"/>
      <c r="X1147" s="242"/>
      <c r="Y1147" s="241"/>
      <c r="Z1147" s="241"/>
      <c r="AA1147" s="241"/>
      <c r="AB1147" s="241"/>
      <c r="AC1147" s="241"/>
      <c r="AD1147" s="241"/>
      <c r="AE1147" s="241"/>
      <c r="AF1147" s="241"/>
      <c r="AG1147" s="241"/>
      <c r="AH1147" s="241"/>
      <c r="AI1147" s="241"/>
      <c r="AJ1147" s="242"/>
    </row>
    <row r="1148" hidden="1">
      <c r="A1148" s="241"/>
      <c r="B1148" s="241"/>
      <c r="C1148" s="241"/>
      <c r="D1148" s="241"/>
      <c r="E1148" s="241"/>
      <c r="F1148" s="241"/>
      <c r="G1148" s="241"/>
      <c r="H1148" s="241"/>
      <c r="I1148" s="241"/>
      <c r="J1148" s="241"/>
      <c r="K1148" s="241"/>
      <c r="L1148" s="242"/>
      <c r="M1148" s="241"/>
      <c r="N1148" s="241"/>
      <c r="O1148" s="241"/>
      <c r="P1148" s="241"/>
      <c r="Q1148" s="241"/>
      <c r="R1148" s="241"/>
      <c r="S1148" s="241"/>
      <c r="T1148" s="241"/>
      <c r="U1148" s="241"/>
      <c r="V1148" s="241"/>
      <c r="W1148" s="241"/>
      <c r="X1148" s="242"/>
      <c r="Y1148" s="241"/>
      <c r="Z1148" s="241"/>
      <c r="AA1148" s="241"/>
      <c r="AB1148" s="241"/>
      <c r="AC1148" s="241"/>
      <c r="AD1148" s="241"/>
      <c r="AE1148" s="241"/>
      <c r="AF1148" s="241"/>
      <c r="AG1148" s="241"/>
      <c r="AH1148" s="241"/>
      <c r="AI1148" s="241"/>
      <c r="AJ1148" s="242"/>
    </row>
    <row r="1149" hidden="1">
      <c r="A1149" s="241"/>
      <c r="B1149" s="241"/>
      <c r="C1149" s="241"/>
      <c r="D1149" s="241"/>
      <c r="E1149" s="241"/>
      <c r="F1149" s="241"/>
      <c r="G1149" s="241"/>
      <c r="H1149" s="241"/>
      <c r="I1149" s="241"/>
      <c r="J1149" s="241"/>
      <c r="K1149" s="241"/>
      <c r="L1149" s="242"/>
      <c r="M1149" s="241"/>
      <c r="N1149" s="241"/>
      <c r="O1149" s="241"/>
      <c r="P1149" s="241"/>
      <c r="Q1149" s="241"/>
      <c r="R1149" s="241"/>
      <c r="S1149" s="241"/>
      <c r="T1149" s="241"/>
      <c r="U1149" s="241"/>
      <c r="V1149" s="241"/>
      <c r="W1149" s="241"/>
      <c r="X1149" s="242"/>
      <c r="Y1149" s="241"/>
      <c r="Z1149" s="241"/>
      <c r="AA1149" s="241"/>
      <c r="AB1149" s="241"/>
      <c r="AC1149" s="241"/>
      <c r="AD1149" s="241"/>
      <c r="AE1149" s="241"/>
      <c r="AF1149" s="241"/>
      <c r="AG1149" s="241"/>
      <c r="AH1149" s="241"/>
      <c r="AI1149" s="241"/>
      <c r="AJ1149" s="242"/>
    </row>
    <row r="1150" hidden="1">
      <c r="A1150" s="241"/>
      <c r="B1150" s="241"/>
      <c r="C1150" s="241"/>
      <c r="D1150" s="241"/>
      <c r="E1150" s="241"/>
      <c r="F1150" s="241"/>
      <c r="G1150" s="241"/>
      <c r="H1150" s="241"/>
      <c r="I1150" s="241"/>
      <c r="J1150" s="241"/>
      <c r="K1150" s="241"/>
      <c r="L1150" s="242"/>
      <c r="M1150" s="241"/>
      <c r="N1150" s="241"/>
      <c r="O1150" s="241"/>
      <c r="P1150" s="241"/>
      <c r="Q1150" s="241"/>
      <c r="R1150" s="241"/>
      <c r="S1150" s="241"/>
      <c r="T1150" s="241"/>
      <c r="U1150" s="241"/>
      <c r="V1150" s="241"/>
      <c r="W1150" s="241"/>
      <c r="X1150" s="242"/>
      <c r="Y1150" s="241"/>
      <c r="Z1150" s="241"/>
      <c r="AA1150" s="241"/>
      <c r="AB1150" s="241"/>
      <c r="AC1150" s="241"/>
      <c r="AD1150" s="241"/>
      <c r="AE1150" s="241"/>
      <c r="AF1150" s="241"/>
      <c r="AG1150" s="241"/>
      <c r="AH1150" s="241"/>
      <c r="AI1150" s="241"/>
      <c r="AJ1150" s="242"/>
    </row>
    <row r="1151" hidden="1">
      <c r="A1151" s="241"/>
      <c r="B1151" s="241"/>
      <c r="C1151" s="241"/>
      <c r="D1151" s="241"/>
      <c r="E1151" s="241"/>
      <c r="F1151" s="241"/>
      <c r="G1151" s="241"/>
      <c r="H1151" s="241"/>
      <c r="I1151" s="241"/>
      <c r="J1151" s="241"/>
      <c r="K1151" s="241"/>
      <c r="L1151" s="242"/>
      <c r="M1151" s="241"/>
      <c r="N1151" s="241"/>
      <c r="O1151" s="241"/>
      <c r="P1151" s="241"/>
      <c r="Q1151" s="241"/>
      <c r="R1151" s="241"/>
      <c r="S1151" s="241"/>
      <c r="T1151" s="241"/>
      <c r="U1151" s="241"/>
      <c r="V1151" s="241"/>
      <c r="W1151" s="241"/>
      <c r="X1151" s="242"/>
      <c r="Y1151" s="241"/>
      <c r="Z1151" s="241"/>
      <c r="AA1151" s="241"/>
      <c r="AB1151" s="241"/>
      <c r="AC1151" s="241"/>
      <c r="AD1151" s="241"/>
      <c r="AE1151" s="241"/>
      <c r="AF1151" s="241"/>
      <c r="AG1151" s="241"/>
      <c r="AH1151" s="241"/>
      <c r="AI1151" s="241"/>
      <c r="AJ1151" s="242"/>
    </row>
    <row r="1152" hidden="1">
      <c r="A1152" s="241"/>
      <c r="B1152" s="241"/>
      <c r="C1152" s="241"/>
      <c r="D1152" s="241"/>
      <c r="E1152" s="241"/>
      <c r="F1152" s="241"/>
      <c r="G1152" s="241"/>
      <c r="H1152" s="241"/>
      <c r="I1152" s="241"/>
      <c r="J1152" s="241"/>
      <c r="K1152" s="241"/>
      <c r="L1152" s="242"/>
      <c r="M1152" s="241"/>
      <c r="N1152" s="241"/>
      <c r="O1152" s="241"/>
      <c r="P1152" s="241"/>
      <c r="Q1152" s="241"/>
      <c r="R1152" s="241"/>
      <c r="S1152" s="241"/>
      <c r="T1152" s="241"/>
      <c r="U1152" s="241"/>
      <c r="V1152" s="241"/>
      <c r="W1152" s="241"/>
      <c r="X1152" s="242"/>
      <c r="Y1152" s="241"/>
      <c r="Z1152" s="241"/>
      <c r="AA1152" s="241"/>
      <c r="AB1152" s="241"/>
      <c r="AC1152" s="241"/>
      <c r="AD1152" s="241"/>
      <c r="AE1152" s="241"/>
      <c r="AF1152" s="241"/>
      <c r="AG1152" s="241"/>
      <c r="AH1152" s="241"/>
      <c r="AI1152" s="241"/>
      <c r="AJ1152" s="242"/>
    </row>
    <row r="1153" hidden="1">
      <c r="A1153" s="241"/>
      <c r="B1153" s="241"/>
      <c r="C1153" s="241"/>
      <c r="D1153" s="241"/>
      <c r="E1153" s="241"/>
      <c r="F1153" s="241"/>
      <c r="G1153" s="241"/>
      <c r="H1153" s="241"/>
      <c r="I1153" s="241"/>
      <c r="J1153" s="241"/>
      <c r="K1153" s="241"/>
      <c r="L1153" s="242"/>
      <c r="M1153" s="241"/>
      <c r="N1153" s="241"/>
      <c r="O1153" s="241"/>
      <c r="P1153" s="241"/>
      <c r="Q1153" s="241"/>
      <c r="R1153" s="241"/>
      <c r="S1153" s="241"/>
      <c r="T1153" s="241"/>
      <c r="U1153" s="241"/>
      <c r="V1153" s="241"/>
      <c r="W1153" s="241"/>
      <c r="X1153" s="242"/>
      <c r="Y1153" s="241"/>
      <c r="Z1153" s="241"/>
      <c r="AA1153" s="241"/>
      <c r="AB1153" s="241"/>
      <c r="AC1153" s="241"/>
      <c r="AD1153" s="241"/>
      <c r="AE1153" s="241"/>
      <c r="AF1153" s="241"/>
      <c r="AG1153" s="241"/>
      <c r="AH1153" s="241"/>
      <c r="AI1153" s="241"/>
      <c r="AJ1153" s="242"/>
    </row>
    <row r="1154" hidden="1">
      <c r="A1154" s="241"/>
      <c r="B1154" s="241"/>
      <c r="C1154" s="241"/>
      <c r="D1154" s="241"/>
      <c r="E1154" s="241"/>
      <c r="F1154" s="241"/>
      <c r="G1154" s="241"/>
      <c r="H1154" s="241"/>
      <c r="I1154" s="241"/>
      <c r="J1154" s="241"/>
      <c r="K1154" s="241"/>
      <c r="L1154" s="242"/>
      <c r="M1154" s="241"/>
      <c r="N1154" s="241"/>
      <c r="O1154" s="241"/>
      <c r="P1154" s="241"/>
      <c r="Q1154" s="241"/>
      <c r="R1154" s="241"/>
      <c r="S1154" s="241"/>
      <c r="T1154" s="241"/>
      <c r="U1154" s="241"/>
      <c r="V1154" s="241"/>
      <c r="W1154" s="241"/>
      <c r="X1154" s="242"/>
      <c r="Y1154" s="241"/>
      <c r="Z1154" s="241"/>
      <c r="AA1154" s="241"/>
      <c r="AB1154" s="241"/>
      <c r="AC1154" s="241"/>
      <c r="AD1154" s="241"/>
      <c r="AE1154" s="241"/>
      <c r="AF1154" s="241"/>
      <c r="AG1154" s="241"/>
      <c r="AH1154" s="241"/>
      <c r="AI1154" s="241"/>
      <c r="AJ1154" s="242"/>
    </row>
    <row r="1155" hidden="1">
      <c r="A1155" s="241"/>
      <c r="B1155" s="241"/>
      <c r="C1155" s="241"/>
      <c r="D1155" s="241"/>
      <c r="E1155" s="241"/>
      <c r="F1155" s="241"/>
      <c r="G1155" s="241"/>
      <c r="H1155" s="241"/>
      <c r="I1155" s="241"/>
      <c r="J1155" s="241"/>
      <c r="K1155" s="241"/>
      <c r="L1155" s="242"/>
      <c r="M1155" s="241"/>
      <c r="N1155" s="241"/>
      <c r="O1155" s="241"/>
      <c r="P1155" s="241"/>
      <c r="Q1155" s="241"/>
      <c r="R1155" s="241"/>
      <c r="S1155" s="241"/>
      <c r="T1155" s="241"/>
      <c r="U1155" s="241"/>
      <c r="V1155" s="241"/>
      <c r="W1155" s="241"/>
      <c r="X1155" s="242"/>
      <c r="Y1155" s="241"/>
      <c r="Z1155" s="241"/>
      <c r="AA1155" s="241"/>
      <c r="AB1155" s="241"/>
      <c r="AC1155" s="241"/>
      <c r="AD1155" s="241"/>
      <c r="AE1155" s="241"/>
      <c r="AF1155" s="241"/>
      <c r="AG1155" s="241"/>
      <c r="AH1155" s="241"/>
      <c r="AI1155" s="241"/>
      <c r="AJ1155" s="242"/>
    </row>
    <row r="1156" hidden="1">
      <c r="A1156" s="241"/>
      <c r="B1156" s="241"/>
      <c r="C1156" s="241"/>
      <c r="D1156" s="241"/>
      <c r="E1156" s="241"/>
      <c r="F1156" s="241"/>
      <c r="G1156" s="241"/>
      <c r="H1156" s="241"/>
      <c r="I1156" s="241"/>
      <c r="J1156" s="241"/>
      <c r="K1156" s="241"/>
      <c r="L1156" s="242"/>
      <c r="M1156" s="241"/>
      <c r="N1156" s="241"/>
      <c r="O1156" s="241"/>
      <c r="P1156" s="241"/>
      <c r="Q1156" s="241"/>
      <c r="R1156" s="241"/>
      <c r="S1156" s="241"/>
      <c r="T1156" s="241"/>
      <c r="U1156" s="241"/>
      <c r="V1156" s="241"/>
      <c r="W1156" s="241"/>
      <c r="X1156" s="242"/>
      <c r="Y1156" s="241"/>
      <c r="Z1156" s="241"/>
      <c r="AA1156" s="241"/>
      <c r="AB1156" s="241"/>
      <c r="AC1156" s="241"/>
      <c r="AD1156" s="241"/>
      <c r="AE1156" s="241"/>
      <c r="AF1156" s="241"/>
      <c r="AG1156" s="241"/>
      <c r="AH1156" s="241"/>
      <c r="AI1156" s="241"/>
      <c r="AJ1156" s="242"/>
    </row>
    <row r="1157" hidden="1">
      <c r="A1157" s="241"/>
      <c r="B1157" s="241"/>
      <c r="C1157" s="241"/>
      <c r="D1157" s="241"/>
      <c r="E1157" s="241"/>
      <c r="F1157" s="241"/>
      <c r="G1157" s="241"/>
      <c r="H1157" s="241"/>
      <c r="I1157" s="241"/>
      <c r="J1157" s="241"/>
      <c r="K1157" s="241"/>
      <c r="L1157" s="242"/>
      <c r="M1157" s="241"/>
      <c r="N1157" s="241"/>
      <c r="O1157" s="241"/>
      <c r="P1157" s="241"/>
      <c r="Q1157" s="241"/>
      <c r="R1157" s="241"/>
      <c r="S1157" s="241"/>
      <c r="T1157" s="241"/>
      <c r="U1157" s="241"/>
      <c r="V1157" s="241"/>
      <c r="W1157" s="241"/>
      <c r="X1157" s="242"/>
      <c r="Y1157" s="241"/>
      <c r="Z1157" s="241"/>
      <c r="AA1157" s="241"/>
      <c r="AB1157" s="241"/>
      <c r="AC1157" s="241"/>
      <c r="AD1157" s="241"/>
      <c r="AE1157" s="241"/>
      <c r="AF1157" s="241"/>
      <c r="AG1157" s="241"/>
      <c r="AH1157" s="241"/>
      <c r="AI1157" s="241"/>
      <c r="AJ1157" s="242"/>
    </row>
    <row r="1158" hidden="1">
      <c r="A1158" s="241"/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2"/>
      <c r="M1158" s="241"/>
      <c r="N1158" s="241"/>
      <c r="O1158" s="241"/>
      <c r="P1158" s="241"/>
      <c r="Q1158" s="241"/>
      <c r="R1158" s="241"/>
      <c r="S1158" s="241"/>
      <c r="T1158" s="241"/>
      <c r="U1158" s="241"/>
      <c r="V1158" s="241"/>
      <c r="W1158" s="241"/>
      <c r="X1158" s="242"/>
      <c r="Y1158" s="241"/>
      <c r="Z1158" s="241"/>
      <c r="AA1158" s="241"/>
      <c r="AB1158" s="241"/>
      <c r="AC1158" s="241"/>
      <c r="AD1158" s="241"/>
      <c r="AE1158" s="241"/>
      <c r="AF1158" s="241"/>
      <c r="AG1158" s="241"/>
      <c r="AH1158" s="241"/>
      <c r="AI1158" s="241"/>
      <c r="AJ1158" s="242"/>
    </row>
    <row r="1159" hidden="1">
      <c r="A1159" s="241"/>
      <c r="B1159" s="241"/>
      <c r="C1159" s="241"/>
      <c r="D1159" s="241"/>
      <c r="E1159" s="241"/>
      <c r="F1159" s="241"/>
      <c r="G1159" s="241"/>
      <c r="H1159" s="241"/>
      <c r="I1159" s="241"/>
      <c r="J1159" s="241"/>
      <c r="K1159" s="241"/>
      <c r="L1159" s="242"/>
      <c r="M1159" s="241"/>
      <c r="N1159" s="241"/>
      <c r="O1159" s="241"/>
      <c r="P1159" s="241"/>
      <c r="Q1159" s="241"/>
      <c r="R1159" s="241"/>
      <c r="S1159" s="241"/>
      <c r="T1159" s="241"/>
      <c r="U1159" s="241"/>
      <c r="V1159" s="241"/>
      <c r="W1159" s="241"/>
      <c r="X1159" s="242"/>
      <c r="Y1159" s="241"/>
      <c r="Z1159" s="241"/>
      <c r="AA1159" s="241"/>
      <c r="AB1159" s="241"/>
      <c r="AC1159" s="241"/>
      <c r="AD1159" s="241"/>
      <c r="AE1159" s="241"/>
      <c r="AF1159" s="241"/>
      <c r="AG1159" s="241"/>
      <c r="AH1159" s="241"/>
      <c r="AI1159" s="241"/>
      <c r="AJ1159" s="242"/>
    </row>
    <row r="1160" hidden="1">
      <c r="A1160" s="241"/>
      <c r="B1160" s="241"/>
      <c r="C1160" s="241"/>
      <c r="D1160" s="241"/>
      <c r="E1160" s="241"/>
      <c r="F1160" s="241"/>
      <c r="G1160" s="241"/>
      <c r="H1160" s="241"/>
      <c r="I1160" s="241"/>
      <c r="J1160" s="241"/>
      <c r="K1160" s="241"/>
      <c r="L1160" s="242"/>
      <c r="M1160" s="241"/>
      <c r="N1160" s="241"/>
      <c r="O1160" s="241"/>
      <c r="P1160" s="241"/>
      <c r="Q1160" s="241"/>
      <c r="R1160" s="241"/>
      <c r="S1160" s="241"/>
      <c r="T1160" s="241"/>
      <c r="U1160" s="241"/>
      <c r="V1160" s="241"/>
      <c r="W1160" s="241"/>
      <c r="X1160" s="242"/>
      <c r="Y1160" s="241"/>
      <c r="Z1160" s="241"/>
      <c r="AA1160" s="241"/>
      <c r="AB1160" s="241"/>
      <c r="AC1160" s="241"/>
      <c r="AD1160" s="241"/>
      <c r="AE1160" s="241"/>
      <c r="AF1160" s="241"/>
      <c r="AG1160" s="241"/>
      <c r="AH1160" s="241"/>
      <c r="AI1160" s="241"/>
      <c r="AJ1160" s="242"/>
    </row>
    <row r="1161" hidden="1">
      <c r="A1161" s="241"/>
      <c r="B1161" s="241"/>
      <c r="C1161" s="241"/>
      <c r="D1161" s="241"/>
      <c r="E1161" s="241"/>
      <c r="F1161" s="241"/>
      <c r="G1161" s="241"/>
      <c r="H1161" s="241"/>
      <c r="I1161" s="241"/>
      <c r="J1161" s="241"/>
      <c r="K1161" s="241"/>
      <c r="L1161" s="242"/>
      <c r="M1161" s="241"/>
      <c r="N1161" s="241"/>
      <c r="O1161" s="241"/>
      <c r="P1161" s="241"/>
      <c r="Q1161" s="241"/>
      <c r="R1161" s="241"/>
      <c r="S1161" s="241"/>
      <c r="T1161" s="241"/>
      <c r="U1161" s="241"/>
      <c r="V1161" s="241"/>
      <c r="W1161" s="241"/>
      <c r="X1161" s="242"/>
      <c r="Y1161" s="241"/>
      <c r="Z1161" s="241"/>
      <c r="AA1161" s="241"/>
      <c r="AB1161" s="241"/>
      <c r="AC1161" s="241"/>
      <c r="AD1161" s="241"/>
      <c r="AE1161" s="241"/>
      <c r="AF1161" s="241"/>
      <c r="AG1161" s="241"/>
      <c r="AH1161" s="241"/>
      <c r="AI1161" s="241"/>
      <c r="AJ1161" s="242"/>
    </row>
    <row r="1162" hidden="1">
      <c r="A1162" s="241"/>
      <c r="B1162" s="241"/>
      <c r="C1162" s="241"/>
      <c r="D1162" s="241"/>
      <c r="E1162" s="241"/>
      <c r="F1162" s="241"/>
      <c r="G1162" s="241"/>
      <c r="H1162" s="241"/>
      <c r="I1162" s="241"/>
      <c r="J1162" s="241"/>
      <c r="K1162" s="241"/>
      <c r="L1162" s="242"/>
      <c r="M1162" s="241"/>
      <c r="N1162" s="241"/>
      <c r="O1162" s="241"/>
      <c r="P1162" s="241"/>
      <c r="Q1162" s="241"/>
      <c r="R1162" s="241"/>
      <c r="S1162" s="241"/>
      <c r="T1162" s="241"/>
      <c r="U1162" s="241"/>
      <c r="V1162" s="241"/>
      <c r="W1162" s="241"/>
      <c r="X1162" s="242"/>
      <c r="Y1162" s="241"/>
      <c r="Z1162" s="241"/>
      <c r="AA1162" s="241"/>
      <c r="AB1162" s="241"/>
      <c r="AC1162" s="241"/>
      <c r="AD1162" s="241"/>
      <c r="AE1162" s="241"/>
      <c r="AF1162" s="241"/>
      <c r="AG1162" s="241"/>
      <c r="AH1162" s="241"/>
      <c r="AI1162" s="241"/>
      <c r="AJ1162" s="242"/>
    </row>
    <row r="1163" hidden="1">
      <c r="A1163" s="241"/>
      <c r="B1163" s="241"/>
      <c r="C1163" s="241"/>
      <c r="D1163" s="241"/>
      <c r="E1163" s="241"/>
      <c r="F1163" s="241"/>
      <c r="G1163" s="241"/>
      <c r="H1163" s="241"/>
      <c r="I1163" s="241"/>
      <c r="J1163" s="241"/>
      <c r="K1163" s="241"/>
      <c r="L1163" s="242"/>
      <c r="M1163" s="241"/>
      <c r="N1163" s="241"/>
      <c r="O1163" s="241"/>
      <c r="P1163" s="241"/>
      <c r="Q1163" s="241"/>
      <c r="R1163" s="241"/>
      <c r="S1163" s="241"/>
      <c r="T1163" s="241"/>
      <c r="U1163" s="241"/>
      <c r="V1163" s="241"/>
      <c r="W1163" s="241"/>
      <c r="X1163" s="242"/>
      <c r="Y1163" s="241"/>
      <c r="Z1163" s="241"/>
      <c r="AA1163" s="241"/>
      <c r="AB1163" s="241"/>
      <c r="AC1163" s="241"/>
      <c r="AD1163" s="241"/>
      <c r="AE1163" s="241"/>
      <c r="AF1163" s="241"/>
      <c r="AG1163" s="241"/>
      <c r="AH1163" s="241"/>
      <c r="AI1163" s="241"/>
      <c r="AJ1163" s="242"/>
    </row>
    <row r="1164" hidden="1">
      <c r="A1164" s="241"/>
      <c r="B1164" s="241"/>
      <c r="C1164" s="241"/>
      <c r="D1164" s="241"/>
      <c r="E1164" s="241"/>
      <c r="F1164" s="241"/>
      <c r="G1164" s="241"/>
      <c r="H1164" s="241"/>
      <c r="I1164" s="241"/>
      <c r="J1164" s="241"/>
      <c r="K1164" s="241"/>
      <c r="L1164" s="242"/>
      <c r="M1164" s="241"/>
      <c r="N1164" s="241"/>
      <c r="O1164" s="241"/>
      <c r="P1164" s="241"/>
      <c r="Q1164" s="241"/>
      <c r="R1164" s="241"/>
      <c r="S1164" s="241"/>
      <c r="T1164" s="241"/>
      <c r="U1164" s="241"/>
      <c r="V1164" s="241"/>
      <c r="W1164" s="241"/>
      <c r="X1164" s="242"/>
      <c r="Y1164" s="241"/>
      <c r="Z1164" s="241"/>
      <c r="AA1164" s="241"/>
      <c r="AB1164" s="241"/>
      <c r="AC1164" s="241"/>
      <c r="AD1164" s="241"/>
      <c r="AE1164" s="241"/>
      <c r="AF1164" s="241"/>
      <c r="AG1164" s="241"/>
      <c r="AH1164" s="241"/>
      <c r="AI1164" s="241"/>
      <c r="AJ1164" s="242"/>
    </row>
    <row r="1165" hidden="1">
      <c r="A1165" s="241"/>
      <c r="B1165" s="241"/>
      <c r="C1165" s="241"/>
      <c r="D1165" s="241"/>
      <c r="E1165" s="241"/>
      <c r="F1165" s="241"/>
      <c r="G1165" s="241"/>
      <c r="H1165" s="241"/>
      <c r="I1165" s="241"/>
      <c r="J1165" s="241"/>
      <c r="K1165" s="241"/>
      <c r="L1165" s="242"/>
      <c r="M1165" s="241"/>
      <c r="N1165" s="241"/>
      <c r="O1165" s="241"/>
      <c r="P1165" s="241"/>
      <c r="Q1165" s="241"/>
      <c r="R1165" s="241"/>
      <c r="S1165" s="241"/>
      <c r="T1165" s="241"/>
      <c r="U1165" s="241"/>
      <c r="V1165" s="241"/>
      <c r="W1165" s="241"/>
      <c r="X1165" s="242"/>
      <c r="Y1165" s="241"/>
      <c r="Z1165" s="241"/>
      <c r="AA1165" s="241"/>
      <c r="AB1165" s="241"/>
      <c r="AC1165" s="241"/>
      <c r="AD1165" s="241"/>
      <c r="AE1165" s="241"/>
      <c r="AF1165" s="241"/>
      <c r="AG1165" s="241"/>
      <c r="AH1165" s="241"/>
      <c r="AI1165" s="241"/>
      <c r="AJ1165" s="242"/>
    </row>
    <row r="1166" hidden="1">
      <c r="A1166" s="241"/>
      <c r="B1166" s="241"/>
      <c r="C1166" s="241"/>
      <c r="D1166" s="241"/>
      <c r="E1166" s="241"/>
      <c r="F1166" s="241"/>
      <c r="G1166" s="241"/>
      <c r="H1166" s="241"/>
      <c r="I1166" s="241"/>
      <c r="J1166" s="241"/>
      <c r="K1166" s="241"/>
      <c r="L1166" s="242"/>
      <c r="M1166" s="241"/>
      <c r="N1166" s="241"/>
      <c r="O1166" s="241"/>
      <c r="P1166" s="241"/>
      <c r="Q1166" s="241"/>
      <c r="R1166" s="241"/>
      <c r="S1166" s="241"/>
      <c r="T1166" s="241"/>
      <c r="U1166" s="241"/>
      <c r="V1166" s="241"/>
      <c r="W1166" s="241"/>
      <c r="X1166" s="242"/>
      <c r="Y1166" s="241"/>
      <c r="Z1166" s="241"/>
      <c r="AA1166" s="241"/>
      <c r="AB1166" s="241"/>
      <c r="AC1166" s="241"/>
      <c r="AD1166" s="241"/>
      <c r="AE1166" s="241"/>
      <c r="AF1166" s="241"/>
      <c r="AG1166" s="241"/>
      <c r="AH1166" s="241"/>
      <c r="AI1166" s="241"/>
      <c r="AJ1166" s="242"/>
    </row>
    <row r="1167" hidden="1">
      <c r="A1167" s="241"/>
      <c r="B1167" s="241"/>
      <c r="C1167" s="241"/>
      <c r="D1167" s="241"/>
      <c r="E1167" s="241"/>
      <c r="F1167" s="241"/>
      <c r="G1167" s="241"/>
      <c r="H1167" s="241"/>
      <c r="I1167" s="241"/>
      <c r="J1167" s="241"/>
      <c r="K1167" s="241"/>
      <c r="L1167" s="242"/>
      <c r="M1167" s="241"/>
      <c r="N1167" s="241"/>
      <c r="O1167" s="241"/>
      <c r="P1167" s="241"/>
      <c r="Q1167" s="241"/>
      <c r="R1167" s="241"/>
      <c r="S1167" s="241"/>
      <c r="T1167" s="241"/>
      <c r="U1167" s="241"/>
      <c r="V1167" s="241"/>
      <c r="W1167" s="241"/>
      <c r="X1167" s="242"/>
      <c r="Y1167" s="241"/>
      <c r="Z1167" s="241"/>
      <c r="AA1167" s="241"/>
      <c r="AB1167" s="241"/>
      <c r="AC1167" s="241"/>
      <c r="AD1167" s="241"/>
      <c r="AE1167" s="241"/>
      <c r="AF1167" s="241"/>
      <c r="AG1167" s="241"/>
      <c r="AH1167" s="241"/>
      <c r="AI1167" s="241"/>
      <c r="AJ1167" s="242"/>
    </row>
    <row r="1168" hidden="1">
      <c r="A1168" s="241"/>
      <c r="B1168" s="241"/>
      <c r="C1168" s="241"/>
      <c r="D1168" s="241"/>
      <c r="E1168" s="241"/>
      <c r="F1168" s="241"/>
      <c r="G1168" s="241"/>
      <c r="H1168" s="241"/>
      <c r="I1168" s="241"/>
      <c r="J1168" s="241"/>
      <c r="K1168" s="241"/>
      <c r="L1168" s="242"/>
      <c r="M1168" s="241"/>
      <c r="N1168" s="241"/>
      <c r="O1168" s="241"/>
      <c r="P1168" s="241"/>
      <c r="Q1168" s="241"/>
      <c r="R1168" s="241"/>
      <c r="S1168" s="241"/>
      <c r="T1168" s="241"/>
      <c r="U1168" s="241"/>
      <c r="V1168" s="241"/>
      <c r="W1168" s="241"/>
      <c r="X1168" s="242"/>
      <c r="Y1168" s="241"/>
      <c r="Z1168" s="241"/>
      <c r="AA1168" s="241"/>
      <c r="AB1168" s="241"/>
      <c r="AC1168" s="241"/>
      <c r="AD1168" s="241"/>
      <c r="AE1168" s="241"/>
      <c r="AF1168" s="241"/>
      <c r="AG1168" s="241"/>
      <c r="AH1168" s="241"/>
      <c r="AI1168" s="241"/>
      <c r="AJ1168" s="242"/>
    </row>
    <row r="1169" hidden="1">
      <c r="A1169" s="241"/>
      <c r="B1169" s="241"/>
      <c r="C1169" s="241"/>
      <c r="D1169" s="241"/>
      <c r="E1169" s="241"/>
      <c r="F1169" s="241"/>
      <c r="G1169" s="241"/>
      <c r="H1169" s="241"/>
      <c r="I1169" s="241"/>
      <c r="J1169" s="241"/>
      <c r="K1169" s="241"/>
      <c r="L1169" s="242"/>
      <c r="M1169" s="241"/>
      <c r="N1169" s="241"/>
      <c r="O1169" s="241"/>
      <c r="P1169" s="241"/>
      <c r="Q1169" s="241"/>
      <c r="R1169" s="241"/>
      <c r="S1169" s="241"/>
      <c r="T1169" s="241"/>
      <c r="U1169" s="241"/>
      <c r="V1169" s="241"/>
      <c r="W1169" s="241"/>
      <c r="X1169" s="242"/>
      <c r="Y1169" s="241"/>
      <c r="Z1169" s="241"/>
      <c r="AA1169" s="241"/>
      <c r="AB1169" s="241"/>
      <c r="AC1169" s="241"/>
      <c r="AD1169" s="241"/>
      <c r="AE1169" s="241"/>
      <c r="AF1169" s="241"/>
      <c r="AG1169" s="241"/>
      <c r="AH1169" s="241"/>
      <c r="AI1169" s="241"/>
      <c r="AJ1169" s="242"/>
    </row>
    <row r="1170" hidden="1">
      <c r="A1170" s="241"/>
      <c r="B1170" s="241"/>
      <c r="C1170" s="241"/>
      <c r="D1170" s="241"/>
      <c r="E1170" s="241"/>
      <c r="F1170" s="241"/>
      <c r="G1170" s="241"/>
      <c r="H1170" s="241"/>
      <c r="I1170" s="241"/>
      <c r="J1170" s="241"/>
      <c r="K1170" s="241"/>
      <c r="L1170" s="242"/>
      <c r="M1170" s="241"/>
      <c r="N1170" s="241"/>
      <c r="O1170" s="241"/>
      <c r="P1170" s="241"/>
      <c r="Q1170" s="241"/>
      <c r="R1170" s="241"/>
      <c r="S1170" s="241"/>
      <c r="T1170" s="241"/>
      <c r="U1170" s="241"/>
      <c r="V1170" s="241"/>
      <c r="W1170" s="241"/>
      <c r="X1170" s="242"/>
      <c r="Y1170" s="241"/>
      <c r="Z1170" s="241"/>
      <c r="AA1170" s="241"/>
      <c r="AB1170" s="241"/>
      <c r="AC1170" s="241"/>
      <c r="AD1170" s="241"/>
      <c r="AE1170" s="241"/>
      <c r="AF1170" s="241"/>
      <c r="AG1170" s="241"/>
      <c r="AH1170" s="241"/>
      <c r="AI1170" s="241"/>
      <c r="AJ1170" s="242"/>
    </row>
    <row r="1171" hidden="1">
      <c r="A1171" s="241"/>
      <c r="B1171" s="241"/>
      <c r="C1171" s="241"/>
      <c r="D1171" s="241"/>
      <c r="E1171" s="241"/>
      <c r="F1171" s="241"/>
      <c r="G1171" s="241"/>
      <c r="H1171" s="241"/>
      <c r="I1171" s="241"/>
      <c r="J1171" s="241"/>
      <c r="K1171" s="241"/>
      <c r="L1171" s="242"/>
      <c r="M1171" s="241"/>
      <c r="N1171" s="241"/>
      <c r="O1171" s="241"/>
      <c r="P1171" s="241"/>
      <c r="Q1171" s="241"/>
      <c r="R1171" s="241"/>
      <c r="S1171" s="241"/>
      <c r="T1171" s="241"/>
      <c r="U1171" s="241"/>
      <c r="V1171" s="241"/>
      <c r="W1171" s="241"/>
      <c r="X1171" s="242"/>
      <c r="Y1171" s="241"/>
      <c r="Z1171" s="241"/>
      <c r="AA1171" s="241"/>
      <c r="AB1171" s="241"/>
      <c r="AC1171" s="241"/>
      <c r="AD1171" s="241"/>
      <c r="AE1171" s="241"/>
      <c r="AF1171" s="241"/>
      <c r="AG1171" s="241"/>
      <c r="AH1171" s="241"/>
      <c r="AI1171" s="241"/>
      <c r="AJ1171" s="242"/>
    </row>
    <row r="1172" hidden="1">
      <c r="A1172" s="241"/>
      <c r="B1172" s="241"/>
      <c r="C1172" s="241"/>
      <c r="D1172" s="241"/>
      <c r="E1172" s="241"/>
      <c r="F1172" s="241"/>
      <c r="G1172" s="241"/>
      <c r="H1172" s="241"/>
      <c r="I1172" s="241"/>
      <c r="J1172" s="241"/>
      <c r="K1172" s="241"/>
      <c r="L1172" s="242"/>
      <c r="M1172" s="241"/>
      <c r="N1172" s="241"/>
      <c r="O1172" s="241"/>
      <c r="P1172" s="241"/>
      <c r="Q1172" s="241"/>
      <c r="R1172" s="241"/>
      <c r="S1172" s="241"/>
      <c r="T1172" s="241"/>
      <c r="U1172" s="241"/>
      <c r="V1172" s="241"/>
      <c r="W1172" s="241"/>
      <c r="X1172" s="242"/>
      <c r="Y1172" s="241"/>
      <c r="Z1172" s="241"/>
      <c r="AA1172" s="241"/>
      <c r="AB1172" s="241"/>
      <c r="AC1172" s="241"/>
      <c r="AD1172" s="241"/>
      <c r="AE1172" s="241"/>
      <c r="AF1172" s="241"/>
      <c r="AG1172" s="241"/>
      <c r="AH1172" s="241"/>
      <c r="AI1172" s="241"/>
      <c r="AJ1172" s="242"/>
    </row>
    <row r="1173" hidden="1">
      <c r="A1173" s="241"/>
      <c r="B1173" s="241"/>
      <c r="C1173" s="241"/>
      <c r="D1173" s="241"/>
      <c r="E1173" s="241"/>
      <c r="F1173" s="241"/>
      <c r="G1173" s="241"/>
      <c r="H1173" s="241"/>
      <c r="I1173" s="241"/>
      <c r="J1173" s="241"/>
      <c r="K1173" s="241"/>
      <c r="L1173" s="242"/>
      <c r="M1173" s="241"/>
      <c r="N1173" s="241"/>
      <c r="O1173" s="241"/>
      <c r="P1173" s="241"/>
      <c r="Q1173" s="241"/>
      <c r="R1173" s="241"/>
      <c r="S1173" s="241"/>
      <c r="T1173" s="241"/>
      <c r="U1173" s="241"/>
      <c r="V1173" s="241"/>
      <c r="W1173" s="241"/>
      <c r="X1173" s="242"/>
      <c r="Y1173" s="241"/>
      <c r="Z1173" s="241"/>
      <c r="AA1173" s="241"/>
      <c r="AB1173" s="241"/>
      <c r="AC1173" s="241"/>
      <c r="AD1173" s="241"/>
      <c r="AE1173" s="241"/>
      <c r="AF1173" s="241"/>
      <c r="AG1173" s="241"/>
      <c r="AH1173" s="241"/>
      <c r="AI1173" s="241"/>
      <c r="AJ1173" s="242"/>
    </row>
    <row r="1174" hidden="1">
      <c r="A1174" s="241"/>
      <c r="B1174" s="241"/>
      <c r="C1174" s="241"/>
      <c r="D1174" s="241"/>
      <c r="E1174" s="241"/>
      <c r="F1174" s="241"/>
      <c r="G1174" s="241"/>
      <c r="H1174" s="241"/>
      <c r="I1174" s="241"/>
      <c r="J1174" s="241"/>
      <c r="K1174" s="241"/>
      <c r="L1174" s="242"/>
      <c r="M1174" s="241"/>
      <c r="N1174" s="241"/>
      <c r="O1174" s="241"/>
      <c r="P1174" s="241"/>
      <c r="Q1174" s="241"/>
      <c r="R1174" s="241"/>
      <c r="S1174" s="241"/>
      <c r="T1174" s="241"/>
      <c r="U1174" s="241"/>
      <c r="V1174" s="241"/>
      <c r="W1174" s="241"/>
      <c r="X1174" s="242"/>
      <c r="Y1174" s="241"/>
      <c r="Z1174" s="241"/>
      <c r="AA1174" s="241"/>
      <c r="AB1174" s="241"/>
      <c r="AC1174" s="241"/>
      <c r="AD1174" s="241"/>
      <c r="AE1174" s="241"/>
      <c r="AF1174" s="241"/>
      <c r="AG1174" s="241"/>
      <c r="AH1174" s="241"/>
      <c r="AI1174" s="241"/>
      <c r="AJ1174" s="242"/>
    </row>
    <row r="1175" hidden="1">
      <c r="A1175" s="241"/>
      <c r="B1175" s="241"/>
      <c r="C1175" s="241"/>
      <c r="D1175" s="241"/>
      <c r="E1175" s="241"/>
      <c r="F1175" s="241"/>
      <c r="G1175" s="241"/>
      <c r="H1175" s="241"/>
      <c r="I1175" s="241"/>
      <c r="J1175" s="241"/>
      <c r="K1175" s="241"/>
      <c r="L1175" s="242"/>
      <c r="M1175" s="241"/>
      <c r="N1175" s="241"/>
      <c r="O1175" s="241"/>
      <c r="P1175" s="241"/>
      <c r="Q1175" s="241"/>
      <c r="R1175" s="241"/>
      <c r="S1175" s="241"/>
      <c r="T1175" s="241"/>
      <c r="U1175" s="241"/>
      <c r="V1175" s="241"/>
      <c r="W1175" s="241"/>
      <c r="X1175" s="242"/>
      <c r="Y1175" s="241"/>
      <c r="Z1175" s="241"/>
      <c r="AA1175" s="241"/>
      <c r="AB1175" s="241"/>
      <c r="AC1175" s="241"/>
      <c r="AD1175" s="241"/>
      <c r="AE1175" s="241"/>
      <c r="AF1175" s="241"/>
      <c r="AG1175" s="241"/>
      <c r="AH1175" s="241"/>
      <c r="AI1175" s="241"/>
      <c r="AJ1175" s="242"/>
    </row>
    <row r="1176" hidden="1">
      <c r="A1176" s="241"/>
      <c r="B1176" s="241"/>
      <c r="C1176" s="241"/>
      <c r="D1176" s="241"/>
      <c r="E1176" s="241"/>
      <c r="F1176" s="241"/>
      <c r="G1176" s="241"/>
      <c r="H1176" s="241"/>
      <c r="I1176" s="241"/>
      <c r="J1176" s="241"/>
      <c r="K1176" s="241"/>
      <c r="L1176" s="242"/>
      <c r="M1176" s="241"/>
      <c r="N1176" s="241"/>
      <c r="O1176" s="241"/>
      <c r="P1176" s="241"/>
      <c r="Q1176" s="241"/>
      <c r="R1176" s="241"/>
      <c r="S1176" s="241"/>
      <c r="T1176" s="241"/>
      <c r="U1176" s="241"/>
      <c r="V1176" s="241"/>
      <c r="W1176" s="241"/>
      <c r="X1176" s="242"/>
      <c r="Y1176" s="241"/>
      <c r="Z1176" s="241"/>
      <c r="AA1176" s="241"/>
      <c r="AB1176" s="241"/>
      <c r="AC1176" s="241"/>
      <c r="AD1176" s="241"/>
      <c r="AE1176" s="241"/>
      <c r="AF1176" s="241"/>
      <c r="AG1176" s="241"/>
      <c r="AH1176" s="241"/>
      <c r="AI1176" s="241"/>
      <c r="AJ1176" s="242"/>
    </row>
    <row r="1177" hidden="1">
      <c r="A1177" s="241"/>
      <c r="B1177" s="241"/>
      <c r="C1177" s="241"/>
      <c r="D1177" s="241"/>
      <c r="E1177" s="241"/>
      <c r="F1177" s="241"/>
      <c r="G1177" s="241"/>
      <c r="H1177" s="241"/>
      <c r="I1177" s="241"/>
      <c r="J1177" s="241"/>
      <c r="K1177" s="241"/>
      <c r="L1177" s="242"/>
      <c r="M1177" s="241"/>
      <c r="N1177" s="241"/>
      <c r="O1177" s="241"/>
      <c r="P1177" s="241"/>
      <c r="Q1177" s="241"/>
      <c r="R1177" s="241"/>
      <c r="S1177" s="241"/>
      <c r="T1177" s="241"/>
      <c r="U1177" s="241"/>
      <c r="V1177" s="241"/>
      <c r="W1177" s="241"/>
      <c r="X1177" s="242"/>
      <c r="Y1177" s="241"/>
      <c r="Z1177" s="241"/>
      <c r="AA1177" s="241"/>
      <c r="AB1177" s="241"/>
      <c r="AC1177" s="241"/>
      <c r="AD1177" s="241"/>
      <c r="AE1177" s="241"/>
      <c r="AF1177" s="241"/>
      <c r="AG1177" s="241"/>
      <c r="AH1177" s="241"/>
      <c r="AI1177" s="241"/>
      <c r="AJ1177" s="242"/>
    </row>
    <row r="1178" hidden="1">
      <c r="A1178" s="241"/>
      <c r="B1178" s="241"/>
      <c r="C1178" s="241"/>
      <c r="D1178" s="241"/>
      <c r="E1178" s="241"/>
      <c r="F1178" s="241"/>
      <c r="G1178" s="241"/>
      <c r="H1178" s="241"/>
      <c r="I1178" s="241"/>
      <c r="J1178" s="241"/>
      <c r="K1178" s="241"/>
      <c r="L1178" s="242"/>
      <c r="M1178" s="241"/>
      <c r="N1178" s="241"/>
      <c r="O1178" s="241"/>
      <c r="P1178" s="241"/>
      <c r="Q1178" s="241"/>
      <c r="R1178" s="241"/>
      <c r="S1178" s="241"/>
      <c r="T1178" s="241"/>
      <c r="U1178" s="241"/>
      <c r="V1178" s="241"/>
      <c r="W1178" s="241"/>
      <c r="X1178" s="242"/>
      <c r="Y1178" s="241"/>
      <c r="Z1178" s="241"/>
      <c r="AA1178" s="241"/>
      <c r="AB1178" s="241"/>
      <c r="AC1178" s="241"/>
      <c r="AD1178" s="241"/>
      <c r="AE1178" s="241"/>
      <c r="AF1178" s="241"/>
      <c r="AG1178" s="241"/>
      <c r="AH1178" s="241"/>
      <c r="AI1178" s="241"/>
      <c r="AJ1178" s="242"/>
    </row>
    <row r="1179" hidden="1">
      <c r="A1179" s="241"/>
      <c r="B1179" s="241"/>
      <c r="C1179" s="241"/>
      <c r="D1179" s="241"/>
      <c r="E1179" s="241"/>
      <c r="F1179" s="241"/>
      <c r="G1179" s="241"/>
      <c r="H1179" s="241"/>
      <c r="I1179" s="241"/>
      <c r="J1179" s="241"/>
      <c r="K1179" s="241"/>
      <c r="L1179" s="242"/>
      <c r="M1179" s="241"/>
      <c r="N1179" s="241"/>
      <c r="O1179" s="241"/>
      <c r="P1179" s="241"/>
      <c r="Q1179" s="241"/>
      <c r="R1179" s="241"/>
      <c r="S1179" s="241"/>
      <c r="T1179" s="241"/>
      <c r="U1179" s="241"/>
      <c r="V1179" s="241"/>
      <c r="W1179" s="241"/>
      <c r="X1179" s="242"/>
      <c r="Y1179" s="241"/>
      <c r="Z1179" s="241"/>
      <c r="AA1179" s="241"/>
      <c r="AB1179" s="241"/>
      <c r="AC1179" s="241"/>
      <c r="AD1179" s="241"/>
      <c r="AE1179" s="241"/>
      <c r="AF1179" s="241"/>
      <c r="AG1179" s="241"/>
      <c r="AH1179" s="241"/>
      <c r="AI1179" s="241"/>
      <c r="AJ1179" s="242"/>
    </row>
    <row r="1180" hidden="1">
      <c r="A1180" s="241"/>
      <c r="B1180" s="241"/>
      <c r="C1180" s="241"/>
      <c r="D1180" s="241"/>
      <c r="E1180" s="241"/>
      <c r="F1180" s="241"/>
      <c r="G1180" s="241"/>
      <c r="H1180" s="241"/>
      <c r="I1180" s="241"/>
      <c r="J1180" s="241"/>
      <c r="K1180" s="241"/>
      <c r="L1180" s="242"/>
      <c r="M1180" s="241"/>
      <c r="N1180" s="241"/>
      <c r="O1180" s="241"/>
      <c r="P1180" s="241"/>
      <c r="Q1180" s="241"/>
      <c r="R1180" s="241"/>
      <c r="S1180" s="241"/>
      <c r="T1180" s="241"/>
      <c r="U1180" s="241"/>
      <c r="V1180" s="241"/>
      <c r="W1180" s="241"/>
      <c r="X1180" s="242"/>
      <c r="Y1180" s="241"/>
      <c r="Z1180" s="241"/>
      <c r="AA1180" s="241"/>
      <c r="AB1180" s="241"/>
      <c r="AC1180" s="241"/>
      <c r="AD1180" s="241"/>
      <c r="AE1180" s="241"/>
      <c r="AF1180" s="241"/>
      <c r="AG1180" s="241"/>
      <c r="AH1180" s="241"/>
      <c r="AI1180" s="241"/>
      <c r="AJ1180" s="242"/>
    </row>
    <row r="1181" hidden="1">
      <c r="A1181" s="241"/>
      <c r="B1181" s="241"/>
      <c r="C1181" s="241"/>
      <c r="D1181" s="241"/>
      <c r="E1181" s="241"/>
      <c r="F1181" s="241"/>
      <c r="G1181" s="241"/>
      <c r="H1181" s="241"/>
      <c r="I1181" s="241"/>
      <c r="J1181" s="241"/>
      <c r="K1181" s="241"/>
      <c r="L1181" s="242"/>
      <c r="M1181" s="241"/>
      <c r="N1181" s="241"/>
      <c r="O1181" s="241"/>
      <c r="P1181" s="241"/>
      <c r="Q1181" s="241"/>
      <c r="R1181" s="241"/>
      <c r="S1181" s="241"/>
      <c r="T1181" s="241"/>
      <c r="U1181" s="241"/>
      <c r="V1181" s="241"/>
      <c r="W1181" s="241"/>
      <c r="X1181" s="242"/>
      <c r="Y1181" s="241"/>
      <c r="Z1181" s="241"/>
      <c r="AA1181" s="241"/>
      <c r="AB1181" s="241"/>
      <c r="AC1181" s="241"/>
      <c r="AD1181" s="241"/>
      <c r="AE1181" s="241"/>
      <c r="AF1181" s="241"/>
      <c r="AG1181" s="241"/>
      <c r="AH1181" s="241"/>
      <c r="AI1181" s="241"/>
      <c r="AJ1181" s="242"/>
    </row>
    <row r="1182" hidden="1">
      <c r="A1182" s="241"/>
      <c r="B1182" s="241"/>
      <c r="C1182" s="241"/>
      <c r="D1182" s="241"/>
      <c r="E1182" s="241"/>
      <c r="F1182" s="241"/>
      <c r="G1182" s="241"/>
      <c r="H1182" s="241"/>
      <c r="I1182" s="241"/>
      <c r="J1182" s="241"/>
      <c r="K1182" s="241"/>
      <c r="L1182" s="242"/>
      <c r="M1182" s="241"/>
      <c r="N1182" s="241"/>
      <c r="O1182" s="241"/>
      <c r="P1182" s="241"/>
      <c r="Q1182" s="241"/>
      <c r="R1182" s="241"/>
      <c r="S1182" s="241"/>
      <c r="T1182" s="241"/>
      <c r="U1182" s="241"/>
      <c r="V1182" s="241"/>
      <c r="W1182" s="241"/>
      <c r="X1182" s="242"/>
      <c r="Y1182" s="241"/>
      <c r="Z1182" s="241"/>
      <c r="AA1182" s="241"/>
      <c r="AB1182" s="241"/>
      <c r="AC1182" s="241"/>
      <c r="AD1182" s="241"/>
      <c r="AE1182" s="241"/>
      <c r="AF1182" s="241"/>
      <c r="AG1182" s="241"/>
      <c r="AH1182" s="241"/>
      <c r="AI1182" s="241"/>
      <c r="AJ1182" s="242"/>
    </row>
    <row r="1183" hidden="1">
      <c r="A1183" s="241"/>
      <c r="B1183" s="241"/>
      <c r="C1183" s="241"/>
      <c r="D1183" s="241"/>
      <c r="E1183" s="241"/>
      <c r="F1183" s="241"/>
      <c r="G1183" s="241"/>
      <c r="H1183" s="241"/>
      <c r="I1183" s="241"/>
      <c r="J1183" s="241"/>
      <c r="K1183" s="241"/>
      <c r="L1183" s="242"/>
      <c r="M1183" s="241"/>
      <c r="N1183" s="241"/>
      <c r="O1183" s="241"/>
      <c r="P1183" s="241"/>
      <c r="Q1183" s="241"/>
      <c r="R1183" s="241"/>
      <c r="S1183" s="241"/>
      <c r="T1183" s="241"/>
      <c r="U1183" s="241"/>
      <c r="V1183" s="241"/>
      <c r="W1183" s="241"/>
      <c r="X1183" s="242"/>
      <c r="Y1183" s="241"/>
      <c r="Z1183" s="241"/>
      <c r="AA1183" s="241"/>
      <c r="AB1183" s="241"/>
      <c r="AC1183" s="241"/>
      <c r="AD1183" s="241"/>
      <c r="AE1183" s="241"/>
      <c r="AF1183" s="241"/>
      <c r="AG1183" s="241"/>
      <c r="AH1183" s="241"/>
      <c r="AI1183" s="241"/>
      <c r="AJ1183" s="242"/>
    </row>
    <row r="1184" hidden="1">
      <c r="A1184" s="241"/>
      <c r="B1184" s="241"/>
      <c r="C1184" s="241"/>
      <c r="D1184" s="241"/>
      <c r="E1184" s="241"/>
      <c r="F1184" s="241"/>
      <c r="G1184" s="241"/>
      <c r="H1184" s="241"/>
      <c r="I1184" s="241"/>
      <c r="J1184" s="241"/>
      <c r="K1184" s="241"/>
      <c r="L1184" s="242"/>
      <c r="M1184" s="241"/>
      <c r="N1184" s="241"/>
      <c r="O1184" s="241"/>
      <c r="P1184" s="241"/>
      <c r="Q1184" s="241"/>
      <c r="R1184" s="241"/>
      <c r="S1184" s="241"/>
      <c r="T1184" s="241"/>
      <c r="U1184" s="241"/>
      <c r="V1184" s="241"/>
      <c r="W1184" s="241"/>
      <c r="X1184" s="242"/>
      <c r="Y1184" s="241"/>
      <c r="Z1184" s="241"/>
      <c r="AA1184" s="241"/>
      <c r="AB1184" s="241"/>
      <c r="AC1184" s="241"/>
      <c r="AD1184" s="241"/>
      <c r="AE1184" s="241"/>
      <c r="AF1184" s="241"/>
      <c r="AG1184" s="241"/>
      <c r="AH1184" s="241"/>
      <c r="AI1184" s="241"/>
      <c r="AJ1184" s="242"/>
    </row>
    <row r="1185" hidden="1">
      <c r="A1185" s="241"/>
      <c r="B1185" s="241"/>
      <c r="C1185" s="241"/>
      <c r="D1185" s="241"/>
      <c r="E1185" s="241"/>
      <c r="F1185" s="241"/>
      <c r="G1185" s="241"/>
      <c r="H1185" s="241"/>
      <c r="I1185" s="241"/>
      <c r="J1185" s="241"/>
      <c r="K1185" s="241"/>
      <c r="L1185" s="242"/>
      <c r="M1185" s="241"/>
      <c r="N1185" s="241"/>
      <c r="O1185" s="241"/>
      <c r="P1185" s="241"/>
      <c r="Q1185" s="241"/>
      <c r="R1185" s="241"/>
      <c r="S1185" s="241"/>
      <c r="T1185" s="241"/>
      <c r="U1185" s="241"/>
      <c r="V1185" s="241"/>
      <c r="W1185" s="241"/>
      <c r="X1185" s="242"/>
      <c r="Y1185" s="241"/>
      <c r="Z1185" s="241"/>
      <c r="AA1185" s="241"/>
      <c r="AB1185" s="241"/>
      <c r="AC1185" s="241"/>
      <c r="AD1185" s="241"/>
      <c r="AE1185" s="241"/>
      <c r="AF1185" s="241"/>
      <c r="AG1185" s="241"/>
      <c r="AH1185" s="241"/>
      <c r="AI1185" s="241"/>
      <c r="AJ1185" s="242"/>
    </row>
    <row r="1186" hidden="1">
      <c r="A1186" s="241"/>
      <c r="B1186" s="241"/>
      <c r="C1186" s="241"/>
      <c r="D1186" s="241"/>
      <c r="E1186" s="241"/>
      <c r="F1186" s="241"/>
      <c r="G1186" s="241"/>
      <c r="H1186" s="241"/>
      <c r="I1186" s="241"/>
      <c r="J1186" s="241"/>
      <c r="K1186" s="241"/>
      <c r="L1186" s="242"/>
      <c r="M1186" s="241"/>
      <c r="N1186" s="241"/>
      <c r="O1186" s="241"/>
      <c r="P1186" s="241"/>
      <c r="Q1186" s="241"/>
      <c r="R1186" s="241"/>
      <c r="S1186" s="241"/>
      <c r="T1186" s="241"/>
      <c r="U1186" s="241"/>
      <c r="V1186" s="241"/>
      <c r="W1186" s="241"/>
      <c r="X1186" s="242"/>
      <c r="Y1186" s="241"/>
      <c r="Z1186" s="241"/>
      <c r="AA1186" s="241"/>
      <c r="AB1186" s="241"/>
      <c r="AC1186" s="241"/>
      <c r="AD1186" s="241"/>
      <c r="AE1186" s="241"/>
      <c r="AF1186" s="241"/>
      <c r="AG1186" s="241"/>
      <c r="AH1186" s="241"/>
      <c r="AI1186" s="241"/>
      <c r="AJ1186" s="242"/>
    </row>
    <row r="1187" hidden="1">
      <c r="A1187" s="241"/>
      <c r="B1187" s="241"/>
      <c r="C1187" s="241"/>
      <c r="D1187" s="241"/>
      <c r="E1187" s="241"/>
      <c r="F1187" s="241"/>
      <c r="G1187" s="241"/>
      <c r="H1187" s="241"/>
      <c r="I1187" s="241"/>
      <c r="J1187" s="241"/>
      <c r="K1187" s="241"/>
      <c r="L1187" s="242"/>
      <c r="M1187" s="241"/>
      <c r="N1187" s="241"/>
      <c r="O1187" s="241"/>
      <c r="P1187" s="241"/>
      <c r="Q1187" s="241"/>
      <c r="R1187" s="241"/>
      <c r="S1187" s="241"/>
      <c r="T1187" s="241"/>
      <c r="U1187" s="241"/>
      <c r="V1187" s="241"/>
      <c r="W1187" s="241"/>
      <c r="X1187" s="242"/>
      <c r="Y1187" s="241"/>
      <c r="Z1187" s="241"/>
      <c r="AA1187" s="241"/>
      <c r="AB1187" s="241"/>
      <c r="AC1187" s="241"/>
      <c r="AD1187" s="241"/>
      <c r="AE1187" s="241"/>
      <c r="AF1187" s="241"/>
      <c r="AG1187" s="241"/>
      <c r="AH1187" s="241"/>
      <c r="AI1187" s="241"/>
      <c r="AJ1187" s="242"/>
    </row>
    <row r="1188" hidden="1">
      <c r="A1188" s="241"/>
      <c r="B1188" s="241"/>
      <c r="C1188" s="241"/>
      <c r="D1188" s="241"/>
      <c r="E1188" s="241"/>
      <c r="F1188" s="241"/>
      <c r="G1188" s="241"/>
      <c r="H1188" s="241"/>
      <c r="I1188" s="241"/>
      <c r="J1188" s="241"/>
      <c r="K1188" s="241"/>
      <c r="L1188" s="242"/>
      <c r="M1188" s="241"/>
      <c r="N1188" s="241"/>
      <c r="O1188" s="241"/>
      <c r="P1188" s="241"/>
      <c r="Q1188" s="241"/>
      <c r="R1188" s="241"/>
      <c r="S1188" s="241"/>
      <c r="T1188" s="241"/>
      <c r="U1188" s="241"/>
      <c r="V1188" s="241"/>
      <c r="W1188" s="241"/>
      <c r="X1188" s="242"/>
      <c r="Y1188" s="241"/>
      <c r="Z1188" s="241"/>
      <c r="AA1188" s="241"/>
      <c r="AB1188" s="241"/>
      <c r="AC1188" s="241"/>
      <c r="AD1188" s="241"/>
      <c r="AE1188" s="241"/>
      <c r="AF1188" s="241"/>
      <c r="AG1188" s="241"/>
      <c r="AH1188" s="241"/>
      <c r="AI1188" s="241"/>
      <c r="AJ1188" s="242"/>
    </row>
    <row r="1189" hidden="1">
      <c r="A1189" s="241"/>
      <c r="B1189" s="241"/>
      <c r="C1189" s="241"/>
      <c r="D1189" s="241"/>
      <c r="E1189" s="241"/>
      <c r="F1189" s="241"/>
      <c r="G1189" s="241"/>
      <c r="H1189" s="241"/>
      <c r="I1189" s="241"/>
      <c r="J1189" s="241"/>
      <c r="K1189" s="241"/>
      <c r="L1189" s="242"/>
      <c r="M1189" s="241"/>
      <c r="N1189" s="241"/>
      <c r="O1189" s="241"/>
      <c r="P1189" s="241"/>
      <c r="Q1189" s="241"/>
      <c r="R1189" s="241"/>
      <c r="S1189" s="241"/>
      <c r="T1189" s="241"/>
      <c r="U1189" s="241"/>
      <c r="V1189" s="241"/>
      <c r="W1189" s="241"/>
      <c r="X1189" s="242"/>
      <c r="Y1189" s="241"/>
      <c r="Z1189" s="241"/>
      <c r="AA1189" s="241"/>
      <c r="AB1189" s="241"/>
      <c r="AC1189" s="241"/>
      <c r="AD1189" s="241"/>
      <c r="AE1189" s="241"/>
      <c r="AF1189" s="241"/>
      <c r="AG1189" s="241"/>
      <c r="AH1189" s="241"/>
      <c r="AI1189" s="241"/>
      <c r="AJ1189" s="242"/>
    </row>
    <row r="1190" hidden="1">
      <c r="A1190" s="241"/>
      <c r="B1190" s="241"/>
      <c r="C1190" s="241"/>
      <c r="D1190" s="241"/>
      <c r="E1190" s="241"/>
      <c r="F1190" s="241"/>
      <c r="G1190" s="241"/>
      <c r="H1190" s="241"/>
      <c r="I1190" s="241"/>
      <c r="J1190" s="241"/>
      <c r="K1190" s="241"/>
      <c r="L1190" s="242"/>
      <c r="M1190" s="241"/>
      <c r="N1190" s="241"/>
      <c r="O1190" s="241"/>
      <c r="P1190" s="241"/>
      <c r="Q1190" s="241"/>
      <c r="R1190" s="241"/>
      <c r="S1190" s="241"/>
      <c r="T1190" s="241"/>
      <c r="U1190" s="241"/>
      <c r="V1190" s="241"/>
      <c r="W1190" s="241"/>
      <c r="X1190" s="242"/>
      <c r="Y1190" s="241"/>
      <c r="Z1190" s="241"/>
      <c r="AA1190" s="241"/>
      <c r="AB1190" s="241"/>
      <c r="AC1190" s="241"/>
      <c r="AD1190" s="241"/>
      <c r="AE1190" s="241"/>
      <c r="AF1190" s="241"/>
      <c r="AG1190" s="241"/>
      <c r="AH1190" s="241"/>
      <c r="AI1190" s="241"/>
      <c r="AJ1190" s="242"/>
    </row>
    <row r="1191" hidden="1">
      <c r="A1191" s="241"/>
      <c r="B1191" s="241"/>
      <c r="C1191" s="241"/>
      <c r="D1191" s="241"/>
      <c r="E1191" s="241"/>
      <c r="F1191" s="241"/>
      <c r="G1191" s="241"/>
      <c r="H1191" s="241"/>
      <c r="I1191" s="241"/>
      <c r="J1191" s="241"/>
      <c r="K1191" s="241"/>
      <c r="L1191" s="242"/>
      <c r="M1191" s="241"/>
      <c r="N1191" s="241"/>
      <c r="O1191" s="241"/>
      <c r="P1191" s="241"/>
      <c r="Q1191" s="241"/>
      <c r="R1191" s="241"/>
      <c r="S1191" s="241"/>
      <c r="T1191" s="241"/>
      <c r="U1191" s="241"/>
      <c r="V1191" s="241"/>
      <c r="W1191" s="241"/>
      <c r="X1191" s="242"/>
      <c r="Y1191" s="241"/>
      <c r="Z1191" s="241"/>
      <c r="AA1191" s="241"/>
      <c r="AB1191" s="241"/>
      <c r="AC1191" s="241"/>
      <c r="AD1191" s="241"/>
      <c r="AE1191" s="241"/>
      <c r="AF1191" s="241"/>
      <c r="AG1191" s="241"/>
      <c r="AH1191" s="241"/>
      <c r="AI1191" s="241"/>
      <c r="AJ1191" s="242"/>
    </row>
    <row r="1192" hidden="1">
      <c r="A1192" s="241"/>
      <c r="B1192" s="241"/>
      <c r="C1192" s="241"/>
      <c r="D1192" s="241"/>
      <c r="E1192" s="241"/>
      <c r="F1192" s="241"/>
      <c r="G1192" s="241"/>
      <c r="H1192" s="241"/>
      <c r="I1192" s="241"/>
      <c r="J1192" s="241"/>
      <c r="K1192" s="241"/>
      <c r="L1192" s="242"/>
      <c r="M1192" s="241"/>
      <c r="N1192" s="241"/>
      <c r="O1192" s="241"/>
      <c r="P1192" s="241"/>
      <c r="Q1192" s="241"/>
      <c r="R1192" s="241"/>
      <c r="S1192" s="241"/>
      <c r="T1192" s="241"/>
      <c r="U1192" s="241"/>
      <c r="V1192" s="241"/>
      <c r="W1192" s="241"/>
      <c r="X1192" s="242"/>
      <c r="Y1192" s="241"/>
      <c r="Z1192" s="241"/>
      <c r="AA1192" s="241"/>
      <c r="AB1192" s="241"/>
      <c r="AC1192" s="241"/>
      <c r="AD1192" s="241"/>
      <c r="AE1192" s="241"/>
      <c r="AF1192" s="241"/>
      <c r="AG1192" s="241"/>
      <c r="AH1192" s="241"/>
      <c r="AI1192" s="241"/>
      <c r="AJ1192" s="242"/>
    </row>
    <row r="1193">
      <c r="A1193" s="242"/>
      <c r="B1193" s="242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2"/>
      <c r="P1193" s="242"/>
      <c r="Q1193" s="242"/>
      <c r="R1193" s="242"/>
      <c r="S1193" s="242"/>
      <c r="T1193" s="242"/>
      <c r="U1193" s="242"/>
      <c r="V1193" s="242"/>
      <c r="W1193" s="242"/>
      <c r="X1193" s="242"/>
      <c r="Y1193" s="242"/>
      <c r="Z1193" s="242"/>
      <c r="AA1193" s="242"/>
      <c r="AB1193" s="242"/>
      <c r="AC1193" s="242"/>
      <c r="AD1193" s="242"/>
      <c r="AE1193" s="242"/>
      <c r="AF1193" s="242"/>
      <c r="AG1193" s="242"/>
      <c r="AH1193" s="242"/>
      <c r="AI1193" s="242"/>
      <c r="AJ1193" s="242"/>
    </row>
    <row r="1194">
      <c r="A1194" s="241" t="str">
        <f>IFERROR(__xludf.DUMMYFUNCTION("if('Time 2'!C3 = ""Albert"", query(IMPORTRANGE(cd_planilha, ""Armas!B3:G""), ""Select Col1 Where Col2 = '""&amp;Personagem!$B$17&amp;""' or Col2 = '""&amp;Personagem!$B$18&amp;""'""),     
if('Time 2'!C3 = ""Alicia"", query(IMPORTRANGE(cd_planilha, ""Armas!B3:G""), ""Sel"&amp;"ect Col1 Where Col2 = '""&amp;Personagem!$C$17&amp;""' or Col2 = '""&amp;Personagem!$C$18&amp;""'""),
if('Time 2'!C3 = ""Azula"", query(IMPORTRANGE(cd_planilha, ""Armas!B3:G""), ""Select Col1 Where Col2 = '""&amp;Personagem!$D$17&amp;""' or Col2 = '""&amp;Personagem!$D$18&amp;""' ""),
i"&amp;"f('Time 2'!C3 = ""Charles"", query(IMPORTRANGE(cd_planilha, ""Armas!B3:G""), ""Select Col1 Where Col2 = '""&amp;Personagem!$E$17&amp;""' or Col2 = '""&amp;Personagem!$E$18&amp;""'""),
if('Time 2'!C3 = ""Clovis"", query(IMPORTRANGE(cd_planilha, ""Armas!B3:G""), ""Select C"&amp;"ol1 Where Col2 = '""&amp;Personagem!$F$17&amp;""' or Col2 = '""&amp;Personagem!$F$18&amp;""' ""),
if('Time 2'!C3 = ""Darthos"", query(IMPORTRANGE(cd_planilha, ""Armas!B3:G""), ""Select Col1 Where Col2 = '""&amp;Personagem!$G$17&amp;""' or Col2 = '""&amp;Personagem!$G$18&amp;""'""),
if('"&amp;"Time 2'!C3 = ""Edward"", query(IMPORTRANGE(cd_planilha, ""Armas!B3:G""), ""Select Col1 Where Col2 = '""&amp;Personagem!$H$17&amp;""' or Col2 = '""&amp;Personagem!$H$18&amp;""' ""),
if('Time 2'!C3 = ""Fiora"", query(IMPORTRANGE(cd_planilha, ""Armas!B3:G""), ""Select Col1 "&amp;"Where Col2 = '""&amp;Personagem!$I$17&amp;""' or Col2 = '""&amp;Personagem!$I$18&amp;""' ""),
if('Time 2'!C3 = ""Francesca"", query(IMPORTRANGE(cd_planilha, ""Armas!B3:G""), ""Select Col1 Where Col2 = '""&amp;Personagem!$J$17&amp;""' or Col2 = '""&amp;Personagem!$J$18&amp;""'""),
if('Ti"&amp;"me 2'!C3 = ""Garreth"", query(IMPORTRANGE(cd_planilha, ""Armas!B3:G""), ""Select Col1 Where Col2 = '""&amp;Personagem!$K$17&amp;""' or Col2 = '""&amp;Personagem!$K$18&amp;""'""),
if('Time 2'!C3 = ""Gauvin"", query(IMPORTRANGE(cd_planilha, ""Armas!B3:G""), ""Select Col1 W"&amp;"here Col2 = '""&amp;Personagem!$L$17&amp;""' or Col2 = '""&amp;Personagem!$L$18&amp;""' ""),
if('Time 2'!C3 = ""Irene"", query(IMPORTRANGE(cd_planilha, ""Armas!B3:G""), ""Select Col1 Where Col2 = '""&amp;Personagem!$M$17&amp;""' or Col2 = '""&amp;Personagem!$M$18&amp;""' ""),
if('Time 2"&amp;"'!C3 = ""Karal"", query(IMPORTRANGE(cd_planilha, ""Armas!B3:G""), ""Select Col1 Where Col2 = '""&amp;Personagem!$N$17&amp;""' or Col2 = '""&amp;Personagem!$N$18&amp;""' ""),
if('Time 2'!C3 = ""Kuro Shobi"", query(IMPORTRANGE(cd_planilha, ""Armas!B3:G""), ""Select Col1 Wh"&amp;"ere Col2 = '""&amp;Personagem!$O$17&amp;""' or Col2 = '""&amp;Personagem!$O$18&amp;""'""),
if('Time 2'!C3 = ""Kurul"", query(IMPORTRANGE(cd_planilha, ""Armas!B3:G""), ""Select Col1 Where Col2 = '""&amp;Personagem!$P$17&amp;""' or Col2 = '""&amp;Personagem!$P$18&amp;""' ""),
if('Time 2'!"&amp;"C3 = ""Lancaster"", query(IMPORTRANGE(cd_planilha, ""Armas!B3:G""), ""Select Col1 Where Col2 = '""&amp;Personagem!$Q$17&amp;""' or Col2 = '""&amp;Personagem!$Q$18&amp;""'""),
if('Time 2'!C3 = ""Lorelei"", query(IMPORTRANGE(cd_planilha, ""Armas!B3:G""), ""Select Col1 Wher"&amp;"e Col2 = '""&amp;Personagem!$R$17&amp;""' or Col2 = '""&amp;Personagem!$R$18&amp;""' ""),
if('Time 2'!C3 = ""Louca"", query(IMPORTRANGE(cd_planilha, ""Armas!B3:G""), ""Select Col1 Where Col2 = '""&amp;Personagem!$S$17&amp;""' or Col2 = '""&amp;Personagem!$S$18&amp;""' ""),
if('Time 2'!C"&amp;"3 = ""Melina"", query(IMPORTRANGE(cd_planilha, ""Armas!B3:G""), ""Select Col1 Where Col2 = '""&amp;Personagem!$T$17&amp;""' or Col2 = '""&amp;Personagem!$T$18&amp;""'""),
if('Time 2'!C3 = ""Mila"", query(IMPORTRANGE(cd_planilha, ""Armas!B3:G""), ""Select Col1 Where Col2 "&amp;"= '""&amp;Personagem!$U$17&amp;""' or Col2 = '""&amp;Personagem!$U$18&amp;""' ""),
if('Time 2'!C3 = ""Minh"", query(IMPORTRANGE(cd_planilha, ""Armas!B3:G""), ""Select Col1 Where Col2 = '""&amp;Personagem!$V$17&amp;""' or Col2 = '""&amp;Personagem!$V$18&amp;""' ""),
if('Time 2'!C3 = ""Mo"&amp;"jian"", query(IMPORTRANGE(cd_planilha, ""Armas!B3:G""), ""Select Col1 Where Col2 = '""&amp;Personagem!$W$17&amp;""' or Col2 = '""&amp;Personagem!$W$18&amp;""'""),
if('Time 2'!C3 = ""Nya"", query(IMPORTRANGE(cd_planilha, ""Armas!B3:G""), ""Select Col1 Where Col2 = '""&amp;Per"&amp;"sonagem!$X$17&amp;""' or Col2 = '""&amp;Personagem!$X$18&amp;""' ""),
if('Time 2'!C3 = ""Odette"", query(IMPORTRANGE(cd_planilha, ""Armas!B3:G""), ""Select Col1 Where Col2 = '""&amp;Personagem!$Y$17&amp;""' or Col2 = '""&amp;Personagem!$Y$18&amp;""'""),
if('Time 2'!C3 = ""Oneira"", "&amp;"query(IMPORTRANGE(cd_planilha, ""Armas!B3:G""), ""Select Col1 Where Col2 = '""&amp;Personagem!$Z$17&amp;""' or Col2 = '""&amp;Personagem!$Z$18&amp;""' ""),
if('Time 2'!C3 = ""Palash"", query(IMPORTRANGE(cd_planilha, ""Armas!B3:G""), ""Select Col1 Where Col2 = '""&amp;Persona"&amp;"gem!$AA$17&amp;""' or Col2 = '""&amp;Personagem!$AA$18&amp;""'""),
if('Time 2'!C3 = ""Theor"", query(IMPORTRANGE(cd_planilha, ""Armas!B3:G""), ""Select Col1 Where Col2 = '""&amp;Personagem!$AB$17&amp;""' or Col2 = '""&amp;Personagem!$AB$18&amp;""' ""),
if('Time 2'!C3 = ""Yue"", quer"&amp;"y(IMPORTRANGE(cd_planilha, ""Armas!B3:G""), ""Select Col1 Where Col2 = '""&amp;Personagem!$AC$17&amp;""' or Col2 = '""&amp;Personagem!$AC$18&amp;""'""
)))))))))))))))))))))))))))))"),"Agulhas Envenenadas")</f>
        <v>Agulhas Envenenadas</v>
      </c>
      <c r="B1194" s="241"/>
      <c r="C1194" s="241" t="str">
        <f>IFERROR(__xludf.DUMMYFUNCTION("if('Time 2'!C4 = ""Albert"", query(IMPORTRANGE(cd_planilha, ""Armas!B3:G""), ""Select Col1 Where Col2 = '""&amp;Personagem!$B$17&amp;""' or Col2 = '""&amp;Personagem!$B$18&amp;""'""),     
if('Time 2'!C4 = ""Alicia"", query(IMPORTRANGE(cd_planilha, ""Armas!B3:G""), ""Sel"&amp;"ect Col1 Where Col2 = '""&amp;Personagem!$C$17&amp;""' or Col2 = '""&amp;Personagem!$C$18&amp;""'""),
if('Time 2'!C4 = ""Azula"", query(IMPORTRANGE(cd_planilha, ""Armas!B3:G""), ""Select Col1 Where Col2 = '""&amp;Personagem!$D$17&amp;""' or Col2 = '""&amp;Personagem!$D$18&amp;""' ""),
i"&amp;"f('Time 2'!C4 = ""Charles"", query(IMPORTRANGE(cd_planilha, ""Armas!B3:G""), ""Select Col1 Where Col2 = '""&amp;Personagem!$E$17&amp;""' or Col2 = '""&amp;Personagem!$E$18&amp;""'""),
if('Time 2'!C4 = ""Clovis"", query(IMPORTRANGE(cd_planilha, ""Armas!B3:G""), ""Select C"&amp;"ol1 Where Col2 = '""&amp;Personagem!$F$17&amp;""' or Col2 = '""&amp;Personagem!$F$18&amp;""' ""),
if('Time 2'!C4 = ""Darthos"", query(IMPORTRANGE(cd_planilha, ""Armas!B3:G""), ""Select Col1 Where Col2 = '""&amp;Personagem!$G$17&amp;""' or Col2 = '""&amp;Personagem!$G$18&amp;""'""),
if('"&amp;"Time 2'!C4 = ""Edward"", query(IMPORTRANGE(cd_planilha, ""Armas!B3:G""), ""Select Col1 Where Col2 = '""&amp;Personagem!$H$17&amp;""' or Col2 = '""&amp;Personagem!$H$18&amp;""' ""),
if('Time 2'!C4 = ""Fiora"", query(IMPORTRANGE(cd_planilha, ""Armas!B3:G""), ""Select Col1 "&amp;"Where Col2 = '""&amp;Personagem!$I$17&amp;""' or Col2 = '""&amp;Personagem!$I$18&amp;""' ""),
if('Time 2'!C4 = ""Francesca"", query(IMPORTRANGE(cd_planilha, ""Armas!B3:G""), ""Select Col1 Where Col2 = '""&amp;Personagem!$J$17&amp;""' or Col2 = '""&amp;Personagem!$J$18&amp;""'""),
if('Ti"&amp;"me 2'!C4 = ""Garreth"", query(IMPORTRANGE(cd_planilha, ""Armas!B3:G""), ""Select Col1 Where Col2 = '""&amp;Personagem!$K$17&amp;""' or Col2 = '""&amp;Personagem!$K$18&amp;""'""),
if('Time 2'!C4 = ""Gauvin"", query(IMPORTRANGE(cd_planilha, ""Armas!B3:G""), ""Select Col1 W"&amp;"here Col2 = '""&amp;Personagem!$L$17&amp;""' or Col2 = '""&amp;Personagem!$L$18&amp;""' ""),
if('Time 2'!C4 = ""Irene"", query(IMPORTRANGE(cd_planilha, ""Armas!B3:G""), ""Select Col1 Where Col2 = '""&amp;Personagem!$M$17&amp;""' or Col2 = '""&amp;Personagem!$M$18&amp;""' ""),
if('Time 2"&amp;"'!C4 = ""Karal"", query(IMPORTRANGE(cd_planilha, ""Armas!B3:G""), ""Select Col1 Where Col2 = '""&amp;Personagem!$N$17&amp;""' or Col2 = '""&amp;Personagem!$N$18&amp;""' ""),
if('Time 2'!C4 = ""Kuro Shobi"", query(IMPORTRANGE(cd_planilha, ""Armas!B3:G""), ""Select Col1 Wh"&amp;"ere Col2 = '""&amp;Personagem!$O$17&amp;""' or Col2 = '""&amp;Personagem!$O$18&amp;""'""),
if('Time 2'!C4 = ""Kurul"", query(IMPORTRANGE(cd_planilha, ""Armas!B3:G""), ""Select Col1 Where Col2 = '""&amp;Personagem!$P$17&amp;""' or Col2 = '""&amp;Personagem!$P$18&amp;""' ""),
if('Time 2'!"&amp;"C4 = ""Lancaster"", query(IMPORTRANGE(cd_planilha, ""Armas!B3:G""), ""Select Col1 Where Col2 = '""&amp;Personagem!$Q$17&amp;""' or Col2 = '""&amp;Personagem!$Q$18&amp;""'""),
if('Time 2'!C4 = ""Lorelei"", query(IMPORTRANGE(cd_planilha, ""Armas!B3:G""), ""Select Col1 Wher"&amp;"e Col2 = '""&amp;Personagem!$R$17&amp;""' or Col2 = '""&amp;Personagem!$R$18&amp;""' ""),
if('Time 2'!C4 = ""Louca"", query(IMPORTRANGE(cd_planilha, ""Armas!B3:G""), ""Select Col1 Where Col2 = '""&amp;Personagem!$S$17&amp;""' or Col2 = '""&amp;Personagem!$S$18&amp;""' ""),
if('Time 2'!C"&amp;"4 = ""Melina"", query(IMPORTRANGE(cd_planilha, ""Armas!B3:G""), ""Select Col1 Where Col2 = '""&amp;Personagem!$T$17&amp;""' or Col2 = '""&amp;Personagem!$T$18&amp;""'""),
if('Time 2'!C4 = ""Mila"", query(IMPORTRANGE(cd_planilha, ""Armas!B3:G""), ""Select Col1 Where Col2 "&amp;"= '""&amp;Personagem!$U$17&amp;""' or Col2 = '""&amp;Personagem!$U$18&amp;""' ""),
if('Time 2'!C4 = ""Minh"", query(IMPORTRANGE(cd_planilha, ""Armas!B3:G""), ""Select Col1 Where Col2 = '""&amp;Personagem!$V$17&amp;""' or Col2 = '""&amp;Personagem!$V$18&amp;""' ""),
if('Time 2'!C4 = ""Mo"&amp;"jian"", query(IMPORTRANGE(cd_planilha, ""Armas!B3:G""), ""Select Col1 Where Col2 = '""&amp;Personagem!$W$17&amp;""' or Col2 = '""&amp;Personagem!$W$18&amp;""'""),
if('Time 2'!C4 = ""Nya"", query(IMPORTRANGE(cd_planilha, ""Armas!B3:G""), ""Select Col1 Where Col2 = '""&amp;Per"&amp;"sonagem!$X$17&amp;""' or Col2 = '""&amp;Personagem!$X$18&amp;""' ""),
if('Time 2'!C4 = ""Odette"", query(IMPORTRANGE(cd_planilha, ""Armas!B3:G""), ""Select Col1 Where Col2 = '""&amp;Personagem!$Y$17&amp;""' or Col2 = '""&amp;Personagem!$Y$18&amp;""'""),
if('Time 2'!C4 = ""Oneira"", "&amp;"query(IMPORTRANGE(cd_planilha, ""Armas!B3:G""), ""Select Col1 Where Col2 = '""&amp;Personagem!$Z$17&amp;""' or Col2 = '""&amp;Personagem!$Z$18&amp;""' ""),
if('Time 2'!C4 = ""Palash"", query(IMPORTRANGE(cd_planilha, ""Armas!B3:G""), ""Select Col1 Where Col2 = '""&amp;Persona"&amp;"gem!$AA$17&amp;""' or Col2 = '""&amp;Personagem!$AA$18&amp;""'""),
if('Time 2'!C4 = ""Theor"", query(IMPORTRANGE(cd_planilha, ""Armas!B3:G""), ""Select Col1 Where Col2 = '""&amp;Personagem!$AB$17&amp;""' or Col2 = '""&amp;Personagem!$AB$18&amp;""' ""),
if('Time 2'!C4 = ""Yue"", quer"&amp;"y(IMPORTRANGE(cd_planilha, ""Armas!B3:G""), ""Select Col1 Where Col2 = '""&amp;Personagem!$AC$17&amp;""' or Col2 = '""&amp;Personagem!$AC$18&amp;""'""
)))))))))))))))))))))))))))))"),"Pó Colorido")</f>
        <v>Pó Colorido</v>
      </c>
      <c r="D1194" s="241"/>
      <c r="E1194" s="241" t="str">
        <f>IFERROR(__xludf.DUMMYFUNCTION("if('Time 2'!C5 = ""Albert"", query(IMPORTRANGE(cd_planilha, ""Armas!B3:G""), ""Select Col1 Where Col2 = '""&amp;Personagem!$B$17&amp;""' or Col2 = '""&amp;Personagem!$B$18&amp;""'""),     
if('Time 2'!C5 = ""Alicia"", query(IMPORTRANGE(cd_planilha, ""Armas!B3:G""), ""Sel"&amp;"ect Col1 Where Col2 = '""&amp;Personagem!$C$17&amp;""' or Col2 = '""&amp;Personagem!$C$18&amp;""'""),
if('Time 2'!C5 = ""Azula"", query(IMPORTRANGE(cd_planilha, ""Armas!B3:G""), ""Select Col1 Where Col2 = '""&amp;Personagem!$D$17&amp;""' or Col2 = '""&amp;Personagem!$D$18&amp;""' ""),
i"&amp;"f('Time 2'!C5 = ""Charles"", query(IMPORTRANGE(cd_planilha, ""Armas!B3:G""), ""Select Col1 Where Col2 = '""&amp;Personagem!$E$17&amp;""' or Col2 = '""&amp;Personagem!$E$18&amp;""'""),
if('Time 2'!C5 = ""Clovis"", query(IMPORTRANGE(cd_planilha, ""Armas!B3:G""), ""Select C"&amp;"ol1 Where Col2 = '""&amp;Personagem!$F$17&amp;""' or Col2 = '""&amp;Personagem!$F$18&amp;""' ""),
if('Time 2'!C5 = ""Darthos"", query(IMPORTRANGE(cd_planilha, ""Armas!B3:G""), ""Select Col1 Where Col2 = '""&amp;Personagem!$G$17&amp;""' or Col2 = '""&amp;Personagem!$G$18&amp;""'""),
if('"&amp;"Time 2'!C5 = ""Edward"", query(IMPORTRANGE(cd_planilha, ""Armas!B3:G""), ""Select Col1 Where Col2 = '""&amp;Personagem!$H$17&amp;""' or Col2 = '""&amp;Personagem!$H$18&amp;""' ""),
if('Time 2'!C5 = ""Fiora"", query(IMPORTRANGE(cd_planilha, ""Armas!B3:G""), ""Select Col1 "&amp;"Where Col2 = '""&amp;Personagem!$I$17&amp;""' or Col2 = '""&amp;Personagem!$I$18&amp;""' ""),
if('Time 2'!C5 = ""Francesca"", query(IMPORTRANGE(cd_planilha, ""Armas!B3:G""), ""Select Col1 Where Col2 = '""&amp;Personagem!$J$17&amp;""' or Col2 = '""&amp;Personagem!$J$18&amp;""'""),
if('Ti"&amp;"me 2'!C5 = ""Garreth"", query(IMPORTRANGE(cd_planilha, ""Armas!B3:G""), ""Select Col1 Where Col2 = '""&amp;Personagem!$K$17&amp;""' or Col2 = '""&amp;Personagem!$K$18&amp;""'""),
if('Time 2'!C5 = ""Gauvin"", query(IMPORTRANGE(cd_planilha, ""Armas!B3:G""), ""Select Col1 W"&amp;"here Col2 = '""&amp;Personagem!$L$17&amp;""' or Col2 = '""&amp;Personagem!$L$18&amp;""' ""),
if('Time 2'!C5 = ""Irene"", query(IMPORTRANGE(cd_planilha, ""Armas!B3:G""), ""Select Col1 Where Col2 = '""&amp;Personagem!$M$17&amp;""' or Col2 = '""&amp;Personagem!$M$18&amp;""' ""),
if('Time 2"&amp;"'!C5 = ""Karal"", query(IMPORTRANGE(cd_planilha, ""Armas!B3:G""), ""Select Col1 Where Col2 = '""&amp;Personagem!$N$17&amp;""' or Col2 = '""&amp;Personagem!$N$18&amp;""' ""),
if('Time 2'!C5 = ""Kuro Shobi"", query(IMPORTRANGE(cd_planilha, ""Armas!B3:G""), ""Select Col1 Wh"&amp;"ere Col2 = '""&amp;Personagem!$O$17&amp;""' or Col2 = '""&amp;Personagem!$O$18&amp;""'""),
if('Time 2'!C5 = ""Kurul"", query(IMPORTRANGE(cd_planilha, ""Armas!B3:G""), ""Select Col1 Where Col2 = '""&amp;Personagem!$P$17&amp;""' or Col2 = '""&amp;Personagem!$P$18&amp;""' ""),
if('Time 2'!"&amp;"C5 = ""Lancaster"", query(IMPORTRANGE(cd_planilha, ""Armas!B3:G""), ""Select Col1 Where Col2 = '""&amp;Personagem!$Q$17&amp;""' or Col2 = '""&amp;Personagem!$Q$18&amp;""'""),
if('Time 2'!C5 = ""Lorelei"", query(IMPORTRANGE(cd_planilha, ""Armas!B3:G""), ""Select Col1 Wher"&amp;"e Col2 = '""&amp;Personagem!$R$17&amp;""' or Col2 = '""&amp;Personagem!$R$18&amp;""' ""),
if('Time 2'!C5 = ""Louca"", query(IMPORTRANGE(cd_planilha, ""Armas!B3:G""), ""Select Col1 Where Col2 = '""&amp;Personagem!$S$17&amp;""' or Col2 = '""&amp;Personagem!$S$18&amp;""' ""),
if('Time 2'!C"&amp;"5 = ""Melina"", query(IMPORTRANGE(cd_planilha, ""Armas!B3:G""), ""Select Col1 Where Col2 = '""&amp;Personagem!$T$17&amp;""' or Col2 = '""&amp;Personagem!$T$18&amp;""'""),
if('Time 2'!C5 = ""Mila"", query(IMPORTRANGE(cd_planilha, ""Armas!B3:G""), ""Select Col1 Where Col2 "&amp;"= '""&amp;Personagem!$U$17&amp;""' or Col2 = '""&amp;Personagem!$U$18&amp;""' ""),
if('Time 2'!C5 = ""Minh"", query(IMPORTRANGE(cd_planilha, ""Armas!B3:G""), ""Select Col1 Where Col2 = '""&amp;Personagem!$V$17&amp;""' or Col2 = '""&amp;Personagem!$V$18&amp;""' ""),
if('Time 2'!C5 = ""Mo"&amp;"jian"", query(IMPORTRANGE(cd_planilha, ""Armas!B3:G""), ""Select Col1 Where Col2 = '""&amp;Personagem!$W$17&amp;""' or Col2 = '""&amp;Personagem!$W$18&amp;""'""),
if('Time 2'!C5 = ""Nya"", query(IMPORTRANGE(cd_planilha, ""Armas!B3:G""), ""Select Col1 Where Col2 = '""&amp;Per"&amp;"sonagem!$X$17&amp;""' or Col2 = '""&amp;Personagem!$X$18&amp;""' ""),
if('Time 2'!C5 = ""Odette"", query(IMPORTRANGE(cd_planilha, ""Armas!B3:G""), ""Select Col1 Where Col2 = '""&amp;Personagem!$Y$17&amp;""' or Col2 = '""&amp;Personagem!$Y$18&amp;""'""),
if('Time 2'!C5 = ""Oneira"", "&amp;"query(IMPORTRANGE(cd_planilha, ""Armas!B3:G""), ""Select Col1 Where Col2 = '""&amp;Personagem!$Z$17&amp;""' or Col2 = '""&amp;Personagem!$Z$18&amp;""' ""),
if('Time 2'!C5 = ""Palash"", query(IMPORTRANGE(cd_planilha, ""Armas!B3:G""), ""Select Col1 Where Col2 = '""&amp;Persona"&amp;"gem!$AA$17&amp;""' or Col2 = '""&amp;Personagem!$AA$18&amp;""'""),
if('Time 2'!C5 = ""Theor"", query(IMPORTRANGE(cd_planilha, ""Armas!B3:G""), ""Select Col1 Where Col2 = '""&amp;Personagem!$AB$17&amp;""' or Col2 = '""&amp;Personagem!$AB$18&amp;""' ""),
if('Time 2'!C5 = ""Yue"", quer"&amp;"y(IMPORTRANGE(cd_planilha, ""Armas!B3:G""), ""Select Col1 Where Col2 = '""&amp;Personagem!$AC$17&amp;""' or Col2 = '""&amp;Personagem!$AC$18&amp;""'""
)))))))))))))))))))))))))))))"),"Pó Colorido")</f>
        <v>Pó Colorido</v>
      </c>
      <c r="F1194" s="241"/>
      <c r="G1194" s="241" t="str">
        <f>IFERROR(__xludf.DUMMYFUNCTION("if('Time 2'!C6 = ""Albert"", query(IMPORTRANGE(cd_planilha, ""Armas!B3:G""), ""Select Col1 Where Col2 = '""&amp;Personagem!$B$17&amp;""' or Col2 = '""&amp;Personagem!$B$18&amp;""'""),     
if('Time 2'!C6 = ""Alicia"", query(IMPORTRANGE(cd_planilha, ""Armas!B3:G""), ""Sel"&amp;"ect Col1 Where Col2 = '""&amp;Personagem!$C$17&amp;""' or Col2 = '""&amp;Personagem!$C$18&amp;""'""),
if('Time 2'!C6 = ""Azula"", query(IMPORTRANGE(cd_planilha, ""Armas!B3:G""), ""Select Col1 Where Col2 = '""&amp;Personagem!$D$17&amp;""' or Col2 = '""&amp;Personagem!$D$18&amp;""' ""),
i"&amp;"f('Time 2'!C6 = ""Charles"", query(IMPORTRANGE(cd_planilha, ""Armas!B3:G""), ""Select Col1 Where Col2 = '""&amp;Personagem!$E$17&amp;""' or Col2 = '""&amp;Personagem!$E$18&amp;""'""),
if('Time 2'!C6 = ""Clovis"", query(IMPORTRANGE(cd_planilha, ""Armas!B3:G""), ""Select C"&amp;"ol1 Where Col2 = '""&amp;Personagem!$F$17&amp;""' or Col2 = '""&amp;Personagem!$F$18&amp;""' ""),
if('Time 2'!C6 = ""Darthos"", query(IMPORTRANGE(cd_planilha, ""Armas!B3:G""), ""Select Col1 Where Col2 = '""&amp;Personagem!$G$17&amp;""' or Col2 = '""&amp;Personagem!$G$18&amp;""'""),
if('"&amp;"Time 2'!C6 = ""Edward"", query(IMPORTRANGE(cd_planilha, ""Armas!B3:G""), ""Select Col1 Where Col2 = '""&amp;Personagem!$H$17&amp;""' or Col2 = '""&amp;Personagem!$H$18&amp;""' ""),
if('Time 2'!C6 = ""Fiora"", query(IMPORTRANGE(cd_planilha, ""Armas!B3:G""), ""Select Col1 "&amp;"Where Col2 = '""&amp;Personagem!$I$17&amp;""' or Col2 = '""&amp;Personagem!$I$18&amp;""' ""),
if('Time 2'!C6 = ""Francesca"", query(IMPORTRANGE(cd_planilha, ""Armas!B3:G""), ""Select Col1 Where Col2 = '""&amp;Personagem!$J$17&amp;""' or Col2 = '""&amp;Personagem!$J$18&amp;""'""),
if('Ti"&amp;"me 2'!C6 = ""Garreth"", query(IMPORTRANGE(cd_planilha, ""Armas!B3:G""), ""Select Col1 Where Col2 = '""&amp;Personagem!$K$17&amp;""' or Col2 = '""&amp;Personagem!$K$18&amp;""'""),
if('Time 2'!C6 = ""Gauvin"", query(IMPORTRANGE(cd_planilha, ""Armas!B3:G""), ""Select Col1 W"&amp;"here Col2 = '""&amp;Personagem!$L$17&amp;""' or Col2 = '""&amp;Personagem!$L$18&amp;""' ""),
if('Time 2'!C6 = ""Irene"", query(IMPORTRANGE(cd_planilha, ""Armas!B3:G""), ""Select Col1 Where Col2 = '""&amp;Personagem!$M$17&amp;""' or Col2 = '""&amp;Personagem!$M$18&amp;""' ""),
if('Time 2"&amp;"'!C6 = ""Karal"", query(IMPORTRANGE(cd_planilha, ""Armas!B3:G""), ""Select Col1 Where Col2 = '""&amp;Personagem!$N$17&amp;""' or Col2 = '""&amp;Personagem!$N$18&amp;""' ""),
if('Time 2'!C6 = ""Kuro Shobi"", query(IMPORTRANGE(cd_planilha, ""Armas!B3:G""), ""Select Col1 Wh"&amp;"ere Col2 = '""&amp;Personagem!$O$17&amp;""' or Col2 = '""&amp;Personagem!$O$18&amp;""'""),
if('Time 2'!C6 = ""Kurul"", query(IMPORTRANGE(cd_planilha, ""Armas!B3:G""), ""Select Col1 Where Col2 = '""&amp;Personagem!$P$17&amp;""' or Col2 = '""&amp;Personagem!$P$18&amp;""' ""),
if('Time 2'!"&amp;"C6 = ""Lancaster"", query(IMPORTRANGE(cd_planilha, ""Armas!B3:G""), ""Select Col1 Where Col2 = '""&amp;Personagem!$Q$17&amp;""' or Col2 = '""&amp;Personagem!$Q$18&amp;""'""),
if('Time 2'!C6 = ""Lorelei"", query(IMPORTRANGE(cd_planilha, ""Armas!B3:G""), ""Select Col1 Wher"&amp;"e Col2 = '""&amp;Personagem!$R$17&amp;""' or Col2 = '""&amp;Personagem!$R$18&amp;""' ""),
if('Time 2'!C6 = ""Louca"", query(IMPORTRANGE(cd_planilha, ""Armas!B3:G""), ""Select Col1 Where Col2 = '""&amp;Personagem!$S$17&amp;""' or Col2 = '""&amp;Personagem!$S$18&amp;""' ""),
if('Time 2'!C"&amp;"6 = ""Melina"", query(IMPORTRANGE(cd_planilha, ""Armas!B3:G""), ""Select Col1 Where Col2 = '""&amp;Personagem!$T$17&amp;""' or Col2 = '""&amp;Personagem!$T$18&amp;""'""),
if('Time 2'!C6 = ""Mila"", query(IMPORTRANGE(cd_planilha, ""Armas!B3:G""), ""Select Col1 Where Col2 "&amp;"= '""&amp;Personagem!$U$17&amp;""' or Col2 = '""&amp;Personagem!$U$18&amp;""' ""),
if('Time 2'!C6 = ""Minh"", query(IMPORTRANGE(cd_planilha, ""Armas!B3:G""), ""Select Col1 Where Col2 = '""&amp;Personagem!$V$17&amp;""' or Col2 = '""&amp;Personagem!$V$18&amp;""' ""),
if('Time 2'!C6 = ""Mo"&amp;"jian"", query(IMPORTRANGE(cd_planilha, ""Armas!B3:G""), ""Select Col1 Where Col2 = '""&amp;Personagem!$W$17&amp;""' or Col2 = '""&amp;Personagem!$W$18&amp;""'""),
if('Time 2'!C6 = ""Nya"", query(IMPORTRANGE(cd_planilha, ""Armas!B3:G""), ""Select Col1 Where Col2 = '""&amp;Per"&amp;"sonagem!$X$17&amp;""' or Col2 = '""&amp;Personagem!$X$18&amp;""' ""),
if('Time 2'!C6 = ""Odette"", query(IMPORTRANGE(cd_planilha, ""Armas!B3:G""), ""Select Col1 Where Col2 = '""&amp;Personagem!$Y$17&amp;""' or Col2 = '""&amp;Personagem!$Y$18&amp;""'""),
if('Time 2'!C6 = ""Oneira"", "&amp;"query(IMPORTRANGE(cd_planilha, ""Armas!B3:G""), ""Select Col1 Where Col2 = '""&amp;Personagem!$Z$17&amp;""' or Col2 = '""&amp;Personagem!$Z$18&amp;""' ""),
if('Time 2'!C6 = ""Palash"", query(IMPORTRANGE(cd_planilha, ""Armas!B3:G""), ""Select Col1 Where Col2 = '""&amp;Persona"&amp;"gem!$AA$17&amp;""' or Col2 = '""&amp;Personagem!$AA$18&amp;""'""),
if('Time 2'!C6 = ""Theor"", query(IMPORTRANGE(cd_planilha, ""Armas!B3:G""), ""Select Col1 Where Col2 = '""&amp;Personagem!$AB$17&amp;""' or Col2 = '""&amp;Personagem!$AB$18&amp;""' ""),
if('Time 2'!C6 = ""Yue"", quer"&amp;"y(IMPORTRANGE(cd_planilha, ""Armas!B3:G""), ""Select Col1 Where Col2 = '""&amp;Personagem!$AC$17&amp;""' or Col2 = '""&amp;Personagem!$AC$18&amp;""'""
)))))))))))))))))))))))))))))"),"Pó Colorido")</f>
        <v>Pó Colorido</v>
      </c>
      <c r="H1194" s="241"/>
      <c r="I1194" s="241" t="str">
        <f>IFERROR(__xludf.DUMMYFUNCTION("if('Time 2'!C7 = ""Albert"", query(IMPORTRANGE(cd_planilha, ""Armas!B3:G""), ""Select Col1 Where Col2 = '""&amp;Personagem!$B$17&amp;""' or Col2 = '""&amp;Personagem!$B$18&amp;""'""),     
if('Time 2'!C7 = ""Alicia"", query(IMPORTRANGE(cd_planilha, ""Armas!B3:G""), ""Sel"&amp;"ect Col1 Where Col2 = '""&amp;Personagem!$C$17&amp;""' or Col2 = '""&amp;Personagem!$C$18&amp;""'""),
if('Time 2'!C7 = ""Azula"", query(IMPORTRANGE(cd_planilha, ""Armas!B3:G""), ""Select Col1 Where Col2 = '""&amp;Personagem!$D$17&amp;""' or Col2 = '""&amp;Personagem!$D$18&amp;""' ""),
i"&amp;"f('Time 2'!C7 = ""Charles"", query(IMPORTRANGE(cd_planilha, ""Armas!B3:G""), ""Select Col1 Where Col2 = '""&amp;Personagem!$E$17&amp;""' or Col2 = '""&amp;Personagem!$E$18&amp;""'""),
if('Time 2'!C7 = ""Clovis"", query(IMPORTRANGE(cd_planilha, ""Armas!B3:G""), ""Select C"&amp;"ol1 Where Col2 = '""&amp;Personagem!$F$17&amp;""' or Col2 = '""&amp;Personagem!$F$18&amp;""' ""),
if('Time 2'!C7 = ""Darthos"", query(IMPORTRANGE(cd_planilha, ""Armas!B3:G""), ""Select Col1 Where Col2 = '""&amp;Personagem!$G$17&amp;""' or Col2 = '""&amp;Personagem!$G$18&amp;""'""),
if('"&amp;"Time 2'!C7 = ""Edward"", query(IMPORTRANGE(cd_planilha, ""Armas!B3:G""), ""Select Col1 Where Col2 = '""&amp;Personagem!$H$17&amp;""' or Col2 = '""&amp;Personagem!$H$18&amp;""' ""),
if('Time 2'!C7 = ""Fiora"", query(IMPORTRANGE(cd_planilha, ""Armas!B3:G""), ""Select Col1 "&amp;"Where Col2 = '""&amp;Personagem!$I$17&amp;""' or Col2 = '""&amp;Personagem!$I$18&amp;""' ""),
if('Time 2'!C7 = ""Francesca"", query(IMPORTRANGE(cd_planilha, ""Armas!B3:G""), ""Select Col1 Where Col2 = '""&amp;Personagem!$J$17&amp;""' or Col2 = '""&amp;Personagem!$J$18&amp;""'""),
if('Ti"&amp;"me 2'!C7 = ""Garreth"", query(IMPORTRANGE(cd_planilha, ""Armas!B3:G""), ""Select Col1 Where Col2 = '""&amp;Personagem!$K$17&amp;""' or Col2 = '""&amp;Personagem!$K$18&amp;""'""),
if('Time 2'!C7 = ""Gauvin"", query(IMPORTRANGE(cd_planilha, ""Armas!B3:G""), ""Select Col1 W"&amp;"here Col2 = '""&amp;Personagem!$L$17&amp;""' or Col2 = '""&amp;Personagem!$L$18&amp;""' ""),
if('Time 2'!C7 = ""Irene"", query(IMPORTRANGE(cd_planilha, ""Armas!B3:G""), ""Select Col1 Where Col2 = '""&amp;Personagem!$M$17&amp;""' or Col2 = '""&amp;Personagem!$M$18&amp;""' ""),
if('Time 2"&amp;"'!C7 = ""Karal"", query(IMPORTRANGE(cd_planilha, ""Armas!B3:G""), ""Select Col1 Where Col2 = '""&amp;Personagem!$N$17&amp;""' or Col2 = '""&amp;Personagem!$N$18&amp;""' ""),
if('Time 2'!C7 = ""Kuro Shobi"", query(IMPORTRANGE(cd_planilha, ""Armas!B3:G""), ""Select Col1 Wh"&amp;"ere Col2 = '""&amp;Personagem!$O$17&amp;""' or Col2 = '""&amp;Personagem!$O$18&amp;""'""),
if('Time 2'!C7 = ""Kurul"", query(IMPORTRANGE(cd_planilha, ""Armas!B3:G""), ""Select Col1 Where Col2 = '""&amp;Personagem!$P$17&amp;""' or Col2 = '""&amp;Personagem!$P$18&amp;""' ""),
if('Time 2'!"&amp;"C7 = ""Lancaster"", query(IMPORTRANGE(cd_planilha, ""Armas!B3:G""), ""Select Col1 Where Col2 = '""&amp;Personagem!$Q$17&amp;""' or Col2 = '""&amp;Personagem!$Q$18&amp;""'""),
if('Time 2'!C7 = ""Lorelei"", query(IMPORTRANGE(cd_planilha, ""Armas!B3:G""), ""Select Col1 Wher"&amp;"e Col2 = '""&amp;Personagem!$R$17&amp;""' or Col2 = '""&amp;Personagem!$R$18&amp;""' ""),
if('Time 2'!C7 = ""Louca"", query(IMPORTRANGE(cd_planilha, ""Armas!B3:G""), ""Select Col1 Where Col2 = '""&amp;Personagem!$S$17&amp;""' or Col2 = '""&amp;Personagem!$S$18&amp;""' ""),
if('Time 2'!C"&amp;"7 = ""Melina"", query(IMPORTRANGE(cd_planilha, ""Armas!B3:G""), ""Select Col1 Where Col2 = '""&amp;Personagem!$T$17&amp;""' or Col2 = '""&amp;Personagem!$T$18&amp;""'""),
if('Time 2'!C7 = ""Mila"", query(IMPORTRANGE(cd_planilha, ""Armas!B3:G""), ""Select Col1 Where Col2 "&amp;"= '""&amp;Personagem!$U$17&amp;""' or Col2 = '""&amp;Personagem!$U$18&amp;""' ""),
if('Time 2'!C7 = ""Minh"", query(IMPORTRANGE(cd_planilha, ""Armas!B3:G""), ""Select Col1 Where Col2 = '""&amp;Personagem!$V$17&amp;""' or Col2 = '""&amp;Personagem!$V$18&amp;""' ""),
if('Time 2'!C7 = ""Mo"&amp;"jian"", query(IMPORTRANGE(cd_planilha, ""Armas!B3:G""), ""Select Col1 Where Col2 = '""&amp;Personagem!$W$17&amp;""' or Col2 = '""&amp;Personagem!$W$18&amp;""'""),
if('Time 2'!C7 = ""Nya"", query(IMPORTRANGE(cd_planilha, ""Armas!B3:G""), ""Select Col1 Where Col2 = '""&amp;Per"&amp;"sonagem!$X$17&amp;""' or Col2 = '""&amp;Personagem!$X$18&amp;""' ""),
if('Time 2'!C7 = ""Odette"", query(IMPORTRANGE(cd_planilha, ""Armas!B3:G""), ""Select Col1 Where Col2 = '""&amp;Personagem!$Y$17&amp;""' or Col2 = '""&amp;Personagem!$Y$18&amp;""'""),
if('Time 2'!C7 = ""Oneira"", "&amp;"query(IMPORTRANGE(cd_planilha, ""Armas!B3:G""), ""Select Col1 Where Col2 = '""&amp;Personagem!$Z$17&amp;""' or Col2 = '""&amp;Personagem!$Z$18&amp;""' ""),
if('Time 2'!C7 = ""Palash"", query(IMPORTRANGE(cd_planilha, ""Armas!B3:G""), ""Select Col1 Where Col2 = '""&amp;Persona"&amp;"gem!$AA$17&amp;""' or Col2 = '""&amp;Personagem!$AA$18&amp;""'""),
if('Time 2'!C7 = ""Theor"", query(IMPORTRANGE(cd_planilha, ""Armas!B3:G""), ""Select Col1 Where Col2 = '""&amp;Personagem!$AB$17&amp;""' or Col2 = '""&amp;Personagem!$AB$18&amp;""' ""),
if('Time 2'!C7 = ""Yue"", quer"&amp;"y(IMPORTRANGE(cd_planilha, ""Armas!B3:G""), ""Select Col1 Where Col2 = '""&amp;Personagem!$AC$17&amp;""' or Col2 = '""&amp;Personagem!$AC$18&amp;""'""
)))))))))))))))))))))))))))))"),"Pó Colorido")</f>
        <v>Pó Colorido</v>
      </c>
      <c r="J1194" s="241"/>
      <c r="K1194" s="241" t="str">
        <f>IFERROR(__xludf.DUMMYFUNCTION("if('Time 2'!C8 = ""Albert"", query(IMPORTRANGE(cd_planilha, ""Armas!B3:G""), ""Select Col1 Where Col2 = '""&amp;Personagem!$B$17&amp;""' or Col2 = '""&amp;Personagem!$B$18&amp;""'""),     
if('Time 2'!C8 = ""Alicia"", query(IMPORTRANGE(cd_planilha, ""Armas!B3:G""), ""Sel"&amp;"ect Col1 Where Col2 = '""&amp;Personagem!$C$17&amp;""' or Col2 = '""&amp;Personagem!$C$18&amp;""'""),
if('Time 2'!C8 = ""Azula"", query(IMPORTRANGE(cd_planilha, ""Armas!B3:G""), ""Select Col1 Where Col2 = '""&amp;Personagem!$D$17&amp;""' or Col2 = '""&amp;Personagem!$D$18&amp;""' ""),
i"&amp;"f('Time 2'!C8 = ""Charles"", query(IMPORTRANGE(cd_planilha, ""Armas!B3:G""), ""Select Col1 Where Col2 = '""&amp;Personagem!$E$17&amp;""' or Col2 = '""&amp;Personagem!$E$18&amp;""'""),
if('Time 2'!C8 = ""Clovis"", query(IMPORTRANGE(cd_planilha, ""Armas!B3:G""), ""Select C"&amp;"ol1 Where Col2 = '""&amp;Personagem!$F$17&amp;""' or Col2 = '""&amp;Personagem!$F$18&amp;""' ""),
if('Time 2'!C8 = ""Darthos"", query(IMPORTRANGE(cd_planilha, ""Armas!B3:G""), ""Select Col1 Where Col2 = '""&amp;Personagem!$G$17&amp;""' or Col2 = '""&amp;Personagem!$G$18&amp;""'""),
if('"&amp;"Time 2'!C8 = ""Edward"", query(IMPORTRANGE(cd_planilha, ""Armas!B3:G""), ""Select Col1 Where Col2 = '""&amp;Personagem!$H$17&amp;""' or Col2 = '""&amp;Personagem!$H$18&amp;""' ""),
if('Time 2'!C8 = ""Fiora"", query(IMPORTRANGE(cd_planilha, ""Armas!B3:G""), ""Select Col1 "&amp;"Where Col2 = '""&amp;Personagem!$I$17&amp;""' or Col2 = '""&amp;Personagem!$I$18&amp;""' ""),
if('Time 2'!C8 = ""Francesca"", query(IMPORTRANGE(cd_planilha, ""Armas!B3:G""), ""Select Col1 Where Col2 = '""&amp;Personagem!$J$17&amp;""' or Col2 = '""&amp;Personagem!$J$18&amp;""'""),
if('Ti"&amp;"me 2'!C8 = ""Garreth"", query(IMPORTRANGE(cd_planilha, ""Armas!B3:G""), ""Select Col1 Where Col2 = '""&amp;Personagem!$K$17&amp;""' or Col2 = '""&amp;Personagem!$K$18&amp;""'""),
if('Time 2'!C8 = ""Gauvin"", query(IMPORTRANGE(cd_planilha, ""Armas!B3:G""), ""Select Col1 W"&amp;"here Col2 = '""&amp;Personagem!$L$17&amp;""' or Col2 = '""&amp;Personagem!$L$18&amp;""' ""),
if('Time 2'!C8 = ""Irene"", query(IMPORTRANGE(cd_planilha, ""Armas!B3:G""), ""Select Col1 Where Col2 = '""&amp;Personagem!$M$17&amp;""' or Col2 = '""&amp;Personagem!$M$18&amp;""' ""),
if('Time 2"&amp;"'!C8 = ""Karal"", query(IMPORTRANGE(cd_planilha, ""Armas!B3:G""), ""Select Col1 Where Col2 = '""&amp;Personagem!$N$17&amp;""' or Col2 = '""&amp;Personagem!$N$18&amp;""' ""),
if('Time 2'!C8 = ""Kuro Shobi"", query(IMPORTRANGE(cd_planilha, ""Armas!B3:G""), ""Select Col1 Wh"&amp;"ere Col2 = '""&amp;Personagem!$O$17&amp;""' or Col2 = '""&amp;Personagem!$O$18&amp;""'""),
if('Time 2'!C8 = ""Kurul"", query(IMPORTRANGE(cd_planilha, ""Armas!B3:G""), ""Select Col1 Where Col2 = '""&amp;Personagem!$P$17&amp;""' or Col2 = '""&amp;Personagem!$P$18&amp;""' ""),
if('Time 2'!"&amp;"C8 = ""Lancaster"", query(IMPORTRANGE(cd_planilha, ""Armas!B3:G""), ""Select Col1 Where Col2 = '""&amp;Personagem!$Q$17&amp;""' or Col2 = '""&amp;Personagem!$Q$18&amp;""'""),
if('Time 2'!C8 = ""Lorelei"", query(IMPORTRANGE(cd_planilha, ""Armas!B3:G""), ""Select Col1 Wher"&amp;"e Col2 = '""&amp;Personagem!$R$17&amp;""' or Col2 = '""&amp;Personagem!$R$18&amp;""' ""),
if('Time 2'!C8 = ""Louca"", query(IMPORTRANGE(cd_planilha, ""Armas!B3:G""), ""Select Col1 Where Col2 = '""&amp;Personagem!$S$17&amp;""' or Col2 = '""&amp;Personagem!$S$18&amp;""' ""),
if('Time 2'!C"&amp;"8 = ""Melina"", query(IMPORTRANGE(cd_planilha, ""Armas!B3:G""), ""Select Col1 Where Col2 = '""&amp;Personagem!$T$17&amp;""' or Col2 = '""&amp;Personagem!$T$18&amp;""'""),
if('Time 2'!C8 = ""Mila"", query(IMPORTRANGE(cd_planilha, ""Armas!B3:G""), ""Select Col1 Where Col2 "&amp;"= '""&amp;Personagem!$U$17&amp;""' or Col2 = '""&amp;Personagem!$U$18&amp;""' ""),
if('Time 2'!C8 = ""Minh"", query(IMPORTRANGE(cd_planilha, ""Armas!B3:G""), ""Select Col1 Where Col2 = '""&amp;Personagem!$V$17&amp;""' or Col2 = '""&amp;Personagem!$V$18&amp;""' ""),
if('Time 2'!C8 = ""Mo"&amp;"jian"", query(IMPORTRANGE(cd_planilha, ""Armas!B3:G""), ""Select Col1 Where Col2 = '""&amp;Personagem!$W$17&amp;""' or Col2 = '""&amp;Personagem!$W$18&amp;""'""),
if('Time 2'!C8 = ""Nya"", query(IMPORTRANGE(cd_planilha, ""Armas!B3:G""), ""Select Col1 Where Col2 = '""&amp;Per"&amp;"sonagem!$X$17&amp;""' or Col2 = '""&amp;Personagem!$X$18&amp;""' ""),
if('Time 2'!C8 = ""Odette"", query(IMPORTRANGE(cd_planilha, ""Armas!B3:G""), ""Select Col1 Where Col2 = '""&amp;Personagem!$Y$17&amp;""' or Col2 = '""&amp;Personagem!$Y$18&amp;""'""),
if('Time 2'!C8 = ""Oneira"", "&amp;"query(IMPORTRANGE(cd_planilha, ""Armas!B3:G""), ""Select Col1 Where Col2 = '""&amp;Personagem!$Z$17&amp;""' or Col2 = '""&amp;Personagem!$Z$18&amp;""' ""),
if('Time 2'!C8 = ""Palash"", query(IMPORTRANGE(cd_planilha, ""Armas!B3:G""), ""Select Col1 Where Col2 = '""&amp;Persona"&amp;"gem!$AA$17&amp;""' or Col2 = '""&amp;Personagem!$AA$18&amp;""'""),
if('Time 2'!C8 = ""Theor"", query(IMPORTRANGE(cd_planilha, ""Armas!B3:G""), ""Select Col1 Where Col2 = '""&amp;Personagem!$AB$17&amp;""' or Col2 = '""&amp;Personagem!$AB$18&amp;""' ""),
if('Time 2'!C8 = ""Yue"", quer"&amp;"y(IMPORTRANGE(cd_planilha, ""Armas!B3:G""), ""Select Col1 Where Col2 = '""&amp;Personagem!$AC$17&amp;""' or Col2 = '""&amp;Personagem!$AC$18&amp;""'""
)))))))))))))))))))))))))))))"),"Pó Colorido")</f>
        <v>Pó Colorido</v>
      </c>
      <c r="L1194" s="242"/>
      <c r="M1194" s="241"/>
      <c r="N1194" s="241"/>
      <c r="O1194" s="241"/>
      <c r="P1194" s="241"/>
      <c r="Q1194" s="241"/>
      <c r="R1194" s="241"/>
      <c r="S1194" s="241"/>
      <c r="T1194" s="241"/>
      <c r="U1194" s="241"/>
      <c r="V1194" s="241"/>
      <c r="W1194" s="241"/>
      <c r="X1194" s="243"/>
      <c r="Y1194" s="243"/>
      <c r="Z1194" s="243"/>
      <c r="AA1194" s="243"/>
      <c r="AB1194" s="243"/>
      <c r="AC1194" s="243"/>
      <c r="AD1194" s="243"/>
      <c r="AE1194" s="243"/>
      <c r="AF1194" s="243"/>
      <c r="AG1194" s="243"/>
      <c r="AH1194" s="243"/>
      <c r="AI1194" s="243"/>
      <c r="AJ1194" s="243"/>
    </row>
    <row r="1195">
      <c r="A1195" s="241" t="str">
        <f>IFERROR(__xludf.DUMMYFUNCTION("""COMPUTED_VALUE"""),"Bomba Tóxica")</f>
        <v>Bomba Tóxica</v>
      </c>
      <c r="B1195" s="241"/>
      <c r="C1195" s="241" t="str">
        <f>IFERROR(__xludf.DUMMYFUNCTION("""COMPUTED_VALUE"""),"Semente Rápida")</f>
        <v>Semente Rápida</v>
      </c>
      <c r="D1195" s="241"/>
      <c r="E1195" s="241" t="str">
        <f>IFERROR(__xludf.DUMMYFUNCTION("""COMPUTED_VALUE"""),"Semente Rápida")</f>
        <v>Semente Rápida</v>
      </c>
      <c r="F1195" s="241"/>
      <c r="G1195" s="241" t="str">
        <f>IFERROR(__xludf.DUMMYFUNCTION("""COMPUTED_VALUE"""),"Semente Rápida")</f>
        <v>Semente Rápida</v>
      </c>
      <c r="H1195" s="241"/>
      <c r="I1195" s="241" t="str">
        <f>IFERROR(__xludf.DUMMYFUNCTION("""COMPUTED_VALUE"""),"Semente Rápida")</f>
        <v>Semente Rápida</v>
      </c>
      <c r="J1195" s="241"/>
      <c r="K1195" s="241" t="str">
        <f>IFERROR(__xludf.DUMMYFUNCTION("""COMPUTED_VALUE"""),"Semente Rápida")</f>
        <v>Semente Rápida</v>
      </c>
      <c r="L1195" s="242"/>
      <c r="M1195" s="241"/>
      <c r="N1195" s="241"/>
      <c r="O1195" s="241"/>
      <c r="P1195" s="241"/>
      <c r="Q1195" s="241"/>
      <c r="R1195" s="241"/>
      <c r="S1195" s="241"/>
      <c r="T1195" s="241"/>
      <c r="U1195" s="241"/>
      <c r="V1195" s="241"/>
      <c r="W1195" s="241"/>
      <c r="X1195" s="243"/>
      <c r="Y1195" s="243"/>
      <c r="Z1195" s="243"/>
      <c r="AA1195" s="243"/>
      <c r="AB1195" s="243"/>
      <c r="AC1195" s="243"/>
      <c r="AD1195" s="243"/>
      <c r="AE1195" s="243"/>
      <c r="AF1195" s="243"/>
      <c r="AG1195" s="243"/>
      <c r="AH1195" s="243"/>
      <c r="AI1195" s="243"/>
      <c r="AJ1195" s="243"/>
    </row>
    <row r="1196" hidden="1">
      <c r="A1196" s="241" t="str">
        <f>IFERROR(__xludf.DUMMYFUNCTION("""COMPUTED_VALUE"""),"Shuriken Mágico")</f>
        <v>Shuriken Mágico</v>
      </c>
      <c r="B1196" s="241"/>
      <c r="C1196" s="241" t="str">
        <f>IFERROR(__xludf.DUMMYFUNCTION("""COMPUTED_VALUE"""),"Chá Revitalizador ")</f>
        <v>Chá Revitalizador </v>
      </c>
      <c r="D1196" s="241"/>
      <c r="E1196" s="241" t="str">
        <f>IFERROR(__xludf.DUMMYFUNCTION("""COMPUTED_VALUE"""),"Chá Revitalizador ")</f>
        <v>Chá Revitalizador </v>
      </c>
      <c r="F1196" s="241"/>
      <c r="G1196" s="241" t="str">
        <f>IFERROR(__xludf.DUMMYFUNCTION("""COMPUTED_VALUE"""),"Chá Revitalizador ")</f>
        <v>Chá Revitalizador </v>
      </c>
      <c r="H1196" s="241"/>
      <c r="I1196" s="241" t="str">
        <f>IFERROR(__xludf.DUMMYFUNCTION("""COMPUTED_VALUE"""),"Chá Revitalizador ")</f>
        <v>Chá Revitalizador </v>
      </c>
      <c r="J1196" s="241"/>
      <c r="K1196" s="241" t="str">
        <f>IFERROR(__xludf.DUMMYFUNCTION("""COMPUTED_VALUE"""),"Chá Revitalizador ")</f>
        <v>Chá Revitalizador </v>
      </c>
      <c r="L1196" s="242"/>
      <c r="M1196" s="241"/>
      <c r="N1196" s="241"/>
      <c r="O1196" s="241"/>
      <c r="P1196" s="241"/>
      <c r="Q1196" s="241"/>
      <c r="R1196" s="241"/>
      <c r="S1196" s="241"/>
      <c r="T1196" s="241"/>
      <c r="U1196" s="241"/>
      <c r="V1196" s="241"/>
      <c r="W1196" s="241"/>
      <c r="X1196" s="243"/>
      <c r="Y1196" s="243"/>
      <c r="Z1196" s="243"/>
      <c r="AA1196" s="243"/>
      <c r="AB1196" s="243"/>
      <c r="AC1196" s="243"/>
      <c r="AD1196" s="243"/>
      <c r="AE1196" s="243"/>
      <c r="AF1196" s="243"/>
      <c r="AG1196" s="243"/>
      <c r="AH1196" s="243"/>
      <c r="AI1196" s="243"/>
      <c r="AJ1196" s="243"/>
    </row>
    <row r="1197" hidden="1">
      <c r="A1197" s="241" t="str">
        <f>IFERROR(__xludf.DUMMYFUNCTION("""COMPUTED_VALUE"""),"Milho Arco-íris")</f>
        <v>Milho Arco-íris</v>
      </c>
      <c r="B1197" s="241"/>
      <c r="C1197" s="241" t="str">
        <f>IFERROR(__xludf.DUMMYFUNCTION("""COMPUTED_VALUE"""),"Semente forte")</f>
        <v>Semente forte</v>
      </c>
      <c r="D1197" s="241"/>
      <c r="E1197" s="241" t="str">
        <f>IFERROR(__xludf.DUMMYFUNCTION("""COMPUTED_VALUE"""),"Semente forte")</f>
        <v>Semente forte</v>
      </c>
      <c r="F1197" s="241"/>
      <c r="G1197" s="241" t="str">
        <f>IFERROR(__xludf.DUMMYFUNCTION("""COMPUTED_VALUE"""),"Semente forte")</f>
        <v>Semente forte</v>
      </c>
      <c r="H1197" s="241"/>
      <c r="I1197" s="241" t="str">
        <f>IFERROR(__xludf.DUMMYFUNCTION("""COMPUTED_VALUE"""),"Semente forte")</f>
        <v>Semente forte</v>
      </c>
      <c r="J1197" s="241"/>
      <c r="K1197" s="241" t="str">
        <f>IFERROR(__xludf.DUMMYFUNCTION("""COMPUTED_VALUE"""),"Semente forte")</f>
        <v>Semente forte</v>
      </c>
      <c r="L1197" s="242"/>
      <c r="M1197" s="241"/>
      <c r="N1197" s="241"/>
      <c r="O1197" s="241"/>
      <c r="P1197" s="241"/>
      <c r="Q1197" s="241"/>
      <c r="R1197" s="241"/>
      <c r="S1197" s="241"/>
      <c r="T1197" s="241"/>
      <c r="U1197" s="241"/>
      <c r="V1197" s="241"/>
      <c r="W1197" s="241"/>
      <c r="X1197" s="243"/>
      <c r="Y1197" s="243"/>
      <c r="Z1197" s="243"/>
      <c r="AA1197" s="243"/>
      <c r="AB1197" s="243"/>
      <c r="AC1197" s="243"/>
      <c r="AD1197" s="243"/>
      <c r="AE1197" s="243"/>
      <c r="AF1197" s="243"/>
      <c r="AG1197" s="243"/>
      <c r="AH1197" s="243"/>
      <c r="AI1197" s="243"/>
      <c r="AJ1197" s="243"/>
    </row>
    <row r="1198" hidden="1">
      <c r="A1198" s="241" t="str">
        <f>IFERROR(__xludf.DUMMYFUNCTION("""COMPUTED_VALUE"""),"Chakran Cantante")</f>
        <v>Chakran Cantante</v>
      </c>
      <c r="B1198" s="241"/>
      <c r="C1198" s="241" t="str">
        <f>IFERROR(__xludf.DUMMYFUNCTION("""COMPUTED_VALUE"""),"Panaceia")</f>
        <v>Panaceia</v>
      </c>
      <c r="D1198" s="241"/>
      <c r="E1198" s="241" t="str">
        <f>IFERROR(__xludf.DUMMYFUNCTION("""COMPUTED_VALUE"""),"Panaceia")</f>
        <v>Panaceia</v>
      </c>
      <c r="F1198" s="241"/>
      <c r="G1198" s="241" t="str">
        <f>IFERROR(__xludf.DUMMYFUNCTION("""COMPUTED_VALUE"""),"Panaceia")</f>
        <v>Panaceia</v>
      </c>
      <c r="H1198" s="241"/>
      <c r="I1198" s="241" t="str">
        <f>IFERROR(__xludf.DUMMYFUNCTION("""COMPUTED_VALUE"""),"Panaceia")</f>
        <v>Panaceia</v>
      </c>
      <c r="J1198" s="241"/>
      <c r="K1198" s="241" t="str">
        <f>IFERROR(__xludf.DUMMYFUNCTION("""COMPUTED_VALUE"""),"Panaceia")</f>
        <v>Panaceia</v>
      </c>
      <c r="L1198" s="242"/>
      <c r="M1198" s="241"/>
      <c r="N1198" s="241"/>
      <c r="O1198" s="241"/>
      <c r="P1198" s="241"/>
      <c r="Q1198" s="241"/>
      <c r="R1198" s="241"/>
      <c r="S1198" s="241"/>
      <c r="T1198" s="241"/>
      <c r="U1198" s="241"/>
      <c r="V1198" s="241"/>
      <c r="W1198" s="241"/>
      <c r="X1198" s="243"/>
      <c r="Y1198" s="243"/>
      <c r="Z1198" s="243"/>
      <c r="AA1198" s="243"/>
      <c r="AB1198" s="243"/>
      <c r="AC1198" s="243"/>
      <c r="AD1198" s="243"/>
      <c r="AE1198" s="243"/>
      <c r="AF1198" s="243"/>
      <c r="AG1198" s="243"/>
      <c r="AH1198" s="243"/>
      <c r="AI1198" s="243"/>
      <c r="AJ1198" s="243"/>
    </row>
    <row r="1199" hidden="1">
      <c r="A1199" s="241" t="str">
        <f>IFERROR(__xludf.DUMMYFUNCTION("""COMPUTED_VALUE"""),"Dardos Explosivos")</f>
        <v>Dardos Explosivos</v>
      </c>
      <c r="B1199" s="241"/>
      <c r="C1199" s="241" t="str">
        <f>IFERROR(__xludf.DUMMYFUNCTION("""COMPUTED_VALUE"""),"Lucky Clover")</f>
        <v>Lucky Clover</v>
      </c>
      <c r="D1199" s="241"/>
      <c r="E1199" s="241" t="str">
        <f>IFERROR(__xludf.DUMMYFUNCTION("""COMPUTED_VALUE"""),"Lucky Clover")</f>
        <v>Lucky Clover</v>
      </c>
      <c r="F1199" s="241"/>
      <c r="G1199" s="241" t="str">
        <f>IFERROR(__xludf.DUMMYFUNCTION("""COMPUTED_VALUE"""),"Lucky Clover")</f>
        <v>Lucky Clover</v>
      </c>
      <c r="H1199" s="241"/>
      <c r="I1199" s="241" t="str">
        <f>IFERROR(__xludf.DUMMYFUNCTION("""COMPUTED_VALUE"""),"Lucky Clover")</f>
        <v>Lucky Clover</v>
      </c>
      <c r="J1199" s="241"/>
      <c r="K1199" s="241" t="str">
        <f>IFERROR(__xludf.DUMMYFUNCTION("""COMPUTED_VALUE"""),"Lucky Clover")</f>
        <v>Lucky Clover</v>
      </c>
      <c r="L1199" s="242"/>
      <c r="M1199" s="241"/>
      <c r="N1199" s="241"/>
      <c r="O1199" s="241"/>
      <c r="P1199" s="241"/>
      <c r="Q1199" s="241"/>
      <c r="R1199" s="241"/>
      <c r="S1199" s="241"/>
      <c r="T1199" s="241"/>
      <c r="U1199" s="241"/>
      <c r="V1199" s="241"/>
      <c r="W1199" s="241"/>
      <c r="X1199" s="243"/>
      <c r="Y1199" s="243"/>
      <c r="Z1199" s="243"/>
      <c r="AA1199" s="243"/>
      <c r="AB1199" s="243"/>
      <c r="AC1199" s="243"/>
      <c r="AD1199" s="243"/>
      <c r="AE1199" s="243"/>
      <c r="AF1199" s="243"/>
      <c r="AG1199" s="243"/>
      <c r="AH1199" s="243"/>
      <c r="AI1199" s="243"/>
      <c r="AJ1199" s="243"/>
    </row>
    <row r="1200" hidden="1">
      <c r="A1200" s="241" t="str">
        <f>IFERROR(__xludf.DUMMYFUNCTION("""COMPUTED_VALUE"""),"Fura-Coração")</f>
        <v>Fura-Coração</v>
      </c>
      <c r="B1200" s="241"/>
      <c r="C1200" s="241" t="str">
        <f>IFERROR(__xludf.DUMMYFUNCTION("""COMPUTED_VALUE"""),"Semente mágica")</f>
        <v>Semente mágica</v>
      </c>
      <c r="D1200" s="241"/>
      <c r="E1200" s="241" t="str">
        <f>IFERROR(__xludf.DUMMYFUNCTION("""COMPUTED_VALUE"""),"Semente mágica")</f>
        <v>Semente mágica</v>
      </c>
      <c r="F1200" s="241"/>
      <c r="G1200" s="241" t="str">
        <f>IFERROR(__xludf.DUMMYFUNCTION("""COMPUTED_VALUE"""),"Semente mágica")</f>
        <v>Semente mágica</v>
      </c>
      <c r="H1200" s="241"/>
      <c r="I1200" s="241" t="str">
        <f>IFERROR(__xludf.DUMMYFUNCTION("""COMPUTED_VALUE"""),"Semente mágica")</f>
        <v>Semente mágica</v>
      </c>
      <c r="J1200" s="241"/>
      <c r="K1200" s="241" t="str">
        <f>IFERROR(__xludf.DUMMYFUNCTION("""COMPUTED_VALUE"""),"Semente mágica")</f>
        <v>Semente mágica</v>
      </c>
      <c r="L1200" s="242"/>
      <c r="M1200" s="241"/>
      <c r="N1200" s="241"/>
      <c r="O1200" s="241"/>
      <c r="P1200" s="241"/>
      <c r="Q1200" s="241"/>
      <c r="R1200" s="241"/>
      <c r="S1200" s="241"/>
      <c r="T1200" s="241"/>
      <c r="U1200" s="241"/>
      <c r="V1200" s="241"/>
      <c r="W1200" s="241"/>
      <c r="X1200" s="243"/>
      <c r="Y1200" s="243"/>
      <c r="Z1200" s="243"/>
      <c r="AA1200" s="243"/>
      <c r="AB1200" s="243"/>
      <c r="AC1200" s="243"/>
      <c r="AD1200" s="243"/>
      <c r="AE1200" s="243"/>
      <c r="AF1200" s="243"/>
      <c r="AG1200" s="243"/>
      <c r="AH1200" s="243"/>
      <c r="AI1200" s="243"/>
      <c r="AJ1200" s="243"/>
    </row>
    <row r="1201" hidden="1">
      <c r="A1201" s="241" t="str">
        <f>IFERROR(__xludf.DUMMYFUNCTION("""COMPUTED_VALUE"""),"Estrondo de trovão")</f>
        <v>Estrondo de trovão</v>
      </c>
      <c r="B1201" s="241"/>
      <c r="C1201" s="241" t="str">
        <f>IFERROR(__xludf.DUMMYFUNCTION("""COMPUTED_VALUE"""),"Feijões Mágicos ")</f>
        <v>Feijões Mágicos </v>
      </c>
      <c r="D1201" s="241"/>
      <c r="E1201" s="241" t="str">
        <f>IFERROR(__xludf.DUMMYFUNCTION("""COMPUTED_VALUE"""),"Feijões Mágicos ")</f>
        <v>Feijões Mágicos </v>
      </c>
      <c r="F1201" s="241"/>
      <c r="G1201" s="241" t="str">
        <f>IFERROR(__xludf.DUMMYFUNCTION("""COMPUTED_VALUE"""),"Feijões Mágicos ")</f>
        <v>Feijões Mágicos </v>
      </c>
      <c r="H1201" s="241"/>
      <c r="I1201" s="241" t="str">
        <f>IFERROR(__xludf.DUMMYFUNCTION("""COMPUTED_VALUE"""),"Feijões Mágicos ")</f>
        <v>Feijões Mágicos </v>
      </c>
      <c r="J1201" s="241"/>
      <c r="K1201" s="241" t="str">
        <f>IFERROR(__xludf.DUMMYFUNCTION("""COMPUTED_VALUE"""),"Feijões Mágicos ")</f>
        <v>Feijões Mágicos </v>
      </c>
      <c r="L1201" s="242"/>
      <c r="M1201" s="241"/>
      <c r="N1201" s="241"/>
      <c r="O1201" s="241"/>
      <c r="P1201" s="241"/>
      <c r="Q1201" s="241"/>
      <c r="R1201" s="241"/>
      <c r="S1201" s="241"/>
      <c r="T1201" s="241"/>
      <c r="U1201" s="241"/>
      <c r="V1201" s="241"/>
      <c r="W1201" s="241"/>
      <c r="X1201" s="243"/>
      <c r="Y1201" s="243"/>
      <c r="Z1201" s="243"/>
      <c r="AA1201" s="243"/>
      <c r="AB1201" s="243"/>
      <c r="AC1201" s="243"/>
      <c r="AD1201" s="243"/>
      <c r="AE1201" s="243"/>
      <c r="AF1201" s="243"/>
      <c r="AG1201" s="243"/>
      <c r="AH1201" s="243"/>
      <c r="AI1201" s="243"/>
      <c r="AJ1201" s="243"/>
    </row>
    <row r="1202" hidden="1">
      <c r="A1202" s="241" t="str">
        <f>IFERROR(__xludf.DUMMYFUNCTION("""COMPUTED_VALUE"""),"Kunai de fogo-gelo")</f>
        <v>Kunai de fogo-gelo</v>
      </c>
      <c r="B1202" s="241"/>
      <c r="C1202" s="241" t="str">
        <f>IFERROR(__xludf.DUMMYFUNCTION("""COMPUTED_VALUE"""),"Pó de demônio")</f>
        <v>Pó de demônio</v>
      </c>
      <c r="D1202" s="241"/>
      <c r="E1202" s="241" t="str">
        <f>IFERROR(__xludf.DUMMYFUNCTION("""COMPUTED_VALUE"""),"Pó de demônio")</f>
        <v>Pó de demônio</v>
      </c>
      <c r="F1202" s="241"/>
      <c r="G1202" s="241" t="str">
        <f>IFERROR(__xludf.DUMMYFUNCTION("""COMPUTED_VALUE"""),"Pó de demônio")</f>
        <v>Pó de demônio</v>
      </c>
      <c r="H1202" s="241"/>
      <c r="I1202" s="241" t="str">
        <f>IFERROR(__xludf.DUMMYFUNCTION("""COMPUTED_VALUE"""),"Pó de demônio")</f>
        <v>Pó de demônio</v>
      </c>
      <c r="J1202" s="241"/>
      <c r="K1202" s="241" t="str">
        <f>IFERROR(__xludf.DUMMYFUNCTION("""COMPUTED_VALUE"""),"Pó de demônio")</f>
        <v>Pó de demônio</v>
      </c>
      <c r="L1202" s="242"/>
      <c r="M1202" s="241"/>
      <c r="N1202" s="241"/>
      <c r="O1202" s="241"/>
      <c r="P1202" s="241"/>
      <c r="Q1202" s="241"/>
      <c r="R1202" s="241"/>
      <c r="S1202" s="241"/>
      <c r="T1202" s="241"/>
      <c r="U1202" s="241"/>
      <c r="V1202" s="241"/>
      <c r="W1202" s="241"/>
      <c r="X1202" s="243"/>
      <c r="Y1202" s="243"/>
      <c r="Z1202" s="243"/>
      <c r="AA1202" s="243"/>
      <c r="AB1202" s="243"/>
      <c r="AC1202" s="243"/>
      <c r="AD1202" s="243"/>
      <c r="AE1202" s="243"/>
      <c r="AF1202" s="243"/>
      <c r="AG1202" s="243"/>
      <c r="AH1202" s="243"/>
      <c r="AI1202" s="243"/>
      <c r="AJ1202" s="243"/>
    </row>
    <row r="1203" hidden="1">
      <c r="A1203" s="241" t="str">
        <f>IFERROR(__xludf.DUMMYFUNCTION("""COMPUTED_VALUE"""),"Eggsplosives")</f>
        <v>Eggsplosives</v>
      </c>
      <c r="B1203" s="241"/>
      <c r="C1203" s="241" t="str">
        <f>IFERROR(__xludf.DUMMYFUNCTION("""COMPUTED_VALUE"""),"Chá dragônico")</f>
        <v>Chá dragônico</v>
      </c>
      <c r="D1203" s="241"/>
      <c r="E1203" s="241" t="str">
        <f>IFERROR(__xludf.DUMMYFUNCTION("""COMPUTED_VALUE"""),"Chá dragônico")</f>
        <v>Chá dragônico</v>
      </c>
      <c r="F1203" s="241"/>
      <c r="G1203" s="241" t="str">
        <f>IFERROR(__xludf.DUMMYFUNCTION("""COMPUTED_VALUE"""),"Chá dragônico")</f>
        <v>Chá dragônico</v>
      </c>
      <c r="H1203" s="241"/>
      <c r="I1203" s="241" t="str">
        <f>IFERROR(__xludf.DUMMYFUNCTION("""COMPUTED_VALUE"""),"Chá dragônico")</f>
        <v>Chá dragônico</v>
      </c>
      <c r="J1203" s="241"/>
      <c r="K1203" s="241" t="str">
        <f>IFERROR(__xludf.DUMMYFUNCTION("""COMPUTED_VALUE"""),"Chá dragônico")</f>
        <v>Chá dragônico</v>
      </c>
      <c r="L1203" s="242"/>
      <c r="M1203" s="241"/>
      <c r="N1203" s="241"/>
      <c r="O1203" s="241"/>
      <c r="P1203" s="241"/>
      <c r="Q1203" s="241"/>
      <c r="R1203" s="241"/>
      <c r="S1203" s="241"/>
      <c r="T1203" s="241"/>
      <c r="U1203" s="241"/>
      <c r="V1203" s="241"/>
      <c r="W1203" s="241"/>
      <c r="X1203" s="243"/>
      <c r="Y1203" s="243"/>
      <c r="Z1203" s="243"/>
      <c r="AA1203" s="243"/>
      <c r="AB1203" s="243"/>
      <c r="AC1203" s="243"/>
      <c r="AD1203" s="243"/>
      <c r="AE1203" s="243"/>
      <c r="AF1203" s="243"/>
      <c r="AG1203" s="243"/>
      <c r="AH1203" s="243"/>
      <c r="AI1203" s="243"/>
      <c r="AJ1203" s="243"/>
    </row>
    <row r="1204" hidden="1">
      <c r="A1204" s="241" t="str">
        <f>IFERROR(__xludf.DUMMYFUNCTION("""COMPUTED_VALUE"""),"Bomba do Inferno")</f>
        <v>Bomba do Inferno</v>
      </c>
      <c r="B1204" s="241"/>
      <c r="C1204" s="241" t="str">
        <f>IFERROR(__xludf.DUMMYFUNCTION("""COMPUTED_VALUE"""),"Seed of Power")</f>
        <v>Seed of Power</v>
      </c>
      <c r="D1204" s="241"/>
      <c r="E1204" s="241" t="str">
        <f>IFERROR(__xludf.DUMMYFUNCTION("""COMPUTED_VALUE"""),"Seed of Power")</f>
        <v>Seed of Power</v>
      </c>
      <c r="F1204" s="241"/>
      <c r="G1204" s="241" t="str">
        <f>IFERROR(__xludf.DUMMYFUNCTION("""COMPUTED_VALUE"""),"Seed of Power")</f>
        <v>Seed of Power</v>
      </c>
      <c r="H1204" s="241"/>
      <c r="I1204" s="241" t="str">
        <f>IFERROR(__xludf.DUMMYFUNCTION("""COMPUTED_VALUE"""),"Seed of Power")</f>
        <v>Seed of Power</v>
      </c>
      <c r="J1204" s="241"/>
      <c r="K1204" s="241" t="str">
        <f>IFERROR(__xludf.DUMMYFUNCTION("""COMPUTED_VALUE"""),"Seed of Power")</f>
        <v>Seed of Power</v>
      </c>
      <c r="L1204" s="242"/>
      <c r="M1204" s="241"/>
      <c r="N1204" s="241"/>
      <c r="O1204" s="241"/>
      <c r="P1204" s="241"/>
      <c r="Q1204" s="241"/>
      <c r="R1204" s="241"/>
      <c r="S1204" s="241"/>
      <c r="T1204" s="241"/>
      <c r="U1204" s="241"/>
      <c r="V1204" s="241"/>
      <c r="W1204" s="241"/>
      <c r="X1204" s="243"/>
      <c r="Y1204" s="243"/>
      <c r="Z1204" s="243"/>
      <c r="AA1204" s="243"/>
      <c r="AB1204" s="243"/>
      <c r="AC1204" s="243"/>
      <c r="AD1204" s="243"/>
      <c r="AE1204" s="243"/>
      <c r="AF1204" s="243"/>
      <c r="AG1204" s="243"/>
      <c r="AH1204" s="243"/>
      <c r="AI1204" s="243"/>
      <c r="AJ1204" s="243"/>
    </row>
    <row r="1205" hidden="1">
      <c r="A1205" s="241" t="str">
        <f>IFERROR(__xludf.DUMMYFUNCTION("""COMPUTED_VALUE"""),"Flying Guillotine")</f>
        <v>Flying Guillotine</v>
      </c>
      <c r="B1205" s="241"/>
      <c r="C1205" s="241" t="str">
        <f>IFERROR(__xludf.DUMMYFUNCTION("""COMPUTED_VALUE"""),"Sacred Mooncake")</f>
        <v>Sacred Mooncake</v>
      </c>
      <c r="D1205" s="241"/>
      <c r="E1205" s="241" t="str">
        <f>IFERROR(__xludf.DUMMYFUNCTION("""COMPUTED_VALUE"""),"Sacred Mooncake")</f>
        <v>Sacred Mooncake</v>
      </c>
      <c r="F1205" s="241"/>
      <c r="G1205" s="241" t="str">
        <f>IFERROR(__xludf.DUMMYFUNCTION("""COMPUTED_VALUE"""),"Sacred Mooncake")</f>
        <v>Sacred Mooncake</v>
      </c>
      <c r="H1205" s="241"/>
      <c r="I1205" s="241" t="str">
        <f>IFERROR(__xludf.DUMMYFUNCTION("""COMPUTED_VALUE"""),"Sacred Mooncake")</f>
        <v>Sacred Mooncake</v>
      </c>
      <c r="J1205" s="241"/>
      <c r="K1205" s="241" t="str">
        <f>IFERROR(__xludf.DUMMYFUNCTION("""COMPUTED_VALUE"""),"Sacred Mooncake")</f>
        <v>Sacred Mooncake</v>
      </c>
      <c r="L1205" s="242"/>
      <c r="M1205" s="241"/>
      <c r="N1205" s="241"/>
      <c r="O1205" s="241"/>
      <c r="P1205" s="241"/>
      <c r="Q1205" s="241"/>
      <c r="R1205" s="241"/>
      <c r="S1205" s="241"/>
      <c r="T1205" s="241"/>
      <c r="U1205" s="241"/>
      <c r="V1205" s="241"/>
      <c r="W1205" s="241"/>
      <c r="X1205" s="243"/>
      <c r="Y1205" s="243"/>
      <c r="Z1205" s="243"/>
      <c r="AA1205" s="243"/>
      <c r="AB1205" s="243"/>
      <c r="AC1205" s="243"/>
      <c r="AD1205" s="243"/>
      <c r="AE1205" s="243"/>
      <c r="AF1205" s="243"/>
      <c r="AG1205" s="243"/>
      <c r="AH1205" s="243"/>
      <c r="AI1205" s="243"/>
      <c r="AJ1205" s="243"/>
    </row>
    <row r="1206" hidden="1">
      <c r="A1206" s="241" t="str">
        <f>IFERROR(__xludf.DUMMYFUNCTION("""COMPUTED_VALUE"""),"Quicksilver")</f>
        <v>Quicksilver</v>
      </c>
      <c r="B1206" s="241"/>
      <c r="C1206" s="241" t="str">
        <f>IFERROR(__xludf.DUMMYFUNCTION("""COMPUTED_VALUE"""),"Gotas de Elíxir")</f>
        <v>Gotas de Elíxir</v>
      </c>
      <c r="D1206" s="241"/>
      <c r="E1206" s="241" t="str">
        <f>IFERROR(__xludf.DUMMYFUNCTION("""COMPUTED_VALUE"""),"Gotas de Elíxir")</f>
        <v>Gotas de Elíxir</v>
      </c>
      <c r="F1206" s="241"/>
      <c r="G1206" s="241" t="str">
        <f>IFERROR(__xludf.DUMMYFUNCTION("""COMPUTED_VALUE"""),"Agulhas Envenenadas")</f>
        <v>Agulhas Envenenadas</v>
      </c>
      <c r="H1206" s="241"/>
      <c r="I1206" s="241" t="str">
        <f>IFERROR(__xludf.DUMMYFUNCTION("""COMPUTED_VALUE"""),"Totem da Dor")</f>
        <v>Totem da Dor</v>
      </c>
      <c r="J1206" s="241"/>
      <c r="K1206" s="241" t="str">
        <f>IFERROR(__xludf.DUMMYFUNCTION("""COMPUTED_VALUE"""),"Totem da Dor")</f>
        <v>Totem da Dor</v>
      </c>
      <c r="L1206" s="242"/>
      <c r="M1206" s="241"/>
      <c r="N1206" s="241"/>
      <c r="O1206" s="241"/>
      <c r="P1206" s="241"/>
      <c r="Q1206" s="241"/>
      <c r="R1206" s="241"/>
      <c r="S1206" s="241"/>
      <c r="T1206" s="241"/>
      <c r="U1206" s="241"/>
      <c r="V1206" s="241"/>
      <c r="W1206" s="241"/>
      <c r="X1206" s="243"/>
      <c r="Y1206" s="243"/>
      <c r="Z1206" s="243"/>
      <c r="AA1206" s="243"/>
      <c r="AB1206" s="243"/>
      <c r="AC1206" s="243"/>
      <c r="AD1206" s="243"/>
      <c r="AE1206" s="243"/>
      <c r="AF1206" s="243"/>
      <c r="AG1206" s="243"/>
      <c r="AH1206" s="243"/>
      <c r="AI1206" s="243"/>
      <c r="AJ1206" s="243"/>
    </row>
    <row r="1207" hidden="1">
      <c r="A1207" s="241"/>
      <c r="B1207" s="241"/>
      <c r="C1207" s="241" t="str">
        <f>IFERROR(__xludf.DUMMYFUNCTION("""COMPUTED_VALUE"""),"Cálice")</f>
        <v>Cálice</v>
      </c>
      <c r="D1207" s="241"/>
      <c r="E1207" s="241" t="str">
        <f>IFERROR(__xludf.DUMMYFUNCTION("""COMPUTED_VALUE"""),"Cálice")</f>
        <v>Cálice</v>
      </c>
      <c r="F1207" s="241"/>
      <c r="G1207" s="241" t="str">
        <f>IFERROR(__xludf.DUMMYFUNCTION("""COMPUTED_VALUE"""),"Bomba Tóxica")</f>
        <v>Bomba Tóxica</v>
      </c>
      <c r="H1207" s="241"/>
      <c r="I1207" s="241" t="str">
        <f>IFERROR(__xludf.DUMMYFUNCTION("""COMPUTED_VALUE"""),"A arte da guerra")</f>
        <v>A arte da guerra</v>
      </c>
      <c r="J1207" s="241"/>
      <c r="K1207" s="241" t="str">
        <f>IFERROR(__xludf.DUMMYFUNCTION("""COMPUTED_VALUE"""),"A arte da guerra")</f>
        <v>A arte da guerra</v>
      </c>
      <c r="L1207" s="242"/>
      <c r="M1207" s="241"/>
      <c r="N1207" s="241"/>
      <c r="O1207" s="241"/>
      <c r="P1207" s="241"/>
      <c r="Q1207" s="241"/>
      <c r="R1207" s="241"/>
      <c r="S1207" s="241"/>
      <c r="T1207" s="241"/>
      <c r="U1207" s="241"/>
      <c r="V1207" s="241"/>
      <c r="W1207" s="241"/>
      <c r="X1207" s="243"/>
      <c r="Y1207" s="243"/>
      <c r="Z1207" s="243"/>
      <c r="AA1207" s="243"/>
      <c r="AB1207" s="243"/>
      <c r="AC1207" s="243"/>
      <c r="AD1207" s="243"/>
      <c r="AE1207" s="243"/>
      <c r="AF1207" s="243"/>
      <c r="AG1207" s="243"/>
      <c r="AH1207" s="243"/>
      <c r="AI1207" s="243"/>
      <c r="AJ1207" s="243"/>
    </row>
    <row r="1208" hidden="1">
      <c r="A1208" s="241"/>
      <c r="B1208" s="241"/>
      <c r="C1208" s="241" t="str">
        <f>IFERROR(__xludf.DUMMYFUNCTION("""COMPUTED_VALUE"""),"Sangue de Demônio")</f>
        <v>Sangue de Demônio</v>
      </c>
      <c r="D1208" s="241"/>
      <c r="E1208" s="241" t="str">
        <f>IFERROR(__xludf.DUMMYFUNCTION("""COMPUTED_VALUE"""),"Sangue de Demônio")</f>
        <v>Sangue de Demônio</v>
      </c>
      <c r="F1208" s="241"/>
      <c r="G1208" s="241" t="str">
        <f>IFERROR(__xludf.DUMMYFUNCTION("""COMPUTED_VALUE"""),"Shuriken Mágico")</f>
        <v>Shuriken Mágico</v>
      </c>
      <c r="H1208" s="241"/>
      <c r="I1208" s="241" t="str">
        <f>IFERROR(__xludf.DUMMYFUNCTION("""COMPUTED_VALUE"""),"Ordem Imperial")</f>
        <v>Ordem Imperial</v>
      </c>
      <c r="J1208" s="241"/>
      <c r="K1208" s="241" t="str">
        <f>IFERROR(__xludf.DUMMYFUNCTION("""COMPUTED_VALUE"""),"Ordem Imperial")</f>
        <v>Ordem Imperial</v>
      </c>
      <c r="L1208" s="242"/>
      <c r="M1208" s="241"/>
      <c r="N1208" s="241"/>
      <c r="O1208" s="241"/>
      <c r="P1208" s="241"/>
      <c r="Q1208" s="241"/>
      <c r="R1208" s="241"/>
      <c r="S1208" s="241"/>
      <c r="T1208" s="241"/>
      <c r="U1208" s="241"/>
      <c r="V1208" s="241"/>
      <c r="W1208" s="241"/>
      <c r="X1208" s="243"/>
      <c r="Y1208" s="243"/>
      <c r="Z1208" s="243"/>
      <c r="AA1208" s="243"/>
      <c r="AB1208" s="243"/>
      <c r="AC1208" s="243"/>
      <c r="AD1208" s="243"/>
      <c r="AE1208" s="243"/>
      <c r="AF1208" s="243"/>
      <c r="AG1208" s="243"/>
      <c r="AH1208" s="243"/>
      <c r="AI1208" s="243"/>
      <c r="AJ1208" s="243"/>
    </row>
    <row r="1209" hidden="1">
      <c r="A1209" s="241"/>
      <c r="B1209" s="241"/>
      <c r="C1209" s="241" t="str">
        <f>IFERROR(__xludf.DUMMYFUNCTION("""COMPUTED_VALUE"""),"Elven Sunblock")</f>
        <v>Elven Sunblock</v>
      </c>
      <c r="D1209" s="241"/>
      <c r="E1209" s="241" t="str">
        <f>IFERROR(__xludf.DUMMYFUNCTION("""COMPUTED_VALUE"""),"Elven Sunblock")</f>
        <v>Elven Sunblock</v>
      </c>
      <c r="F1209" s="241"/>
      <c r="G1209" s="241" t="str">
        <f>IFERROR(__xludf.DUMMYFUNCTION("""COMPUTED_VALUE"""),"Milho Arco-íris")</f>
        <v>Milho Arco-íris</v>
      </c>
      <c r="H1209" s="241"/>
      <c r="I1209" s="241" t="str">
        <f>IFERROR(__xludf.DUMMYFUNCTION("""COMPUTED_VALUE"""),"Celtic Slate")</f>
        <v>Celtic Slate</v>
      </c>
      <c r="J1209" s="241"/>
      <c r="K1209" s="241" t="str">
        <f>IFERROR(__xludf.DUMMYFUNCTION("""COMPUTED_VALUE"""),"Celtic Slate")</f>
        <v>Celtic Slate</v>
      </c>
      <c r="L1209" s="242"/>
      <c r="M1209" s="241"/>
      <c r="N1209" s="241"/>
      <c r="O1209" s="241"/>
      <c r="P1209" s="241"/>
      <c r="Q1209" s="241"/>
      <c r="R1209" s="241"/>
      <c r="S1209" s="241"/>
      <c r="T1209" s="241"/>
      <c r="U1209" s="241"/>
      <c r="V1209" s="241"/>
      <c r="W1209" s="241"/>
      <c r="X1209" s="243"/>
      <c r="Y1209" s="243"/>
      <c r="Z1209" s="243"/>
      <c r="AA1209" s="243"/>
      <c r="AB1209" s="243"/>
      <c r="AC1209" s="243"/>
      <c r="AD1209" s="243"/>
      <c r="AE1209" s="243"/>
      <c r="AF1209" s="243"/>
      <c r="AG1209" s="243"/>
      <c r="AH1209" s="243"/>
      <c r="AI1209" s="243"/>
      <c r="AJ1209" s="243"/>
    </row>
    <row r="1210" hidden="1">
      <c r="A1210" s="241"/>
      <c r="B1210" s="241"/>
      <c r="C1210" s="241" t="str">
        <f>IFERROR(__xludf.DUMMYFUNCTION("""COMPUTED_VALUE"""),"Elixir ")</f>
        <v>Elixir </v>
      </c>
      <c r="D1210" s="241"/>
      <c r="E1210" s="241" t="str">
        <f>IFERROR(__xludf.DUMMYFUNCTION("""COMPUTED_VALUE"""),"Elixir ")</f>
        <v>Elixir </v>
      </c>
      <c r="F1210" s="241"/>
      <c r="G1210" s="241" t="str">
        <f>IFERROR(__xludf.DUMMYFUNCTION("""COMPUTED_VALUE"""),"Chakran Cantante")</f>
        <v>Chakran Cantante</v>
      </c>
      <c r="H1210" s="241"/>
      <c r="I1210" s="241" t="str">
        <f>IFERROR(__xludf.DUMMYFUNCTION("""COMPUTED_VALUE"""),"Codéx Mágico")</f>
        <v>Codéx Mágico</v>
      </c>
      <c r="J1210" s="241"/>
      <c r="K1210" s="241" t="str">
        <f>IFERROR(__xludf.DUMMYFUNCTION("""COMPUTED_VALUE"""),"Codéx Mágico")</f>
        <v>Codéx Mágico</v>
      </c>
      <c r="L1210" s="242"/>
      <c r="M1210" s="241"/>
      <c r="N1210" s="241"/>
      <c r="O1210" s="241"/>
      <c r="P1210" s="241"/>
      <c r="Q1210" s="241"/>
      <c r="R1210" s="241"/>
      <c r="S1210" s="241"/>
      <c r="T1210" s="241"/>
      <c r="U1210" s="241"/>
      <c r="V1210" s="241"/>
      <c r="W1210" s="241"/>
      <c r="X1210" s="243"/>
      <c r="Y1210" s="243"/>
      <c r="Z1210" s="243"/>
      <c r="AA1210" s="243"/>
      <c r="AB1210" s="243"/>
      <c r="AC1210" s="243"/>
      <c r="AD1210" s="243"/>
      <c r="AE1210" s="243"/>
      <c r="AF1210" s="243"/>
      <c r="AG1210" s="243"/>
      <c r="AH1210" s="243"/>
      <c r="AI1210" s="243"/>
      <c r="AJ1210" s="243"/>
    </row>
    <row r="1211" hidden="1">
      <c r="A1211" s="241"/>
      <c r="B1211" s="241"/>
      <c r="C1211" s="241" t="str">
        <f>IFERROR(__xludf.DUMMYFUNCTION("""COMPUTED_VALUE"""),"Sangue de Dragão ")</f>
        <v>Sangue de Dragão </v>
      </c>
      <c r="D1211" s="241"/>
      <c r="E1211" s="241" t="str">
        <f>IFERROR(__xludf.DUMMYFUNCTION("""COMPUTED_VALUE"""),"Sangue de Dragão ")</f>
        <v>Sangue de Dragão </v>
      </c>
      <c r="F1211" s="241"/>
      <c r="G1211" s="241" t="str">
        <f>IFERROR(__xludf.DUMMYFUNCTION("""COMPUTED_VALUE"""),"Dardos Explosivos")</f>
        <v>Dardos Explosivos</v>
      </c>
      <c r="H1211" s="241"/>
      <c r="I1211" s="241" t="str">
        <f>IFERROR(__xludf.DUMMYFUNCTION("""COMPUTED_VALUE"""),"Selo do Mal")</f>
        <v>Selo do Mal</v>
      </c>
      <c r="J1211" s="241"/>
      <c r="K1211" s="241" t="str">
        <f>IFERROR(__xludf.DUMMYFUNCTION("""COMPUTED_VALUE"""),"Selo do Mal")</f>
        <v>Selo do Mal</v>
      </c>
      <c r="L1211" s="242"/>
      <c r="M1211" s="241"/>
      <c r="N1211" s="241"/>
      <c r="O1211" s="241"/>
      <c r="P1211" s="241"/>
      <c r="Q1211" s="241"/>
      <c r="R1211" s="241"/>
      <c r="S1211" s="241"/>
      <c r="T1211" s="241"/>
      <c r="U1211" s="241"/>
      <c r="V1211" s="241"/>
      <c r="W1211" s="241"/>
      <c r="X1211" s="243"/>
      <c r="Y1211" s="243"/>
      <c r="Z1211" s="243"/>
      <c r="AA1211" s="243"/>
      <c r="AB1211" s="243"/>
      <c r="AC1211" s="243"/>
      <c r="AD1211" s="243"/>
      <c r="AE1211" s="243"/>
      <c r="AF1211" s="243"/>
      <c r="AG1211" s="243"/>
      <c r="AH1211" s="243"/>
      <c r="AI1211" s="243"/>
      <c r="AJ1211" s="243"/>
    </row>
    <row r="1212" hidden="1">
      <c r="A1212" s="241"/>
      <c r="B1212" s="241"/>
      <c r="C1212" s="241" t="str">
        <f>IFERROR(__xludf.DUMMYFUNCTION("""COMPUTED_VALUE"""),"Megalixir ")</f>
        <v>Megalixir </v>
      </c>
      <c r="D1212" s="241"/>
      <c r="E1212" s="241" t="str">
        <f>IFERROR(__xludf.DUMMYFUNCTION("""COMPUTED_VALUE"""),"Megalixir ")</f>
        <v>Megalixir </v>
      </c>
      <c r="F1212" s="241"/>
      <c r="G1212" s="241" t="str">
        <f>IFERROR(__xludf.DUMMYFUNCTION("""COMPUTED_VALUE"""),"Fura-Coração")</f>
        <v>Fura-Coração</v>
      </c>
      <c r="H1212" s="241"/>
      <c r="I1212" s="241" t="str">
        <f>IFERROR(__xludf.DUMMYFUNCTION("""COMPUTED_VALUE"""),"Selo de Tigre")</f>
        <v>Selo de Tigre</v>
      </c>
      <c r="J1212" s="241"/>
      <c r="K1212" s="241" t="str">
        <f>IFERROR(__xludf.DUMMYFUNCTION("""COMPUTED_VALUE"""),"Selo de Tigre")</f>
        <v>Selo de Tigre</v>
      </c>
      <c r="L1212" s="242"/>
      <c r="M1212" s="241"/>
      <c r="N1212" s="241"/>
      <c r="O1212" s="241"/>
      <c r="P1212" s="241"/>
      <c r="Q1212" s="241"/>
      <c r="R1212" s="241"/>
      <c r="S1212" s="241"/>
      <c r="T1212" s="241"/>
      <c r="U1212" s="241"/>
      <c r="V1212" s="241"/>
      <c r="W1212" s="241"/>
      <c r="X1212" s="243"/>
      <c r="Y1212" s="243"/>
      <c r="Z1212" s="243"/>
      <c r="AA1212" s="243"/>
      <c r="AB1212" s="243"/>
      <c r="AC1212" s="243"/>
      <c r="AD1212" s="243"/>
      <c r="AE1212" s="243"/>
      <c r="AF1212" s="243"/>
      <c r="AG1212" s="243"/>
      <c r="AH1212" s="243"/>
      <c r="AI1212" s="243"/>
      <c r="AJ1212" s="243"/>
    </row>
    <row r="1213" hidden="1">
      <c r="A1213" s="241"/>
      <c r="B1213" s="241"/>
      <c r="C1213" s="241" t="str">
        <f>IFERROR(__xludf.DUMMYFUNCTION("""COMPUTED_VALUE"""),"Elixir of Immortality")</f>
        <v>Elixir of Immortality</v>
      </c>
      <c r="D1213" s="241"/>
      <c r="E1213" s="241" t="str">
        <f>IFERROR(__xludf.DUMMYFUNCTION("""COMPUTED_VALUE"""),"Elixir of Immortality")</f>
        <v>Elixir of Immortality</v>
      </c>
      <c r="F1213" s="241"/>
      <c r="G1213" s="241" t="str">
        <f>IFERROR(__xludf.DUMMYFUNCTION("""COMPUTED_VALUE"""),"Estrondo de trovão")</f>
        <v>Estrondo de trovão</v>
      </c>
      <c r="H1213" s="241"/>
      <c r="I1213" s="241" t="str">
        <f>IFERROR(__xludf.DUMMYFUNCTION("""COMPUTED_VALUE"""),"Compêndio Arcano")</f>
        <v>Compêndio Arcano</v>
      </c>
      <c r="J1213" s="241"/>
      <c r="K1213" s="241" t="str">
        <f>IFERROR(__xludf.DUMMYFUNCTION("""COMPUTED_VALUE"""),"Compêndio Arcano")</f>
        <v>Compêndio Arcano</v>
      </c>
      <c r="L1213" s="242"/>
      <c r="M1213" s="241"/>
      <c r="N1213" s="241"/>
      <c r="O1213" s="241"/>
      <c r="P1213" s="241"/>
      <c r="Q1213" s="241"/>
      <c r="R1213" s="241"/>
      <c r="S1213" s="241"/>
      <c r="T1213" s="241"/>
      <c r="U1213" s="241"/>
      <c r="V1213" s="241"/>
      <c r="W1213" s="241"/>
      <c r="X1213" s="243"/>
      <c r="Y1213" s="243"/>
      <c r="Z1213" s="243"/>
      <c r="AA1213" s="243"/>
      <c r="AB1213" s="243"/>
      <c r="AC1213" s="243"/>
      <c r="AD1213" s="243"/>
      <c r="AE1213" s="243"/>
      <c r="AF1213" s="243"/>
      <c r="AG1213" s="243"/>
      <c r="AH1213" s="243"/>
      <c r="AI1213" s="243"/>
      <c r="AJ1213" s="243"/>
    </row>
    <row r="1214" hidden="1">
      <c r="A1214" s="241"/>
      <c r="B1214" s="241"/>
      <c r="C1214" s="241" t="str">
        <f>IFERROR(__xludf.DUMMYFUNCTION("""COMPUTED_VALUE"""),"Essência de Deus")</f>
        <v>Essência de Deus</v>
      </c>
      <c r="D1214" s="241"/>
      <c r="E1214" s="241" t="str">
        <f>IFERROR(__xludf.DUMMYFUNCTION("""COMPUTED_VALUE"""),"Essência de Deus")</f>
        <v>Essência de Deus</v>
      </c>
      <c r="F1214" s="241"/>
      <c r="G1214" s="241" t="str">
        <f>IFERROR(__xludf.DUMMYFUNCTION("""COMPUTED_VALUE"""),"Kunai de fogo-gelo")</f>
        <v>Kunai de fogo-gelo</v>
      </c>
      <c r="H1214" s="241"/>
      <c r="I1214" s="241" t="str">
        <f>IFERROR(__xludf.DUMMYFUNCTION("""COMPUTED_VALUE"""),"Pergaminho de Retorno")</f>
        <v>Pergaminho de Retorno</v>
      </c>
      <c r="J1214" s="241"/>
      <c r="K1214" s="241" t="str">
        <f>IFERROR(__xludf.DUMMYFUNCTION("""COMPUTED_VALUE"""),"Pergaminho de Retorno")</f>
        <v>Pergaminho de Retorno</v>
      </c>
      <c r="L1214" s="242"/>
      <c r="M1214" s="241"/>
      <c r="N1214" s="241"/>
      <c r="O1214" s="241"/>
      <c r="P1214" s="241"/>
      <c r="Q1214" s="241"/>
      <c r="R1214" s="241"/>
      <c r="S1214" s="241"/>
      <c r="T1214" s="241"/>
      <c r="U1214" s="241"/>
      <c r="V1214" s="241"/>
      <c r="W1214" s="241"/>
      <c r="X1214" s="243"/>
      <c r="Y1214" s="243"/>
      <c r="Z1214" s="243"/>
      <c r="AA1214" s="243"/>
      <c r="AB1214" s="243"/>
      <c r="AC1214" s="243"/>
      <c r="AD1214" s="243"/>
      <c r="AE1214" s="243"/>
      <c r="AF1214" s="243"/>
      <c r="AG1214" s="243"/>
      <c r="AH1214" s="243"/>
      <c r="AI1214" s="243"/>
      <c r="AJ1214" s="243"/>
    </row>
    <row r="1215" hidden="1">
      <c r="A1215" s="241"/>
      <c r="B1215" s="241"/>
      <c r="C1215" s="241" t="str">
        <f>IFERROR(__xludf.DUMMYFUNCTION("""COMPUTED_VALUE"""),"Poção de Obsidiana")</f>
        <v>Poção de Obsidiana</v>
      </c>
      <c r="D1215" s="241"/>
      <c r="E1215" s="241" t="str">
        <f>IFERROR(__xludf.DUMMYFUNCTION("""COMPUTED_VALUE"""),"Poção de Obsidiana")</f>
        <v>Poção de Obsidiana</v>
      </c>
      <c r="F1215" s="241"/>
      <c r="G1215" s="241" t="str">
        <f>IFERROR(__xludf.DUMMYFUNCTION("""COMPUTED_VALUE"""),"Eggsplosives")</f>
        <v>Eggsplosives</v>
      </c>
      <c r="H1215" s="241"/>
      <c r="I1215" s="241" t="str">
        <f>IFERROR(__xludf.DUMMYFUNCTION("""COMPUTED_VALUE"""),"Tomo Divino")</f>
        <v>Tomo Divino</v>
      </c>
      <c r="J1215" s="241"/>
      <c r="K1215" s="241" t="str">
        <f>IFERROR(__xludf.DUMMYFUNCTION("""COMPUTED_VALUE"""),"Tomo Divino")</f>
        <v>Tomo Divino</v>
      </c>
      <c r="L1215" s="242"/>
      <c r="M1215" s="241"/>
      <c r="N1215" s="241"/>
      <c r="O1215" s="241"/>
      <c r="P1215" s="241"/>
      <c r="Q1215" s="241"/>
      <c r="R1215" s="241"/>
      <c r="S1215" s="241"/>
      <c r="T1215" s="241"/>
      <c r="U1215" s="241"/>
      <c r="V1215" s="241"/>
      <c r="W1215" s="241"/>
      <c r="X1215" s="243"/>
      <c r="Y1215" s="243"/>
      <c r="Z1215" s="243"/>
      <c r="AA1215" s="243"/>
      <c r="AB1215" s="243"/>
      <c r="AC1215" s="243"/>
      <c r="AD1215" s="243"/>
      <c r="AE1215" s="243"/>
      <c r="AF1215" s="243"/>
      <c r="AG1215" s="243"/>
      <c r="AH1215" s="243"/>
      <c r="AI1215" s="243"/>
      <c r="AJ1215" s="243"/>
    </row>
    <row r="1216" hidden="1">
      <c r="A1216" s="241"/>
      <c r="B1216" s="241"/>
      <c r="C1216" s="241" t="str">
        <f>IFERROR(__xludf.DUMMYFUNCTION("""COMPUTED_VALUE"""),"Pirate's Brew")</f>
        <v>Pirate's Brew</v>
      </c>
      <c r="D1216" s="241"/>
      <c r="E1216" s="241" t="str">
        <f>IFERROR(__xludf.DUMMYFUNCTION("""COMPUTED_VALUE"""),"Pirate's Brew")</f>
        <v>Pirate's Brew</v>
      </c>
      <c r="F1216" s="241"/>
      <c r="G1216" s="241" t="str">
        <f>IFERROR(__xludf.DUMMYFUNCTION("""COMPUTED_VALUE"""),"Bomba do Inferno")</f>
        <v>Bomba do Inferno</v>
      </c>
      <c r="H1216" s="241"/>
      <c r="I1216" s="241" t="str">
        <f>IFERROR(__xludf.DUMMYFUNCTION("""COMPUTED_VALUE"""),"Pergaminho Assombrado")</f>
        <v>Pergaminho Assombrado</v>
      </c>
      <c r="J1216" s="241"/>
      <c r="K1216" s="241" t="str">
        <f>IFERROR(__xludf.DUMMYFUNCTION("""COMPUTED_VALUE"""),"Pergaminho Assombrado")</f>
        <v>Pergaminho Assombrado</v>
      </c>
      <c r="L1216" s="242"/>
      <c r="M1216" s="241"/>
      <c r="N1216" s="241"/>
      <c r="O1216" s="241"/>
      <c r="P1216" s="241"/>
      <c r="Q1216" s="241"/>
      <c r="R1216" s="241"/>
      <c r="S1216" s="241"/>
      <c r="T1216" s="241"/>
      <c r="U1216" s="241"/>
      <c r="V1216" s="241"/>
      <c r="W1216" s="241"/>
      <c r="X1216" s="243"/>
      <c r="Y1216" s="243"/>
      <c r="Z1216" s="243"/>
      <c r="AA1216" s="243"/>
      <c r="AB1216" s="243"/>
      <c r="AC1216" s="243"/>
      <c r="AD1216" s="243"/>
      <c r="AE1216" s="243"/>
      <c r="AF1216" s="243"/>
      <c r="AG1216" s="243"/>
      <c r="AH1216" s="243"/>
      <c r="AI1216" s="243"/>
      <c r="AJ1216" s="243"/>
    </row>
    <row r="1217" hidden="1">
      <c r="A1217" s="241"/>
      <c r="B1217" s="241"/>
      <c r="C1217" s="241" t="str">
        <f>IFERROR(__xludf.DUMMYFUNCTION("""COMPUTED_VALUE"""),"Poção Fogo de Dragão")</f>
        <v>Poção Fogo de Dragão</v>
      </c>
      <c r="D1217" s="241"/>
      <c r="E1217" s="241" t="str">
        <f>IFERROR(__xludf.DUMMYFUNCTION("""COMPUTED_VALUE"""),"Poção Fogo de Dragão")</f>
        <v>Poção Fogo de Dragão</v>
      </c>
      <c r="F1217" s="241"/>
      <c r="G1217" s="241" t="str">
        <f>IFERROR(__xludf.DUMMYFUNCTION("""COMPUTED_VALUE"""),"Flying Guillotine")</f>
        <v>Flying Guillotine</v>
      </c>
      <c r="H1217" s="241"/>
      <c r="I1217" s="241" t="str">
        <f>IFERROR(__xludf.DUMMYFUNCTION("""COMPUTED_VALUE"""),"Guardian Seal")</f>
        <v>Guardian Seal</v>
      </c>
      <c r="J1217" s="241"/>
      <c r="K1217" s="241" t="str">
        <f>IFERROR(__xludf.DUMMYFUNCTION("""COMPUTED_VALUE"""),"Guardian Seal")</f>
        <v>Guardian Seal</v>
      </c>
      <c r="L1217" s="242"/>
      <c r="M1217" s="241"/>
      <c r="N1217" s="241"/>
      <c r="O1217" s="241"/>
      <c r="P1217" s="241"/>
      <c r="Q1217" s="241"/>
      <c r="R1217" s="241"/>
      <c r="S1217" s="241"/>
      <c r="T1217" s="241"/>
      <c r="U1217" s="241"/>
      <c r="V1217" s="241"/>
      <c r="W1217" s="241"/>
      <c r="X1217" s="243"/>
      <c r="Y1217" s="243"/>
      <c r="Z1217" s="243"/>
      <c r="AA1217" s="243"/>
      <c r="AB1217" s="243"/>
      <c r="AC1217" s="243"/>
      <c r="AD1217" s="243"/>
      <c r="AE1217" s="243"/>
      <c r="AF1217" s="243"/>
      <c r="AG1217" s="243"/>
      <c r="AH1217" s="243"/>
      <c r="AI1217" s="243"/>
      <c r="AJ1217" s="243"/>
    </row>
    <row r="1218" hidden="1">
      <c r="A1218" s="241"/>
      <c r="B1218" s="241"/>
      <c r="C1218" s="241" t="str">
        <f>IFERROR(__xludf.DUMMYFUNCTION("""COMPUTED_VALUE"""),"Gaia's Essence")</f>
        <v>Gaia's Essence</v>
      </c>
      <c r="D1218" s="241"/>
      <c r="E1218" s="241" t="str">
        <f>IFERROR(__xludf.DUMMYFUNCTION("""COMPUTED_VALUE"""),"Gaia's Essence")</f>
        <v>Gaia's Essence</v>
      </c>
      <c r="F1218" s="241"/>
      <c r="G1218" s="241" t="str">
        <f>IFERROR(__xludf.DUMMYFUNCTION("""COMPUTED_VALUE"""),"Quicksilver")</f>
        <v>Quicksilver</v>
      </c>
      <c r="H1218" s="241"/>
      <c r="I1218" s="241" t="str">
        <f>IFERROR(__xludf.DUMMYFUNCTION("""COMPUTED_VALUE"""),"Pergaminho de sangue")</f>
        <v>Pergaminho de sangue</v>
      </c>
      <c r="J1218" s="241"/>
      <c r="K1218" s="241" t="str">
        <f>IFERROR(__xludf.DUMMYFUNCTION("""COMPUTED_VALUE"""),"Pergaminho de sangue")</f>
        <v>Pergaminho de sangue</v>
      </c>
      <c r="L1218" s="242"/>
      <c r="M1218" s="241"/>
      <c r="N1218" s="241"/>
      <c r="O1218" s="241"/>
      <c r="P1218" s="241"/>
      <c r="Q1218" s="241"/>
      <c r="R1218" s="241"/>
      <c r="S1218" s="241"/>
      <c r="T1218" s="241"/>
      <c r="U1218" s="241"/>
      <c r="V1218" s="241"/>
      <c r="W1218" s="241"/>
      <c r="X1218" s="243"/>
      <c r="Y1218" s="243"/>
      <c r="Z1218" s="243"/>
      <c r="AA1218" s="243"/>
      <c r="AB1218" s="243"/>
      <c r="AC1218" s="243"/>
      <c r="AD1218" s="243"/>
      <c r="AE1218" s="243"/>
      <c r="AF1218" s="243"/>
      <c r="AG1218" s="243"/>
      <c r="AH1218" s="243"/>
      <c r="AI1218" s="243"/>
      <c r="AJ1218" s="243"/>
    </row>
    <row r="1219" hidden="1">
      <c r="A1219" s="241"/>
      <c r="B1219" s="241"/>
      <c r="C1219" s="241" t="str">
        <f>IFERROR(__xludf.DUMMYFUNCTION("""COMPUTED_VALUE"""),"Unholy Potion")</f>
        <v>Unholy Potion</v>
      </c>
      <c r="D1219" s="241"/>
      <c r="E1219" s="241" t="str">
        <f>IFERROR(__xludf.DUMMYFUNCTION("""COMPUTED_VALUE"""),"Unholy Potion")</f>
        <v>Unholy Potion</v>
      </c>
      <c r="F1219" s="241"/>
      <c r="G1219" s="241"/>
      <c r="H1219" s="241"/>
      <c r="I1219" s="241"/>
      <c r="J1219" s="241"/>
      <c r="K1219" s="241"/>
      <c r="L1219" s="242"/>
      <c r="M1219" s="241"/>
      <c r="N1219" s="241"/>
      <c r="O1219" s="241"/>
      <c r="P1219" s="241"/>
      <c r="Q1219" s="241"/>
      <c r="R1219" s="241"/>
      <c r="S1219" s="241"/>
      <c r="T1219" s="241"/>
      <c r="U1219" s="241"/>
      <c r="V1219" s="241"/>
      <c r="W1219" s="241"/>
      <c r="X1219" s="243"/>
      <c r="Y1219" s="243"/>
      <c r="Z1219" s="243"/>
      <c r="AA1219" s="243"/>
      <c r="AB1219" s="243"/>
      <c r="AC1219" s="243"/>
      <c r="AD1219" s="243"/>
      <c r="AE1219" s="243"/>
      <c r="AF1219" s="243"/>
      <c r="AG1219" s="243"/>
      <c r="AH1219" s="243"/>
      <c r="AI1219" s="243"/>
      <c r="AJ1219" s="243"/>
    </row>
    <row r="1220" hidden="1">
      <c r="A1220" s="241"/>
      <c r="B1220" s="241"/>
      <c r="C1220" s="241"/>
      <c r="D1220" s="241"/>
      <c r="E1220" s="241"/>
      <c r="F1220" s="241"/>
      <c r="G1220" s="241"/>
      <c r="H1220" s="241"/>
      <c r="I1220" s="241"/>
      <c r="J1220" s="241"/>
      <c r="K1220" s="241"/>
      <c r="L1220" s="242"/>
      <c r="M1220" s="241"/>
      <c r="N1220" s="241"/>
      <c r="O1220" s="241"/>
      <c r="P1220" s="241"/>
      <c r="Q1220" s="241"/>
      <c r="R1220" s="241"/>
      <c r="S1220" s="241"/>
      <c r="T1220" s="241"/>
      <c r="U1220" s="241"/>
      <c r="V1220" s="241"/>
      <c r="W1220" s="241"/>
      <c r="X1220" s="243"/>
      <c r="Y1220" s="243"/>
      <c r="Z1220" s="243"/>
      <c r="AA1220" s="243"/>
      <c r="AB1220" s="243"/>
      <c r="AC1220" s="243"/>
      <c r="AD1220" s="243"/>
      <c r="AE1220" s="243"/>
      <c r="AF1220" s="243"/>
      <c r="AG1220" s="243"/>
      <c r="AH1220" s="243"/>
      <c r="AI1220" s="243"/>
      <c r="AJ1220" s="243"/>
    </row>
    <row r="1221" hidden="1">
      <c r="A1221" s="241"/>
      <c r="B1221" s="241"/>
      <c r="C1221" s="241"/>
      <c r="D1221" s="241"/>
      <c r="E1221" s="241"/>
      <c r="F1221" s="241"/>
      <c r="G1221" s="241"/>
      <c r="H1221" s="241"/>
      <c r="I1221" s="241"/>
      <c r="J1221" s="241"/>
      <c r="K1221" s="241"/>
      <c r="L1221" s="242"/>
      <c r="M1221" s="241"/>
      <c r="N1221" s="241"/>
      <c r="O1221" s="241"/>
      <c r="P1221" s="241"/>
      <c r="Q1221" s="241"/>
      <c r="R1221" s="241"/>
      <c r="S1221" s="241"/>
      <c r="T1221" s="241"/>
      <c r="U1221" s="241"/>
      <c r="V1221" s="241"/>
      <c r="W1221" s="241"/>
      <c r="X1221" s="243"/>
      <c r="Y1221" s="243"/>
      <c r="Z1221" s="243"/>
      <c r="AA1221" s="243"/>
      <c r="AB1221" s="243"/>
      <c r="AC1221" s="243"/>
      <c r="AD1221" s="243"/>
      <c r="AE1221" s="243"/>
      <c r="AF1221" s="243"/>
      <c r="AG1221" s="243"/>
      <c r="AH1221" s="243"/>
      <c r="AI1221" s="243"/>
      <c r="AJ1221" s="243"/>
    </row>
    <row r="1222" hidden="1">
      <c r="A1222" s="241"/>
      <c r="B1222" s="241"/>
      <c r="C1222" s="241"/>
      <c r="D1222" s="241"/>
      <c r="E1222" s="241"/>
      <c r="F1222" s="241"/>
      <c r="G1222" s="241"/>
      <c r="H1222" s="241"/>
      <c r="I1222" s="241"/>
      <c r="J1222" s="241"/>
      <c r="K1222" s="241"/>
      <c r="L1222" s="242"/>
      <c r="M1222" s="241"/>
      <c r="N1222" s="241"/>
      <c r="O1222" s="241"/>
      <c r="P1222" s="241"/>
      <c r="Q1222" s="241"/>
      <c r="R1222" s="241"/>
      <c r="S1222" s="241"/>
      <c r="T1222" s="241"/>
      <c r="U1222" s="241"/>
      <c r="V1222" s="241"/>
      <c r="W1222" s="241"/>
      <c r="X1222" s="243"/>
      <c r="Y1222" s="243"/>
      <c r="Z1222" s="243"/>
      <c r="AA1222" s="243"/>
      <c r="AB1222" s="243"/>
      <c r="AC1222" s="243"/>
      <c r="AD1222" s="243"/>
      <c r="AE1222" s="243"/>
      <c r="AF1222" s="243"/>
      <c r="AG1222" s="243"/>
      <c r="AH1222" s="243"/>
      <c r="AI1222" s="243"/>
      <c r="AJ1222" s="243"/>
    </row>
    <row r="1223" hidden="1">
      <c r="A1223" s="241"/>
      <c r="B1223" s="241"/>
      <c r="C1223" s="241"/>
      <c r="D1223" s="241"/>
      <c r="E1223" s="241"/>
      <c r="F1223" s="241"/>
      <c r="G1223" s="241"/>
      <c r="H1223" s="241"/>
      <c r="I1223" s="241"/>
      <c r="J1223" s="241"/>
      <c r="K1223" s="241"/>
      <c r="L1223" s="242"/>
      <c r="M1223" s="241"/>
      <c r="N1223" s="241"/>
      <c r="O1223" s="241"/>
      <c r="P1223" s="241"/>
      <c r="Q1223" s="241"/>
      <c r="R1223" s="241"/>
      <c r="S1223" s="241"/>
      <c r="T1223" s="241"/>
      <c r="U1223" s="241"/>
      <c r="V1223" s="241"/>
      <c r="W1223" s="241"/>
      <c r="X1223" s="243"/>
      <c r="Y1223" s="243"/>
      <c r="Z1223" s="243"/>
      <c r="AA1223" s="243"/>
      <c r="AB1223" s="243"/>
      <c r="AC1223" s="243"/>
      <c r="AD1223" s="243"/>
      <c r="AE1223" s="243"/>
      <c r="AF1223" s="243"/>
      <c r="AG1223" s="243"/>
      <c r="AH1223" s="243"/>
      <c r="AI1223" s="243"/>
      <c r="AJ1223" s="243"/>
    </row>
    <row r="1224" hidden="1">
      <c r="A1224" s="241"/>
      <c r="B1224" s="241"/>
      <c r="C1224" s="241"/>
      <c r="D1224" s="241"/>
      <c r="E1224" s="241"/>
      <c r="F1224" s="241"/>
      <c r="G1224" s="241"/>
      <c r="H1224" s="241"/>
      <c r="I1224" s="241"/>
      <c r="J1224" s="241"/>
      <c r="K1224" s="241"/>
      <c r="L1224" s="242"/>
      <c r="M1224" s="241"/>
      <c r="N1224" s="241"/>
      <c r="O1224" s="241"/>
      <c r="P1224" s="241"/>
      <c r="Q1224" s="241"/>
      <c r="R1224" s="241"/>
      <c r="S1224" s="241"/>
      <c r="T1224" s="241"/>
      <c r="U1224" s="241"/>
      <c r="V1224" s="241"/>
      <c r="W1224" s="241"/>
      <c r="X1224" s="243"/>
      <c r="Y1224" s="243"/>
      <c r="Z1224" s="243"/>
      <c r="AA1224" s="243"/>
      <c r="AB1224" s="243"/>
      <c r="AC1224" s="243"/>
      <c r="AD1224" s="243"/>
      <c r="AE1224" s="243"/>
      <c r="AF1224" s="243"/>
      <c r="AG1224" s="243"/>
      <c r="AH1224" s="243"/>
      <c r="AI1224" s="243"/>
      <c r="AJ1224" s="243"/>
    </row>
    <row r="1225" hidden="1">
      <c r="A1225" s="241"/>
      <c r="B1225" s="241"/>
      <c r="C1225" s="241"/>
      <c r="D1225" s="241"/>
      <c r="E1225" s="241"/>
      <c r="F1225" s="241"/>
      <c r="G1225" s="241"/>
      <c r="H1225" s="241"/>
      <c r="I1225" s="241"/>
      <c r="J1225" s="241"/>
      <c r="K1225" s="241"/>
      <c r="L1225" s="242"/>
      <c r="M1225" s="241"/>
      <c r="N1225" s="241"/>
      <c r="O1225" s="241"/>
      <c r="P1225" s="241"/>
      <c r="Q1225" s="241"/>
      <c r="R1225" s="241"/>
      <c r="S1225" s="241"/>
      <c r="T1225" s="241"/>
      <c r="U1225" s="241"/>
      <c r="V1225" s="241"/>
      <c r="W1225" s="241"/>
      <c r="X1225" s="243"/>
      <c r="Y1225" s="243"/>
      <c r="Z1225" s="243"/>
      <c r="AA1225" s="243"/>
      <c r="AB1225" s="243"/>
      <c r="AC1225" s="243"/>
      <c r="AD1225" s="243"/>
      <c r="AE1225" s="243"/>
      <c r="AF1225" s="243"/>
      <c r="AG1225" s="243"/>
      <c r="AH1225" s="243"/>
      <c r="AI1225" s="243"/>
      <c r="AJ1225" s="243"/>
    </row>
    <row r="1226" hidden="1">
      <c r="A1226" s="241"/>
      <c r="B1226" s="241"/>
      <c r="C1226" s="241"/>
      <c r="D1226" s="241"/>
      <c r="E1226" s="241"/>
      <c r="F1226" s="241"/>
      <c r="G1226" s="241"/>
      <c r="H1226" s="241"/>
      <c r="I1226" s="241"/>
      <c r="J1226" s="241"/>
      <c r="K1226" s="241"/>
      <c r="L1226" s="242"/>
      <c r="M1226" s="241"/>
      <c r="N1226" s="241"/>
      <c r="O1226" s="241"/>
      <c r="P1226" s="241"/>
      <c r="Q1226" s="241"/>
      <c r="R1226" s="241"/>
      <c r="S1226" s="241"/>
      <c r="T1226" s="241"/>
      <c r="U1226" s="241"/>
      <c r="V1226" s="241"/>
      <c r="W1226" s="241"/>
      <c r="X1226" s="243"/>
      <c r="Y1226" s="243"/>
      <c r="Z1226" s="243"/>
      <c r="AA1226" s="243"/>
      <c r="AB1226" s="243"/>
      <c r="AC1226" s="243"/>
      <c r="AD1226" s="243"/>
      <c r="AE1226" s="243"/>
      <c r="AF1226" s="243"/>
      <c r="AG1226" s="243"/>
      <c r="AH1226" s="243"/>
      <c r="AI1226" s="243"/>
      <c r="AJ1226" s="243"/>
    </row>
    <row r="1227" hidden="1">
      <c r="A1227" s="241"/>
      <c r="B1227" s="241"/>
      <c r="C1227" s="241"/>
      <c r="D1227" s="241"/>
      <c r="E1227" s="241"/>
      <c r="F1227" s="241"/>
      <c r="G1227" s="241"/>
      <c r="H1227" s="241"/>
      <c r="I1227" s="241"/>
      <c r="J1227" s="241"/>
      <c r="K1227" s="241"/>
      <c r="L1227" s="242"/>
      <c r="M1227" s="241"/>
      <c r="N1227" s="241"/>
      <c r="O1227" s="241"/>
      <c r="P1227" s="241"/>
      <c r="Q1227" s="241"/>
      <c r="R1227" s="241"/>
      <c r="S1227" s="241"/>
      <c r="T1227" s="241"/>
      <c r="U1227" s="241"/>
      <c r="V1227" s="241"/>
      <c r="W1227" s="241"/>
      <c r="X1227" s="243"/>
      <c r="Y1227" s="243"/>
      <c r="Z1227" s="243"/>
      <c r="AA1227" s="243"/>
      <c r="AB1227" s="243"/>
      <c r="AC1227" s="243"/>
      <c r="AD1227" s="243"/>
      <c r="AE1227" s="243"/>
      <c r="AF1227" s="243"/>
      <c r="AG1227" s="243"/>
      <c r="AH1227" s="243"/>
      <c r="AI1227" s="243"/>
      <c r="AJ1227" s="243"/>
    </row>
    <row r="1228" hidden="1">
      <c r="A1228" s="241"/>
      <c r="B1228" s="241"/>
      <c r="C1228" s="241"/>
      <c r="D1228" s="241"/>
      <c r="E1228" s="241"/>
      <c r="F1228" s="241"/>
      <c r="G1228" s="241"/>
      <c r="H1228" s="241"/>
      <c r="I1228" s="241"/>
      <c r="J1228" s="241"/>
      <c r="K1228" s="241"/>
      <c r="L1228" s="242"/>
      <c r="M1228" s="241"/>
      <c r="N1228" s="241"/>
      <c r="O1228" s="241"/>
      <c r="P1228" s="241"/>
      <c r="Q1228" s="241"/>
      <c r="R1228" s="241"/>
      <c r="S1228" s="241"/>
      <c r="T1228" s="241"/>
      <c r="U1228" s="241"/>
      <c r="V1228" s="241"/>
      <c r="W1228" s="241"/>
      <c r="X1228" s="243"/>
      <c r="Y1228" s="243"/>
      <c r="Z1228" s="243"/>
      <c r="AA1228" s="243"/>
      <c r="AB1228" s="243"/>
      <c r="AC1228" s="243"/>
      <c r="AD1228" s="243"/>
      <c r="AE1228" s="243"/>
      <c r="AF1228" s="243"/>
      <c r="AG1228" s="243"/>
      <c r="AH1228" s="243"/>
      <c r="AI1228" s="243"/>
      <c r="AJ1228" s="243"/>
    </row>
    <row r="1229" hidden="1">
      <c r="A1229" s="241"/>
      <c r="B1229" s="241"/>
      <c r="C1229" s="241"/>
      <c r="D1229" s="241"/>
      <c r="E1229" s="241"/>
      <c r="F1229" s="241"/>
      <c r="G1229" s="241"/>
      <c r="H1229" s="241"/>
      <c r="I1229" s="241"/>
      <c r="J1229" s="241"/>
      <c r="K1229" s="241"/>
      <c r="L1229" s="242"/>
      <c r="M1229" s="241"/>
      <c r="N1229" s="241"/>
      <c r="O1229" s="241"/>
      <c r="P1229" s="241"/>
      <c r="Q1229" s="241"/>
      <c r="R1229" s="241"/>
      <c r="S1229" s="241"/>
      <c r="T1229" s="241"/>
      <c r="U1229" s="241"/>
      <c r="V1229" s="241"/>
      <c r="W1229" s="241"/>
      <c r="X1229" s="243"/>
      <c r="Y1229" s="243"/>
      <c r="Z1229" s="243"/>
      <c r="AA1229" s="243"/>
      <c r="AB1229" s="243"/>
      <c r="AC1229" s="243"/>
      <c r="AD1229" s="243"/>
      <c r="AE1229" s="243"/>
      <c r="AF1229" s="243"/>
      <c r="AG1229" s="243"/>
      <c r="AH1229" s="243"/>
      <c r="AI1229" s="243"/>
      <c r="AJ1229" s="243"/>
    </row>
    <row r="1230" hidden="1">
      <c r="A1230" s="241"/>
      <c r="B1230" s="241"/>
      <c r="C1230" s="241"/>
      <c r="D1230" s="241"/>
      <c r="E1230" s="241"/>
      <c r="F1230" s="241"/>
      <c r="G1230" s="241"/>
      <c r="H1230" s="241"/>
      <c r="I1230" s="241"/>
      <c r="J1230" s="241"/>
      <c r="K1230" s="241"/>
      <c r="L1230" s="242"/>
      <c r="M1230" s="241"/>
      <c r="N1230" s="241"/>
      <c r="O1230" s="241"/>
      <c r="P1230" s="241"/>
      <c r="Q1230" s="241"/>
      <c r="R1230" s="241"/>
      <c r="S1230" s="241"/>
      <c r="T1230" s="241"/>
      <c r="U1230" s="241"/>
      <c r="V1230" s="241"/>
      <c r="W1230" s="241"/>
      <c r="X1230" s="243"/>
      <c r="Y1230" s="243"/>
      <c r="Z1230" s="243"/>
      <c r="AA1230" s="243"/>
      <c r="AB1230" s="243"/>
      <c r="AC1230" s="243"/>
      <c r="AD1230" s="243"/>
      <c r="AE1230" s="243"/>
      <c r="AF1230" s="243"/>
      <c r="AG1230" s="243"/>
      <c r="AH1230" s="243"/>
      <c r="AI1230" s="243"/>
      <c r="AJ1230" s="243"/>
    </row>
    <row r="1231" hidden="1">
      <c r="A1231" s="241"/>
      <c r="B1231" s="241"/>
      <c r="C1231" s="241"/>
      <c r="D1231" s="241"/>
      <c r="E1231" s="241"/>
      <c r="F1231" s="241"/>
      <c r="G1231" s="241"/>
      <c r="H1231" s="241"/>
      <c r="I1231" s="241"/>
      <c r="J1231" s="241"/>
      <c r="K1231" s="241"/>
      <c r="L1231" s="242"/>
      <c r="M1231" s="241"/>
      <c r="N1231" s="241"/>
      <c r="O1231" s="241"/>
      <c r="P1231" s="241"/>
      <c r="Q1231" s="241"/>
      <c r="R1231" s="241"/>
      <c r="S1231" s="241"/>
      <c r="T1231" s="241"/>
      <c r="U1231" s="241"/>
      <c r="V1231" s="241"/>
      <c r="W1231" s="241"/>
      <c r="X1231" s="243"/>
      <c r="Y1231" s="243"/>
      <c r="Z1231" s="243"/>
      <c r="AA1231" s="243"/>
      <c r="AB1231" s="243"/>
      <c r="AC1231" s="243"/>
      <c r="AD1231" s="243"/>
      <c r="AE1231" s="243"/>
      <c r="AF1231" s="243"/>
      <c r="AG1231" s="243"/>
      <c r="AH1231" s="243"/>
      <c r="AI1231" s="243"/>
      <c r="AJ1231" s="243"/>
    </row>
    <row r="1232" hidden="1">
      <c r="A1232" s="241"/>
      <c r="B1232" s="241"/>
      <c r="C1232" s="241"/>
      <c r="D1232" s="241"/>
      <c r="E1232" s="241"/>
      <c r="F1232" s="241"/>
      <c r="G1232" s="241"/>
      <c r="H1232" s="241"/>
      <c r="I1232" s="241"/>
      <c r="J1232" s="241"/>
      <c r="K1232" s="241"/>
      <c r="L1232" s="242"/>
      <c r="M1232" s="241"/>
      <c r="N1232" s="241"/>
      <c r="O1232" s="241"/>
      <c r="P1232" s="241"/>
      <c r="Q1232" s="241"/>
      <c r="R1232" s="241"/>
      <c r="S1232" s="241"/>
      <c r="T1232" s="241"/>
      <c r="U1232" s="241"/>
      <c r="V1232" s="241"/>
      <c r="W1232" s="241"/>
      <c r="X1232" s="243"/>
      <c r="Y1232" s="243"/>
      <c r="Z1232" s="243"/>
      <c r="AA1232" s="243"/>
      <c r="AB1232" s="243"/>
      <c r="AC1232" s="243"/>
      <c r="AD1232" s="243"/>
      <c r="AE1232" s="243"/>
      <c r="AF1232" s="243"/>
      <c r="AG1232" s="243"/>
      <c r="AH1232" s="243"/>
      <c r="AI1232" s="243"/>
      <c r="AJ1232" s="243"/>
    </row>
    <row r="1233" hidden="1">
      <c r="A1233" s="241"/>
      <c r="B1233" s="241"/>
      <c r="C1233" s="241"/>
      <c r="D1233" s="241"/>
      <c r="E1233" s="241"/>
      <c r="F1233" s="241"/>
      <c r="G1233" s="241"/>
      <c r="H1233" s="241"/>
      <c r="I1233" s="241"/>
      <c r="J1233" s="241"/>
      <c r="K1233" s="241"/>
      <c r="L1233" s="242"/>
      <c r="M1233" s="241"/>
      <c r="N1233" s="241"/>
      <c r="O1233" s="241"/>
      <c r="P1233" s="241"/>
      <c r="Q1233" s="241"/>
      <c r="R1233" s="241"/>
      <c r="S1233" s="241"/>
      <c r="T1233" s="241"/>
      <c r="U1233" s="241"/>
      <c r="V1233" s="241"/>
      <c r="W1233" s="241"/>
      <c r="X1233" s="243"/>
      <c r="Y1233" s="243"/>
      <c r="Z1233" s="243"/>
      <c r="AA1233" s="243"/>
      <c r="AB1233" s="243"/>
      <c r="AC1233" s="243"/>
      <c r="AD1233" s="243"/>
      <c r="AE1233" s="243"/>
      <c r="AF1233" s="243"/>
      <c r="AG1233" s="243"/>
      <c r="AH1233" s="243"/>
      <c r="AI1233" s="243"/>
      <c r="AJ1233" s="243"/>
    </row>
    <row r="1234" hidden="1">
      <c r="A1234" s="241"/>
      <c r="B1234" s="241"/>
      <c r="C1234" s="241"/>
      <c r="D1234" s="241"/>
      <c r="E1234" s="241"/>
      <c r="F1234" s="241"/>
      <c r="G1234" s="241"/>
      <c r="H1234" s="241"/>
      <c r="I1234" s="241"/>
      <c r="J1234" s="241"/>
      <c r="K1234" s="241"/>
      <c r="L1234" s="242"/>
      <c r="M1234" s="241"/>
      <c r="N1234" s="241"/>
      <c r="O1234" s="241"/>
      <c r="P1234" s="241"/>
      <c r="Q1234" s="241"/>
      <c r="R1234" s="241"/>
      <c r="S1234" s="241"/>
      <c r="T1234" s="241"/>
      <c r="U1234" s="241"/>
      <c r="V1234" s="241"/>
      <c r="W1234" s="241"/>
      <c r="X1234" s="243"/>
      <c r="Y1234" s="243"/>
      <c r="Z1234" s="243"/>
      <c r="AA1234" s="243"/>
      <c r="AB1234" s="243"/>
      <c r="AC1234" s="243"/>
      <c r="AD1234" s="243"/>
      <c r="AE1234" s="243"/>
      <c r="AF1234" s="243"/>
      <c r="AG1234" s="243"/>
      <c r="AH1234" s="243"/>
      <c r="AI1234" s="243"/>
      <c r="AJ1234" s="243"/>
    </row>
    <row r="1235" hidden="1">
      <c r="A1235" s="241"/>
      <c r="B1235" s="241"/>
      <c r="C1235" s="241"/>
      <c r="D1235" s="241"/>
      <c r="E1235" s="241"/>
      <c r="F1235" s="241"/>
      <c r="G1235" s="241"/>
      <c r="H1235" s="241"/>
      <c r="I1235" s="241"/>
      <c r="J1235" s="241"/>
      <c r="K1235" s="241"/>
      <c r="L1235" s="242"/>
      <c r="M1235" s="241"/>
      <c r="N1235" s="241"/>
      <c r="O1235" s="241"/>
      <c r="P1235" s="241"/>
      <c r="Q1235" s="241"/>
      <c r="R1235" s="241"/>
      <c r="S1235" s="241"/>
      <c r="T1235" s="241"/>
      <c r="U1235" s="241"/>
      <c r="V1235" s="241"/>
      <c r="W1235" s="241"/>
      <c r="X1235" s="243"/>
      <c r="Y1235" s="243"/>
      <c r="Z1235" s="243"/>
      <c r="AA1235" s="243"/>
      <c r="AB1235" s="243"/>
      <c r="AC1235" s="243"/>
      <c r="AD1235" s="243"/>
      <c r="AE1235" s="243"/>
      <c r="AF1235" s="243"/>
      <c r="AG1235" s="243"/>
      <c r="AH1235" s="243"/>
      <c r="AI1235" s="243"/>
      <c r="AJ1235" s="243"/>
    </row>
    <row r="1236" hidden="1">
      <c r="A1236" s="241"/>
      <c r="B1236" s="241"/>
      <c r="C1236" s="241"/>
      <c r="D1236" s="241"/>
      <c r="E1236" s="241"/>
      <c r="F1236" s="241"/>
      <c r="G1236" s="241"/>
      <c r="H1236" s="241"/>
      <c r="I1236" s="241"/>
      <c r="J1236" s="241"/>
      <c r="K1236" s="241"/>
      <c r="L1236" s="242"/>
      <c r="M1236" s="241"/>
      <c r="N1236" s="241"/>
      <c r="O1236" s="241"/>
      <c r="P1236" s="241"/>
      <c r="Q1236" s="241"/>
      <c r="R1236" s="241"/>
      <c r="S1236" s="241"/>
      <c r="T1236" s="241"/>
      <c r="U1236" s="241"/>
      <c r="V1236" s="241"/>
      <c r="W1236" s="241"/>
      <c r="X1236" s="243"/>
      <c r="Y1236" s="243"/>
      <c r="Z1236" s="243"/>
      <c r="AA1236" s="243"/>
      <c r="AB1236" s="243"/>
      <c r="AC1236" s="243"/>
      <c r="AD1236" s="243"/>
      <c r="AE1236" s="243"/>
      <c r="AF1236" s="243"/>
      <c r="AG1236" s="243"/>
      <c r="AH1236" s="243"/>
      <c r="AI1236" s="243"/>
      <c r="AJ1236" s="243"/>
    </row>
    <row r="1237" hidden="1">
      <c r="A1237" s="241"/>
      <c r="B1237" s="241"/>
      <c r="C1237" s="241"/>
      <c r="D1237" s="241"/>
      <c r="E1237" s="241"/>
      <c r="F1237" s="241"/>
      <c r="G1237" s="241"/>
      <c r="H1237" s="241"/>
      <c r="I1237" s="241"/>
      <c r="J1237" s="241"/>
      <c r="K1237" s="241"/>
      <c r="L1237" s="242"/>
      <c r="M1237" s="241"/>
      <c r="N1237" s="241"/>
      <c r="O1237" s="241"/>
      <c r="P1237" s="241"/>
      <c r="Q1237" s="241"/>
      <c r="R1237" s="241"/>
      <c r="S1237" s="241"/>
      <c r="T1237" s="241"/>
      <c r="U1237" s="241"/>
      <c r="V1237" s="241"/>
      <c r="W1237" s="241"/>
      <c r="X1237" s="243"/>
      <c r="Y1237" s="243"/>
      <c r="Z1237" s="243"/>
      <c r="AA1237" s="243"/>
      <c r="AB1237" s="243"/>
      <c r="AC1237" s="243"/>
      <c r="AD1237" s="243"/>
      <c r="AE1237" s="243"/>
      <c r="AF1237" s="243"/>
      <c r="AG1237" s="243"/>
      <c r="AH1237" s="243"/>
      <c r="AI1237" s="243"/>
      <c r="AJ1237" s="243"/>
    </row>
    <row r="1238" hidden="1">
      <c r="A1238" s="241"/>
      <c r="B1238" s="241"/>
      <c r="C1238" s="241"/>
      <c r="D1238" s="241"/>
      <c r="E1238" s="241"/>
      <c r="F1238" s="241"/>
      <c r="G1238" s="241"/>
      <c r="H1238" s="241"/>
      <c r="I1238" s="241"/>
      <c r="J1238" s="241"/>
      <c r="K1238" s="241"/>
      <c r="L1238" s="242"/>
      <c r="M1238" s="241"/>
      <c r="N1238" s="241"/>
      <c r="O1238" s="241"/>
      <c r="P1238" s="241"/>
      <c r="Q1238" s="241"/>
      <c r="R1238" s="241"/>
      <c r="S1238" s="241"/>
      <c r="T1238" s="241"/>
      <c r="U1238" s="241"/>
      <c r="V1238" s="241"/>
      <c r="W1238" s="241"/>
      <c r="X1238" s="243"/>
      <c r="Y1238" s="243"/>
      <c r="Z1238" s="243"/>
      <c r="AA1238" s="243"/>
      <c r="AB1238" s="243"/>
      <c r="AC1238" s="243"/>
      <c r="AD1238" s="243"/>
      <c r="AE1238" s="243"/>
      <c r="AF1238" s="243"/>
      <c r="AG1238" s="243"/>
      <c r="AH1238" s="243"/>
      <c r="AI1238" s="243"/>
      <c r="AJ1238" s="243"/>
    </row>
    <row r="1239" hidden="1">
      <c r="A1239" s="241"/>
      <c r="B1239" s="241"/>
      <c r="C1239" s="241"/>
      <c r="D1239" s="241"/>
      <c r="E1239" s="241"/>
      <c r="F1239" s="241"/>
      <c r="G1239" s="241"/>
      <c r="H1239" s="241"/>
      <c r="I1239" s="241"/>
      <c r="J1239" s="241"/>
      <c r="K1239" s="241"/>
      <c r="L1239" s="242"/>
      <c r="M1239" s="241"/>
      <c r="N1239" s="241"/>
      <c r="O1239" s="241"/>
      <c r="P1239" s="241"/>
      <c r="Q1239" s="241"/>
      <c r="R1239" s="241"/>
      <c r="S1239" s="241"/>
      <c r="T1239" s="241"/>
      <c r="U1239" s="241"/>
      <c r="V1239" s="241"/>
      <c r="W1239" s="241"/>
      <c r="X1239" s="243"/>
      <c r="Y1239" s="243"/>
      <c r="Z1239" s="243"/>
      <c r="AA1239" s="243"/>
      <c r="AB1239" s="243"/>
      <c r="AC1239" s="243"/>
      <c r="AD1239" s="243"/>
      <c r="AE1239" s="243"/>
      <c r="AF1239" s="243"/>
      <c r="AG1239" s="243"/>
      <c r="AH1239" s="243"/>
      <c r="AI1239" s="243"/>
      <c r="AJ1239" s="243"/>
    </row>
    <row r="1240" hidden="1">
      <c r="A1240" s="241"/>
      <c r="B1240" s="241"/>
      <c r="C1240" s="241"/>
      <c r="D1240" s="241"/>
      <c r="E1240" s="241"/>
      <c r="F1240" s="241"/>
      <c r="G1240" s="241"/>
      <c r="H1240" s="241"/>
      <c r="I1240" s="241"/>
      <c r="J1240" s="241"/>
      <c r="K1240" s="241"/>
      <c r="L1240" s="242"/>
      <c r="M1240" s="241"/>
      <c r="N1240" s="241"/>
      <c r="O1240" s="241"/>
      <c r="P1240" s="241"/>
      <c r="Q1240" s="241"/>
      <c r="R1240" s="241"/>
      <c r="S1240" s="241"/>
      <c r="T1240" s="241"/>
      <c r="U1240" s="241"/>
      <c r="V1240" s="241"/>
      <c r="W1240" s="241"/>
      <c r="X1240" s="243"/>
      <c r="Y1240" s="243"/>
      <c r="Z1240" s="243"/>
      <c r="AA1240" s="243"/>
      <c r="AB1240" s="243"/>
      <c r="AC1240" s="243"/>
      <c r="AD1240" s="243"/>
      <c r="AE1240" s="243"/>
      <c r="AF1240" s="243"/>
      <c r="AG1240" s="243"/>
      <c r="AH1240" s="243"/>
      <c r="AI1240" s="243"/>
      <c r="AJ1240" s="243"/>
    </row>
    <row r="1241" hidden="1">
      <c r="A1241" s="241"/>
      <c r="B1241" s="241"/>
      <c r="C1241" s="241"/>
      <c r="D1241" s="241"/>
      <c r="E1241" s="241"/>
      <c r="F1241" s="241"/>
      <c r="G1241" s="241"/>
      <c r="H1241" s="241"/>
      <c r="I1241" s="241"/>
      <c r="J1241" s="241"/>
      <c r="K1241" s="241"/>
      <c r="L1241" s="242"/>
      <c r="M1241" s="241"/>
      <c r="N1241" s="241"/>
      <c r="O1241" s="241"/>
      <c r="P1241" s="241"/>
      <c r="Q1241" s="241"/>
      <c r="R1241" s="241"/>
      <c r="S1241" s="241"/>
      <c r="T1241" s="241"/>
      <c r="U1241" s="241"/>
      <c r="V1241" s="241"/>
      <c r="W1241" s="241"/>
      <c r="X1241" s="243"/>
      <c r="Y1241" s="243"/>
      <c r="Z1241" s="243"/>
      <c r="AA1241" s="243"/>
      <c r="AB1241" s="243"/>
      <c r="AC1241" s="243"/>
      <c r="AD1241" s="243"/>
      <c r="AE1241" s="243"/>
      <c r="AF1241" s="243"/>
      <c r="AG1241" s="243"/>
      <c r="AH1241" s="243"/>
      <c r="AI1241" s="243"/>
      <c r="AJ1241" s="243"/>
    </row>
    <row r="1242" hidden="1">
      <c r="A1242" s="241"/>
      <c r="B1242" s="241"/>
      <c r="C1242" s="241"/>
      <c r="D1242" s="241"/>
      <c r="E1242" s="241"/>
      <c r="F1242" s="241"/>
      <c r="G1242" s="241"/>
      <c r="H1242" s="241"/>
      <c r="I1242" s="241"/>
      <c r="J1242" s="241"/>
      <c r="K1242" s="241"/>
      <c r="L1242" s="242"/>
      <c r="M1242" s="241"/>
      <c r="N1242" s="241"/>
      <c r="O1242" s="241"/>
      <c r="P1242" s="241"/>
      <c r="Q1242" s="241"/>
      <c r="R1242" s="241"/>
      <c r="S1242" s="241"/>
      <c r="T1242" s="241"/>
      <c r="U1242" s="241"/>
      <c r="V1242" s="241"/>
      <c r="W1242" s="241"/>
      <c r="X1242" s="243"/>
      <c r="Y1242" s="243"/>
      <c r="Z1242" s="243"/>
      <c r="AA1242" s="243"/>
      <c r="AB1242" s="243"/>
      <c r="AC1242" s="243"/>
      <c r="AD1242" s="243"/>
      <c r="AE1242" s="243"/>
      <c r="AF1242" s="243"/>
      <c r="AG1242" s="243"/>
      <c r="AH1242" s="243"/>
      <c r="AI1242" s="243"/>
      <c r="AJ1242" s="243"/>
    </row>
    <row r="1243" hidden="1">
      <c r="A1243" s="241"/>
      <c r="B1243" s="241"/>
      <c r="C1243" s="241"/>
      <c r="D1243" s="241"/>
      <c r="E1243" s="241"/>
      <c r="F1243" s="241"/>
      <c r="G1243" s="241"/>
      <c r="H1243" s="241"/>
      <c r="I1243" s="241"/>
      <c r="J1243" s="241"/>
      <c r="K1243" s="241"/>
      <c r="L1243" s="242"/>
      <c r="M1243" s="241"/>
      <c r="N1243" s="241"/>
      <c r="O1243" s="241"/>
      <c r="P1243" s="241"/>
      <c r="Q1243" s="241"/>
      <c r="R1243" s="241"/>
      <c r="S1243" s="241"/>
      <c r="T1243" s="241"/>
      <c r="U1243" s="241"/>
      <c r="V1243" s="241"/>
      <c r="W1243" s="241"/>
      <c r="X1243" s="243"/>
      <c r="Y1243" s="243"/>
      <c r="Z1243" s="243"/>
      <c r="AA1243" s="243"/>
      <c r="AB1243" s="243"/>
      <c r="AC1243" s="243"/>
      <c r="AD1243" s="243"/>
      <c r="AE1243" s="243"/>
      <c r="AF1243" s="243"/>
      <c r="AG1243" s="243"/>
      <c r="AH1243" s="243"/>
      <c r="AI1243" s="243"/>
      <c r="AJ1243" s="243"/>
    </row>
    <row r="1244" hidden="1">
      <c r="A1244" s="241"/>
      <c r="B1244" s="241"/>
      <c r="C1244" s="241"/>
      <c r="D1244" s="241"/>
      <c r="E1244" s="241"/>
      <c r="F1244" s="241"/>
      <c r="G1244" s="241"/>
      <c r="H1244" s="241"/>
      <c r="I1244" s="241"/>
      <c r="J1244" s="241"/>
      <c r="K1244" s="241"/>
      <c r="L1244" s="242"/>
      <c r="M1244" s="241"/>
      <c r="N1244" s="241"/>
      <c r="O1244" s="241"/>
      <c r="P1244" s="241"/>
      <c r="Q1244" s="241"/>
      <c r="R1244" s="241"/>
      <c r="S1244" s="241"/>
      <c r="T1244" s="241"/>
      <c r="U1244" s="241"/>
      <c r="V1244" s="241"/>
      <c r="W1244" s="241"/>
      <c r="X1244" s="243"/>
      <c r="Y1244" s="243"/>
      <c r="Z1244" s="243"/>
      <c r="AA1244" s="243"/>
      <c r="AB1244" s="243"/>
      <c r="AC1244" s="243"/>
      <c r="AD1244" s="243"/>
      <c r="AE1244" s="243"/>
      <c r="AF1244" s="243"/>
      <c r="AG1244" s="243"/>
      <c r="AH1244" s="243"/>
      <c r="AI1244" s="243"/>
      <c r="AJ1244" s="243"/>
    </row>
    <row r="1245" hidden="1">
      <c r="A1245" s="241"/>
      <c r="B1245" s="241"/>
      <c r="C1245" s="241"/>
      <c r="D1245" s="241"/>
      <c r="E1245" s="241"/>
      <c r="F1245" s="241"/>
      <c r="G1245" s="241"/>
      <c r="H1245" s="241"/>
      <c r="I1245" s="241"/>
      <c r="J1245" s="241"/>
      <c r="K1245" s="241"/>
      <c r="L1245" s="242"/>
      <c r="M1245" s="241"/>
      <c r="N1245" s="241"/>
      <c r="O1245" s="241"/>
      <c r="P1245" s="241"/>
      <c r="Q1245" s="241"/>
      <c r="R1245" s="241"/>
      <c r="S1245" s="241"/>
      <c r="T1245" s="241"/>
      <c r="U1245" s="241"/>
      <c r="V1245" s="241"/>
      <c r="W1245" s="241"/>
      <c r="X1245" s="243"/>
      <c r="Y1245" s="243"/>
      <c r="Z1245" s="243"/>
      <c r="AA1245" s="243"/>
      <c r="AB1245" s="243"/>
      <c r="AC1245" s="243"/>
      <c r="AD1245" s="243"/>
      <c r="AE1245" s="243"/>
      <c r="AF1245" s="243"/>
      <c r="AG1245" s="243"/>
      <c r="AH1245" s="243"/>
      <c r="AI1245" s="243"/>
      <c r="AJ1245" s="243"/>
    </row>
    <row r="1246" hidden="1">
      <c r="A1246" s="241"/>
      <c r="B1246" s="241"/>
      <c r="C1246" s="241"/>
      <c r="D1246" s="241"/>
      <c r="E1246" s="241"/>
      <c r="F1246" s="241"/>
      <c r="G1246" s="241"/>
      <c r="H1246" s="241"/>
      <c r="I1246" s="241"/>
      <c r="J1246" s="241"/>
      <c r="K1246" s="241"/>
      <c r="L1246" s="242"/>
      <c r="M1246" s="241"/>
      <c r="N1246" s="241"/>
      <c r="O1246" s="241"/>
      <c r="P1246" s="241"/>
      <c r="Q1246" s="241"/>
      <c r="R1246" s="241"/>
      <c r="S1246" s="241"/>
      <c r="T1246" s="241"/>
      <c r="U1246" s="241"/>
      <c r="V1246" s="241"/>
      <c r="W1246" s="241"/>
      <c r="X1246" s="243"/>
      <c r="Y1246" s="243"/>
      <c r="Z1246" s="243"/>
      <c r="AA1246" s="243"/>
      <c r="AB1246" s="243"/>
      <c r="AC1246" s="243"/>
      <c r="AD1246" s="243"/>
      <c r="AE1246" s="243"/>
      <c r="AF1246" s="243"/>
      <c r="AG1246" s="243"/>
      <c r="AH1246" s="243"/>
      <c r="AI1246" s="243"/>
      <c r="AJ1246" s="243"/>
    </row>
    <row r="1247" hidden="1">
      <c r="A1247" s="241"/>
      <c r="B1247" s="241"/>
      <c r="C1247" s="241"/>
      <c r="D1247" s="241"/>
      <c r="E1247" s="241"/>
      <c r="F1247" s="241"/>
      <c r="G1247" s="241"/>
      <c r="H1247" s="241"/>
      <c r="I1247" s="241"/>
      <c r="J1247" s="241"/>
      <c r="K1247" s="241"/>
      <c r="L1247" s="242"/>
      <c r="M1247" s="241"/>
      <c r="N1247" s="241"/>
      <c r="O1247" s="241"/>
      <c r="P1247" s="241"/>
      <c r="Q1247" s="241"/>
      <c r="R1247" s="241"/>
      <c r="S1247" s="241"/>
      <c r="T1247" s="241"/>
      <c r="U1247" s="241"/>
      <c r="V1247" s="241"/>
      <c r="W1247" s="241"/>
      <c r="X1247" s="243"/>
      <c r="Y1247" s="243"/>
      <c r="Z1247" s="243"/>
      <c r="AA1247" s="243"/>
      <c r="AB1247" s="243"/>
      <c r="AC1247" s="243"/>
      <c r="AD1247" s="243"/>
      <c r="AE1247" s="243"/>
      <c r="AF1247" s="243"/>
      <c r="AG1247" s="243"/>
      <c r="AH1247" s="243"/>
      <c r="AI1247" s="243"/>
      <c r="AJ1247" s="243"/>
    </row>
    <row r="1248" hidden="1">
      <c r="A1248" s="241"/>
      <c r="B1248" s="241"/>
      <c r="C1248" s="241"/>
      <c r="D1248" s="241"/>
      <c r="E1248" s="241"/>
      <c r="F1248" s="241"/>
      <c r="G1248" s="241"/>
      <c r="H1248" s="241"/>
      <c r="I1248" s="241"/>
      <c r="J1248" s="241"/>
      <c r="K1248" s="241"/>
      <c r="L1248" s="242"/>
      <c r="M1248" s="241"/>
      <c r="N1248" s="241"/>
      <c r="O1248" s="241"/>
      <c r="P1248" s="241"/>
      <c r="Q1248" s="241"/>
      <c r="R1248" s="241"/>
      <c r="S1248" s="241"/>
      <c r="T1248" s="241"/>
      <c r="U1248" s="241"/>
      <c r="V1248" s="241"/>
      <c r="W1248" s="241"/>
      <c r="X1248" s="243"/>
      <c r="Y1248" s="243"/>
      <c r="Z1248" s="243"/>
      <c r="AA1248" s="243"/>
      <c r="AB1248" s="243"/>
      <c r="AC1248" s="243"/>
      <c r="AD1248" s="243"/>
      <c r="AE1248" s="243"/>
      <c r="AF1248" s="243"/>
      <c r="AG1248" s="243"/>
      <c r="AH1248" s="243"/>
      <c r="AI1248" s="243"/>
      <c r="AJ1248" s="243"/>
    </row>
    <row r="1249" hidden="1">
      <c r="A1249" s="241"/>
      <c r="B1249" s="241"/>
      <c r="C1249" s="241"/>
      <c r="D1249" s="241"/>
      <c r="E1249" s="241"/>
      <c r="F1249" s="241"/>
      <c r="G1249" s="241"/>
      <c r="H1249" s="241"/>
      <c r="I1249" s="241"/>
      <c r="J1249" s="241"/>
      <c r="K1249" s="241"/>
      <c r="L1249" s="242"/>
      <c r="M1249" s="241"/>
      <c r="N1249" s="241"/>
      <c r="O1249" s="241"/>
      <c r="P1249" s="241"/>
      <c r="Q1249" s="241"/>
      <c r="R1249" s="241"/>
      <c r="S1249" s="241"/>
      <c r="T1249" s="241"/>
      <c r="U1249" s="241"/>
      <c r="V1249" s="241"/>
      <c r="W1249" s="241"/>
      <c r="X1249" s="243"/>
      <c r="Y1249" s="243"/>
      <c r="Z1249" s="243"/>
      <c r="AA1249" s="243"/>
      <c r="AB1249" s="243"/>
      <c r="AC1249" s="243"/>
      <c r="AD1249" s="243"/>
      <c r="AE1249" s="243"/>
      <c r="AF1249" s="243"/>
      <c r="AG1249" s="243"/>
      <c r="AH1249" s="243"/>
      <c r="AI1249" s="243"/>
      <c r="AJ1249" s="243"/>
    </row>
    <row r="1250" hidden="1">
      <c r="A1250" s="241"/>
      <c r="B1250" s="241"/>
      <c r="C1250" s="241"/>
      <c r="D1250" s="241"/>
      <c r="E1250" s="241"/>
      <c r="F1250" s="241"/>
      <c r="G1250" s="241"/>
      <c r="H1250" s="241"/>
      <c r="I1250" s="241"/>
      <c r="J1250" s="241"/>
      <c r="K1250" s="241"/>
      <c r="L1250" s="242"/>
      <c r="M1250" s="241"/>
      <c r="N1250" s="241"/>
      <c r="O1250" s="241"/>
      <c r="P1250" s="241"/>
      <c r="Q1250" s="241"/>
      <c r="R1250" s="241"/>
      <c r="S1250" s="241"/>
      <c r="T1250" s="241"/>
      <c r="U1250" s="241"/>
      <c r="V1250" s="241"/>
      <c r="W1250" s="241"/>
      <c r="X1250" s="243"/>
      <c r="Y1250" s="243"/>
      <c r="Z1250" s="243"/>
      <c r="AA1250" s="243"/>
      <c r="AB1250" s="243"/>
      <c r="AC1250" s="243"/>
      <c r="AD1250" s="243"/>
      <c r="AE1250" s="243"/>
      <c r="AF1250" s="243"/>
      <c r="AG1250" s="243"/>
      <c r="AH1250" s="243"/>
      <c r="AI1250" s="243"/>
      <c r="AJ1250" s="243"/>
    </row>
    <row r="1251" hidden="1">
      <c r="A1251" s="241"/>
      <c r="B1251" s="241"/>
      <c r="C1251" s="241"/>
      <c r="D1251" s="241"/>
      <c r="E1251" s="241"/>
      <c r="F1251" s="241"/>
      <c r="G1251" s="241"/>
      <c r="H1251" s="241"/>
      <c r="I1251" s="241"/>
      <c r="J1251" s="241"/>
      <c r="K1251" s="241"/>
      <c r="L1251" s="242"/>
      <c r="M1251" s="241"/>
      <c r="N1251" s="241"/>
      <c r="O1251" s="241"/>
      <c r="P1251" s="241"/>
      <c r="Q1251" s="241"/>
      <c r="R1251" s="241"/>
      <c r="S1251" s="241"/>
      <c r="T1251" s="241"/>
      <c r="U1251" s="241"/>
      <c r="V1251" s="241"/>
      <c r="W1251" s="241"/>
      <c r="X1251" s="243"/>
      <c r="Y1251" s="243"/>
      <c r="Z1251" s="243"/>
      <c r="AA1251" s="243"/>
      <c r="AB1251" s="243"/>
      <c r="AC1251" s="243"/>
      <c r="AD1251" s="243"/>
      <c r="AE1251" s="243"/>
      <c r="AF1251" s="243"/>
      <c r="AG1251" s="243"/>
      <c r="AH1251" s="243"/>
      <c r="AI1251" s="243"/>
      <c r="AJ1251" s="243"/>
    </row>
    <row r="1252" hidden="1">
      <c r="A1252" s="241"/>
      <c r="B1252" s="241"/>
      <c r="C1252" s="241"/>
      <c r="D1252" s="241"/>
      <c r="E1252" s="241"/>
      <c r="F1252" s="241"/>
      <c r="G1252" s="241"/>
      <c r="H1252" s="241"/>
      <c r="I1252" s="241"/>
      <c r="J1252" s="241"/>
      <c r="K1252" s="241"/>
      <c r="L1252" s="242"/>
      <c r="M1252" s="241"/>
      <c r="N1252" s="241"/>
      <c r="O1252" s="241"/>
      <c r="P1252" s="241"/>
      <c r="Q1252" s="241"/>
      <c r="R1252" s="241"/>
      <c r="S1252" s="241"/>
      <c r="T1252" s="241"/>
      <c r="U1252" s="241"/>
      <c r="V1252" s="241"/>
      <c r="W1252" s="241"/>
      <c r="X1252" s="243"/>
      <c r="Y1252" s="243"/>
      <c r="Z1252" s="243"/>
      <c r="AA1252" s="243"/>
      <c r="AB1252" s="243"/>
      <c r="AC1252" s="243"/>
      <c r="AD1252" s="243"/>
      <c r="AE1252" s="243"/>
      <c r="AF1252" s="243"/>
      <c r="AG1252" s="243"/>
      <c r="AH1252" s="243"/>
      <c r="AI1252" s="243"/>
      <c r="AJ1252" s="243"/>
    </row>
    <row r="1253" hidden="1">
      <c r="A1253" s="241"/>
      <c r="B1253" s="241"/>
      <c r="C1253" s="241"/>
      <c r="D1253" s="241"/>
      <c r="E1253" s="241"/>
      <c r="F1253" s="241"/>
      <c r="G1253" s="241"/>
      <c r="H1253" s="241"/>
      <c r="I1253" s="241"/>
      <c r="J1253" s="241"/>
      <c r="K1253" s="241"/>
      <c r="L1253" s="242"/>
      <c r="M1253" s="241"/>
      <c r="N1253" s="241"/>
      <c r="O1253" s="241"/>
      <c r="P1253" s="241"/>
      <c r="Q1253" s="241"/>
      <c r="R1253" s="241"/>
      <c r="S1253" s="241"/>
      <c r="T1253" s="241"/>
      <c r="U1253" s="241"/>
      <c r="V1253" s="241"/>
      <c r="W1253" s="241"/>
      <c r="X1253" s="243"/>
      <c r="Y1253" s="243"/>
      <c r="Z1253" s="243"/>
      <c r="AA1253" s="243"/>
      <c r="AB1253" s="243"/>
      <c r="AC1253" s="243"/>
      <c r="AD1253" s="243"/>
      <c r="AE1253" s="243"/>
      <c r="AF1253" s="243"/>
      <c r="AG1253" s="243"/>
      <c r="AH1253" s="243"/>
      <c r="AI1253" s="243"/>
      <c r="AJ1253" s="243"/>
    </row>
    <row r="1254" hidden="1">
      <c r="A1254" s="241"/>
      <c r="B1254" s="241"/>
      <c r="C1254" s="241"/>
      <c r="D1254" s="241"/>
      <c r="E1254" s="241"/>
      <c r="F1254" s="241"/>
      <c r="G1254" s="241"/>
      <c r="H1254" s="241"/>
      <c r="I1254" s="241"/>
      <c r="J1254" s="241"/>
      <c r="K1254" s="241"/>
      <c r="L1254" s="242"/>
      <c r="M1254" s="241"/>
      <c r="N1254" s="241"/>
      <c r="O1254" s="241"/>
      <c r="P1254" s="241"/>
      <c r="Q1254" s="241"/>
      <c r="R1254" s="241"/>
      <c r="S1254" s="241"/>
      <c r="T1254" s="241"/>
      <c r="U1254" s="241"/>
      <c r="V1254" s="241"/>
      <c r="W1254" s="241"/>
      <c r="X1254" s="243"/>
      <c r="Y1254" s="243"/>
      <c r="Z1254" s="243"/>
      <c r="AA1254" s="243"/>
      <c r="AB1254" s="243"/>
      <c r="AC1254" s="243"/>
      <c r="AD1254" s="243"/>
      <c r="AE1254" s="243"/>
      <c r="AF1254" s="243"/>
      <c r="AG1254" s="243"/>
      <c r="AH1254" s="243"/>
      <c r="AI1254" s="243"/>
      <c r="AJ1254" s="243"/>
    </row>
    <row r="1255" hidden="1">
      <c r="A1255" s="241"/>
      <c r="B1255" s="241"/>
      <c r="C1255" s="241"/>
      <c r="D1255" s="241"/>
      <c r="E1255" s="241"/>
      <c r="F1255" s="241"/>
      <c r="G1255" s="241"/>
      <c r="H1255" s="241"/>
      <c r="I1255" s="241"/>
      <c r="J1255" s="241"/>
      <c r="K1255" s="241"/>
      <c r="L1255" s="242"/>
      <c r="M1255" s="241"/>
      <c r="N1255" s="241"/>
      <c r="O1255" s="241"/>
      <c r="P1255" s="241"/>
      <c r="Q1255" s="241"/>
      <c r="R1255" s="241"/>
      <c r="S1255" s="241"/>
      <c r="T1255" s="241"/>
      <c r="U1255" s="241"/>
      <c r="V1255" s="241"/>
      <c r="W1255" s="241"/>
      <c r="X1255" s="243"/>
      <c r="Y1255" s="243"/>
      <c r="Z1255" s="243"/>
      <c r="AA1255" s="243"/>
      <c r="AB1255" s="243"/>
      <c r="AC1255" s="243"/>
      <c r="AD1255" s="243"/>
      <c r="AE1255" s="243"/>
      <c r="AF1255" s="243"/>
      <c r="AG1255" s="243"/>
      <c r="AH1255" s="243"/>
      <c r="AI1255" s="243"/>
      <c r="AJ1255" s="243"/>
    </row>
    <row r="1256" hidden="1">
      <c r="A1256" s="241"/>
      <c r="B1256" s="241"/>
      <c r="C1256" s="241"/>
      <c r="D1256" s="241"/>
      <c r="E1256" s="241"/>
      <c r="F1256" s="241"/>
      <c r="G1256" s="241"/>
      <c r="H1256" s="241"/>
      <c r="I1256" s="241"/>
      <c r="J1256" s="241"/>
      <c r="K1256" s="241"/>
      <c r="L1256" s="242"/>
      <c r="M1256" s="241"/>
      <c r="N1256" s="241"/>
      <c r="O1256" s="241"/>
      <c r="P1256" s="241"/>
      <c r="Q1256" s="241"/>
      <c r="R1256" s="241"/>
      <c r="S1256" s="241"/>
      <c r="T1256" s="241"/>
      <c r="U1256" s="241"/>
      <c r="V1256" s="241"/>
      <c r="W1256" s="241"/>
      <c r="X1256" s="243"/>
      <c r="Y1256" s="243"/>
      <c r="Z1256" s="243"/>
      <c r="AA1256" s="243"/>
      <c r="AB1256" s="243"/>
      <c r="AC1256" s="243"/>
      <c r="AD1256" s="243"/>
      <c r="AE1256" s="243"/>
      <c r="AF1256" s="243"/>
      <c r="AG1256" s="243"/>
      <c r="AH1256" s="243"/>
      <c r="AI1256" s="243"/>
      <c r="AJ1256" s="243"/>
    </row>
    <row r="1257" hidden="1">
      <c r="A1257" s="241"/>
      <c r="B1257" s="241"/>
      <c r="C1257" s="241"/>
      <c r="D1257" s="241"/>
      <c r="E1257" s="241"/>
      <c r="F1257" s="241"/>
      <c r="G1257" s="241"/>
      <c r="H1257" s="241"/>
      <c r="I1257" s="241"/>
      <c r="J1257" s="241"/>
      <c r="K1257" s="241"/>
      <c r="L1257" s="242"/>
      <c r="M1257" s="241"/>
      <c r="N1257" s="241"/>
      <c r="O1257" s="241"/>
      <c r="P1257" s="241"/>
      <c r="Q1257" s="241"/>
      <c r="R1257" s="241"/>
      <c r="S1257" s="241"/>
      <c r="T1257" s="241"/>
      <c r="U1257" s="241"/>
      <c r="V1257" s="241"/>
      <c r="W1257" s="241"/>
      <c r="X1257" s="243"/>
      <c r="Y1257" s="243"/>
      <c r="Z1257" s="243"/>
      <c r="AA1257" s="243"/>
      <c r="AB1257" s="243"/>
      <c r="AC1257" s="243"/>
      <c r="AD1257" s="243"/>
      <c r="AE1257" s="243"/>
      <c r="AF1257" s="243"/>
      <c r="AG1257" s="243"/>
      <c r="AH1257" s="243"/>
      <c r="AI1257" s="243"/>
      <c r="AJ1257" s="243"/>
    </row>
    <row r="1258" hidden="1">
      <c r="A1258" s="241"/>
      <c r="B1258" s="241"/>
      <c r="C1258" s="241"/>
      <c r="D1258" s="241"/>
      <c r="E1258" s="241"/>
      <c r="F1258" s="241"/>
      <c r="G1258" s="241"/>
      <c r="H1258" s="241"/>
      <c r="I1258" s="241"/>
      <c r="J1258" s="241"/>
      <c r="K1258" s="241"/>
      <c r="L1258" s="242"/>
      <c r="M1258" s="241"/>
      <c r="N1258" s="241"/>
      <c r="O1258" s="241"/>
      <c r="P1258" s="241"/>
      <c r="Q1258" s="241"/>
      <c r="R1258" s="241"/>
      <c r="S1258" s="241"/>
      <c r="T1258" s="241"/>
      <c r="U1258" s="241"/>
      <c r="V1258" s="241"/>
      <c r="W1258" s="241"/>
      <c r="X1258" s="243"/>
      <c r="Y1258" s="243"/>
      <c r="Z1258" s="243"/>
      <c r="AA1258" s="243"/>
      <c r="AB1258" s="243"/>
      <c r="AC1258" s="243"/>
      <c r="AD1258" s="243"/>
      <c r="AE1258" s="243"/>
      <c r="AF1258" s="243"/>
      <c r="AG1258" s="243"/>
      <c r="AH1258" s="243"/>
      <c r="AI1258" s="243"/>
      <c r="AJ1258" s="243"/>
    </row>
    <row r="1259" hidden="1">
      <c r="A1259" s="241"/>
      <c r="B1259" s="241"/>
      <c r="C1259" s="241"/>
      <c r="D1259" s="241"/>
      <c r="E1259" s="241"/>
      <c r="F1259" s="241"/>
      <c r="G1259" s="241"/>
      <c r="H1259" s="241"/>
      <c r="I1259" s="241"/>
      <c r="J1259" s="241"/>
      <c r="K1259" s="241"/>
      <c r="L1259" s="242"/>
      <c r="M1259" s="241"/>
      <c r="N1259" s="241"/>
      <c r="O1259" s="241"/>
      <c r="P1259" s="241"/>
      <c r="Q1259" s="241"/>
      <c r="R1259" s="241"/>
      <c r="S1259" s="241"/>
      <c r="T1259" s="241"/>
      <c r="U1259" s="241"/>
      <c r="V1259" s="241"/>
      <c r="W1259" s="241"/>
      <c r="X1259" s="243"/>
      <c r="Y1259" s="243"/>
      <c r="Z1259" s="243"/>
      <c r="AA1259" s="243"/>
      <c r="AB1259" s="243"/>
      <c r="AC1259" s="243"/>
      <c r="AD1259" s="243"/>
      <c r="AE1259" s="243"/>
      <c r="AF1259" s="243"/>
      <c r="AG1259" s="243"/>
      <c r="AH1259" s="243"/>
      <c r="AI1259" s="243"/>
      <c r="AJ1259" s="243"/>
    </row>
    <row r="1260" hidden="1">
      <c r="A1260" s="241"/>
      <c r="B1260" s="241"/>
      <c r="C1260" s="241"/>
      <c r="D1260" s="241"/>
      <c r="E1260" s="241"/>
      <c r="F1260" s="241"/>
      <c r="G1260" s="241"/>
      <c r="H1260" s="241"/>
      <c r="I1260" s="241"/>
      <c r="J1260" s="241"/>
      <c r="K1260" s="241"/>
      <c r="L1260" s="242"/>
      <c r="M1260" s="241"/>
      <c r="N1260" s="241"/>
      <c r="O1260" s="241"/>
      <c r="P1260" s="241"/>
      <c r="Q1260" s="241"/>
      <c r="R1260" s="241"/>
      <c r="S1260" s="241"/>
      <c r="T1260" s="241"/>
      <c r="U1260" s="241"/>
      <c r="V1260" s="241"/>
      <c r="W1260" s="241"/>
      <c r="X1260" s="243"/>
      <c r="Y1260" s="243"/>
      <c r="Z1260" s="243"/>
      <c r="AA1260" s="243"/>
      <c r="AB1260" s="243"/>
      <c r="AC1260" s="243"/>
      <c r="AD1260" s="243"/>
      <c r="AE1260" s="243"/>
      <c r="AF1260" s="243"/>
      <c r="AG1260" s="243"/>
      <c r="AH1260" s="243"/>
      <c r="AI1260" s="243"/>
      <c r="AJ1260" s="243"/>
    </row>
    <row r="1261" hidden="1">
      <c r="A1261" s="241"/>
      <c r="B1261" s="241"/>
      <c r="C1261" s="241"/>
      <c r="D1261" s="241"/>
      <c r="E1261" s="241"/>
      <c r="F1261" s="241"/>
      <c r="G1261" s="241"/>
      <c r="H1261" s="241"/>
      <c r="I1261" s="241"/>
      <c r="J1261" s="241"/>
      <c r="K1261" s="241"/>
      <c r="L1261" s="242"/>
      <c r="M1261" s="241"/>
      <c r="N1261" s="241"/>
      <c r="O1261" s="241"/>
      <c r="P1261" s="241"/>
      <c r="Q1261" s="241"/>
      <c r="R1261" s="241"/>
      <c r="S1261" s="241"/>
      <c r="T1261" s="241"/>
      <c r="U1261" s="241"/>
      <c r="V1261" s="241"/>
      <c r="W1261" s="241"/>
      <c r="X1261" s="243"/>
      <c r="Y1261" s="243"/>
      <c r="Z1261" s="243"/>
      <c r="AA1261" s="243"/>
      <c r="AB1261" s="243"/>
      <c r="AC1261" s="243"/>
      <c r="AD1261" s="243"/>
      <c r="AE1261" s="243"/>
      <c r="AF1261" s="243"/>
      <c r="AG1261" s="243"/>
      <c r="AH1261" s="243"/>
      <c r="AI1261" s="243"/>
      <c r="AJ1261" s="243"/>
    </row>
    <row r="1262" hidden="1">
      <c r="A1262" s="241"/>
      <c r="B1262" s="241"/>
      <c r="C1262" s="241"/>
      <c r="D1262" s="241"/>
      <c r="E1262" s="241"/>
      <c r="F1262" s="241"/>
      <c r="G1262" s="241"/>
      <c r="H1262" s="241"/>
      <c r="I1262" s="241"/>
      <c r="J1262" s="241"/>
      <c r="K1262" s="241"/>
      <c r="L1262" s="242"/>
      <c r="M1262" s="241"/>
      <c r="N1262" s="241"/>
      <c r="O1262" s="241"/>
      <c r="P1262" s="241"/>
      <c r="Q1262" s="241"/>
      <c r="R1262" s="241"/>
      <c r="S1262" s="241"/>
      <c r="T1262" s="241"/>
      <c r="U1262" s="241"/>
      <c r="V1262" s="241"/>
      <c r="W1262" s="241"/>
      <c r="X1262" s="243"/>
      <c r="Y1262" s="243"/>
      <c r="Z1262" s="243"/>
      <c r="AA1262" s="243"/>
      <c r="AB1262" s="243"/>
      <c r="AC1262" s="243"/>
      <c r="AD1262" s="243"/>
      <c r="AE1262" s="243"/>
      <c r="AF1262" s="243"/>
      <c r="AG1262" s="243"/>
      <c r="AH1262" s="243"/>
      <c r="AI1262" s="243"/>
      <c r="AJ1262" s="243"/>
    </row>
    <row r="1263" hidden="1">
      <c r="A1263" s="241"/>
      <c r="B1263" s="241"/>
      <c r="C1263" s="241"/>
      <c r="D1263" s="241"/>
      <c r="E1263" s="241"/>
      <c r="F1263" s="241"/>
      <c r="G1263" s="241"/>
      <c r="H1263" s="241"/>
      <c r="I1263" s="241"/>
      <c r="J1263" s="241"/>
      <c r="K1263" s="241"/>
      <c r="L1263" s="242"/>
      <c r="M1263" s="241"/>
      <c r="N1263" s="241"/>
      <c r="O1263" s="241"/>
      <c r="P1263" s="241"/>
      <c r="Q1263" s="241"/>
      <c r="R1263" s="241"/>
      <c r="S1263" s="241"/>
      <c r="T1263" s="241"/>
      <c r="U1263" s="241"/>
      <c r="V1263" s="241"/>
      <c r="W1263" s="241"/>
      <c r="X1263" s="243"/>
      <c r="Y1263" s="243"/>
      <c r="Z1263" s="243"/>
      <c r="AA1263" s="243"/>
      <c r="AB1263" s="243"/>
      <c r="AC1263" s="243"/>
      <c r="AD1263" s="243"/>
      <c r="AE1263" s="243"/>
      <c r="AF1263" s="243"/>
      <c r="AG1263" s="243"/>
      <c r="AH1263" s="243"/>
      <c r="AI1263" s="243"/>
      <c r="AJ1263" s="243"/>
    </row>
    <row r="1264" hidden="1">
      <c r="A1264" s="241"/>
      <c r="B1264" s="241"/>
      <c r="C1264" s="241"/>
      <c r="D1264" s="241"/>
      <c r="E1264" s="241"/>
      <c r="F1264" s="241"/>
      <c r="G1264" s="241"/>
      <c r="H1264" s="241"/>
      <c r="I1264" s="241"/>
      <c r="J1264" s="241"/>
      <c r="K1264" s="241"/>
      <c r="L1264" s="242"/>
      <c r="M1264" s="241"/>
      <c r="N1264" s="241"/>
      <c r="O1264" s="241"/>
      <c r="P1264" s="241"/>
      <c r="Q1264" s="241"/>
      <c r="R1264" s="241"/>
      <c r="S1264" s="241"/>
      <c r="T1264" s="241"/>
      <c r="U1264" s="241"/>
      <c r="V1264" s="241"/>
      <c r="W1264" s="241"/>
      <c r="X1264" s="243"/>
      <c r="Y1264" s="243"/>
      <c r="Z1264" s="243"/>
      <c r="AA1264" s="243"/>
      <c r="AB1264" s="243"/>
      <c r="AC1264" s="243"/>
      <c r="AD1264" s="243"/>
      <c r="AE1264" s="243"/>
      <c r="AF1264" s="243"/>
      <c r="AG1264" s="243"/>
      <c r="AH1264" s="243"/>
      <c r="AI1264" s="243"/>
      <c r="AJ1264" s="243"/>
    </row>
    <row r="1265" hidden="1">
      <c r="A1265" s="241"/>
      <c r="B1265" s="241"/>
      <c r="C1265" s="241"/>
      <c r="D1265" s="241"/>
      <c r="E1265" s="241"/>
      <c r="F1265" s="241"/>
      <c r="G1265" s="241"/>
      <c r="H1265" s="241"/>
      <c r="I1265" s="241"/>
      <c r="J1265" s="241"/>
      <c r="K1265" s="241"/>
      <c r="L1265" s="242"/>
      <c r="M1265" s="241"/>
      <c r="N1265" s="241"/>
      <c r="O1265" s="241"/>
      <c r="P1265" s="241"/>
      <c r="Q1265" s="241"/>
      <c r="R1265" s="241"/>
      <c r="S1265" s="241"/>
      <c r="T1265" s="241"/>
      <c r="U1265" s="241"/>
      <c r="V1265" s="241"/>
      <c r="W1265" s="241"/>
      <c r="X1265" s="243"/>
      <c r="Y1265" s="243"/>
      <c r="Z1265" s="243"/>
      <c r="AA1265" s="243"/>
      <c r="AB1265" s="243"/>
      <c r="AC1265" s="243"/>
      <c r="AD1265" s="243"/>
      <c r="AE1265" s="243"/>
      <c r="AF1265" s="243"/>
      <c r="AG1265" s="243"/>
      <c r="AH1265" s="243"/>
      <c r="AI1265" s="243"/>
      <c r="AJ1265" s="243"/>
    </row>
    <row r="1266" hidden="1">
      <c r="A1266" s="241"/>
      <c r="B1266" s="241"/>
      <c r="C1266" s="241"/>
      <c r="D1266" s="241"/>
      <c r="E1266" s="241"/>
      <c r="F1266" s="241"/>
      <c r="G1266" s="241"/>
      <c r="H1266" s="241"/>
      <c r="I1266" s="241"/>
      <c r="J1266" s="241"/>
      <c r="K1266" s="241"/>
      <c r="L1266" s="242"/>
      <c r="M1266" s="241"/>
      <c r="N1266" s="241"/>
      <c r="O1266" s="241"/>
      <c r="P1266" s="241"/>
      <c r="Q1266" s="241"/>
      <c r="R1266" s="241"/>
      <c r="S1266" s="241"/>
      <c r="T1266" s="241"/>
      <c r="U1266" s="241"/>
      <c r="V1266" s="241"/>
      <c r="W1266" s="241"/>
      <c r="X1266" s="243"/>
      <c r="Y1266" s="243"/>
      <c r="Z1266" s="243"/>
      <c r="AA1266" s="243"/>
      <c r="AB1266" s="243"/>
      <c r="AC1266" s="243"/>
      <c r="AD1266" s="243"/>
      <c r="AE1266" s="243"/>
      <c r="AF1266" s="243"/>
      <c r="AG1266" s="243"/>
      <c r="AH1266" s="243"/>
      <c r="AI1266" s="243"/>
      <c r="AJ1266" s="243"/>
    </row>
    <row r="1267" hidden="1">
      <c r="A1267" s="241"/>
      <c r="B1267" s="241"/>
      <c r="C1267" s="241"/>
      <c r="D1267" s="241"/>
      <c r="E1267" s="241"/>
      <c r="F1267" s="241"/>
      <c r="G1267" s="241"/>
      <c r="H1267" s="241"/>
      <c r="I1267" s="241"/>
      <c r="J1267" s="241"/>
      <c r="K1267" s="241"/>
      <c r="L1267" s="242"/>
      <c r="M1267" s="241"/>
      <c r="N1267" s="241"/>
      <c r="O1267" s="241"/>
      <c r="P1267" s="241"/>
      <c r="Q1267" s="241"/>
      <c r="R1267" s="241"/>
      <c r="S1267" s="241"/>
      <c r="T1267" s="241"/>
      <c r="U1267" s="241"/>
      <c r="V1267" s="241"/>
      <c r="W1267" s="241"/>
      <c r="X1267" s="243"/>
      <c r="Y1267" s="243"/>
      <c r="Z1267" s="243"/>
      <c r="AA1267" s="243"/>
      <c r="AB1267" s="243"/>
      <c r="AC1267" s="243"/>
      <c r="AD1267" s="243"/>
      <c r="AE1267" s="243"/>
      <c r="AF1267" s="243"/>
      <c r="AG1267" s="243"/>
      <c r="AH1267" s="243"/>
      <c r="AI1267" s="243"/>
      <c r="AJ1267" s="243"/>
    </row>
    <row r="1268" hidden="1">
      <c r="A1268" s="241"/>
      <c r="B1268" s="241"/>
      <c r="C1268" s="241"/>
      <c r="D1268" s="241"/>
      <c r="E1268" s="241"/>
      <c r="F1268" s="241"/>
      <c r="G1268" s="241"/>
      <c r="H1268" s="241"/>
      <c r="I1268" s="241"/>
      <c r="J1268" s="241"/>
      <c r="K1268" s="241"/>
      <c r="L1268" s="242"/>
      <c r="M1268" s="241"/>
      <c r="N1268" s="241"/>
      <c r="O1268" s="241"/>
      <c r="P1268" s="241"/>
      <c r="Q1268" s="241"/>
      <c r="R1268" s="241"/>
      <c r="S1268" s="241"/>
      <c r="T1268" s="241"/>
      <c r="U1268" s="241"/>
      <c r="V1268" s="241"/>
      <c r="W1268" s="241"/>
      <c r="X1268" s="243"/>
      <c r="Y1268" s="243"/>
      <c r="Z1268" s="243"/>
      <c r="AA1268" s="243"/>
      <c r="AB1268" s="243"/>
      <c r="AC1268" s="243"/>
      <c r="AD1268" s="243"/>
      <c r="AE1268" s="243"/>
      <c r="AF1268" s="243"/>
      <c r="AG1268" s="243"/>
      <c r="AH1268" s="243"/>
      <c r="AI1268" s="243"/>
      <c r="AJ1268" s="243"/>
    </row>
    <row r="1269" hidden="1">
      <c r="A1269" s="241"/>
      <c r="B1269" s="241"/>
      <c r="C1269" s="241"/>
      <c r="D1269" s="241"/>
      <c r="E1269" s="241"/>
      <c r="F1269" s="241"/>
      <c r="G1269" s="241"/>
      <c r="H1269" s="241"/>
      <c r="I1269" s="241"/>
      <c r="J1269" s="241"/>
      <c r="K1269" s="241"/>
      <c r="L1269" s="242"/>
      <c r="M1269" s="241"/>
      <c r="N1269" s="241"/>
      <c r="O1269" s="241"/>
      <c r="P1269" s="241"/>
      <c r="Q1269" s="241"/>
      <c r="R1269" s="241"/>
      <c r="S1269" s="241"/>
      <c r="T1269" s="241"/>
      <c r="U1269" s="241"/>
      <c r="V1269" s="241"/>
      <c r="W1269" s="241"/>
      <c r="X1269" s="243"/>
      <c r="Y1269" s="243"/>
      <c r="Z1269" s="243"/>
      <c r="AA1269" s="243"/>
      <c r="AB1269" s="243"/>
      <c r="AC1269" s="243"/>
      <c r="AD1269" s="243"/>
      <c r="AE1269" s="243"/>
      <c r="AF1269" s="243"/>
      <c r="AG1269" s="243"/>
      <c r="AH1269" s="243"/>
      <c r="AI1269" s="243"/>
      <c r="AJ1269" s="243"/>
    </row>
    <row r="1270" hidden="1">
      <c r="A1270" s="241"/>
      <c r="B1270" s="241"/>
      <c r="C1270" s="241"/>
      <c r="D1270" s="241"/>
      <c r="E1270" s="241"/>
      <c r="F1270" s="241"/>
      <c r="G1270" s="241"/>
      <c r="H1270" s="241"/>
      <c r="I1270" s="241"/>
      <c r="J1270" s="241"/>
      <c r="K1270" s="241"/>
      <c r="L1270" s="242"/>
      <c r="M1270" s="241"/>
      <c r="N1270" s="241"/>
      <c r="O1270" s="241"/>
      <c r="P1270" s="241"/>
      <c r="Q1270" s="241"/>
      <c r="R1270" s="241"/>
      <c r="S1270" s="241"/>
      <c r="T1270" s="241"/>
      <c r="U1270" s="241"/>
      <c r="V1270" s="241"/>
      <c r="W1270" s="241"/>
      <c r="X1270" s="243"/>
      <c r="Y1270" s="243"/>
      <c r="Z1270" s="243"/>
      <c r="AA1270" s="243"/>
      <c r="AB1270" s="243"/>
      <c r="AC1270" s="243"/>
      <c r="AD1270" s="243"/>
      <c r="AE1270" s="243"/>
      <c r="AF1270" s="243"/>
      <c r="AG1270" s="243"/>
      <c r="AH1270" s="243"/>
      <c r="AI1270" s="243"/>
      <c r="AJ1270" s="243"/>
    </row>
    <row r="1271" hidden="1">
      <c r="A1271" s="241"/>
      <c r="B1271" s="241"/>
      <c r="C1271" s="241"/>
      <c r="D1271" s="241"/>
      <c r="E1271" s="241"/>
      <c r="F1271" s="241"/>
      <c r="G1271" s="241"/>
      <c r="H1271" s="241"/>
      <c r="I1271" s="241"/>
      <c r="J1271" s="241"/>
      <c r="K1271" s="241"/>
      <c r="L1271" s="242"/>
      <c r="M1271" s="241"/>
      <c r="N1271" s="241"/>
      <c r="O1271" s="241"/>
      <c r="P1271" s="241"/>
      <c r="Q1271" s="241"/>
      <c r="R1271" s="241"/>
      <c r="S1271" s="241"/>
      <c r="T1271" s="241"/>
      <c r="U1271" s="241"/>
      <c r="V1271" s="241"/>
      <c r="W1271" s="241"/>
      <c r="X1271" s="243"/>
      <c r="Y1271" s="243"/>
      <c r="Z1271" s="243"/>
      <c r="AA1271" s="243"/>
      <c r="AB1271" s="243"/>
      <c r="AC1271" s="243"/>
      <c r="AD1271" s="243"/>
      <c r="AE1271" s="243"/>
      <c r="AF1271" s="243"/>
      <c r="AG1271" s="243"/>
      <c r="AH1271" s="243"/>
      <c r="AI1271" s="243"/>
      <c r="AJ1271" s="243"/>
    </row>
    <row r="1272" hidden="1">
      <c r="A1272" s="241"/>
      <c r="B1272" s="241"/>
      <c r="C1272" s="241"/>
      <c r="D1272" s="241"/>
      <c r="E1272" s="241"/>
      <c r="F1272" s="241"/>
      <c r="G1272" s="241"/>
      <c r="H1272" s="241"/>
      <c r="I1272" s="241"/>
      <c r="J1272" s="241"/>
      <c r="K1272" s="241"/>
      <c r="L1272" s="242"/>
      <c r="M1272" s="241"/>
      <c r="N1272" s="241"/>
      <c r="O1272" s="241"/>
      <c r="P1272" s="241"/>
      <c r="Q1272" s="241"/>
      <c r="R1272" s="241"/>
      <c r="S1272" s="241"/>
      <c r="T1272" s="241"/>
      <c r="U1272" s="241"/>
      <c r="V1272" s="241"/>
      <c r="W1272" s="241"/>
      <c r="X1272" s="243"/>
      <c r="Y1272" s="243"/>
      <c r="Z1272" s="243"/>
      <c r="AA1272" s="243"/>
      <c r="AB1272" s="243"/>
      <c r="AC1272" s="243"/>
      <c r="AD1272" s="243"/>
      <c r="AE1272" s="243"/>
      <c r="AF1272" s="243"/>
      <c r="AG1272" s="243"/>
      <c r="AH1272" s="243"/>
      <c r="AI1272" s="243"/>
      <c r="AJ1272" s="243"/>
    </row>
    <row r="1273" hidden="1">
      <c r="A1273" s="241"/>
      <c r="B1273" s="241"/>
      <c r="C1273" s="241"/>
      <c r="D1273" s="241"/>
      <c r="E1273" s="241"/>
      <c r="F1273" s="241"/>
      <c r="G1273" s="241"/>
      <c r="H1273" s="241"/>
      <c r="I1273" s="241"/>
      <c r="J1273" s="241"/>
      <c r="K1273" s="241"/>
      <c r="L1273" s="242"/>
      <c r="M1273" s="241"/>
      <c r="N1273" s="241"/>
      <c r="O1273" s="241"/>
      <c r="P1273" s="241"/>
      <c r="Q1273" s="241"/>
      <c r="R1273" s="241"/>
      <c r="S1273" s="241"/>
      <c r="T1273" s="241"/>
      <c r="U1273" s="241"/>
      <c r="V1273" s="241"/>
      <c r="W1273" s="241"/>
      <c r="X1273" s="243"/>
      <c r="Y1273" s="243"/>
      <c r="Z1273" s="243"/>
      <c r="AA1273" s="243"/>
      <c r="AB1273" s="243"/>
      <c r="AC1273" s="243"/>
      <c r="AD1273" s="243"/>
      <c r="AE1273" s="243"/>
      <c r="AF1273" s="243"/>
      <c r="AG1273" s="243"/>
      <c r="AH1273" s="243"/>
      <c r="AI1273" s="243"/>
      <c r="AJ1273" s="243"/>
    </row>
    <row r="1274" hidden="1">
      <c r="A1274" s="241"/>
      <c r="B1274" s="241"/>
      <c r="C1274" s="241"/>
      <c r="D1274" s="241"/>
      <c r="E1274" s="241"/>
      <c r="F1274" s="241"/>
      <c r="G1274" s="241"/>
      <c r="H1274" s="241"/>
      <c r="I1274" s="241"/>
      <c r="J1274" s="241"/>
      <c r="K1274" s="241"/>
      <c r="L1274" s="242"/>
      <c r="M1274" s="241"/>
      <c r="N1274" s="241"/>
      <c r="O1274" s="241"/>
      <c r="P1274" s="241"/>
      <c r="Q1274" s="241"/>
      <c r="R1274" s="241"/>
      <c r="S1274" s="241"/>
      <c r="T1274" s="241"/>
      <c r="U1274" s="241"/>
      <c r="V1274" s="241"/>
      <c r="W1274" s="241"/>
      <c r="X1274" s="243"/>
      <c r="Y1274" s="243"/>
      <c r="Z1274" s="243"/>
      <c r="AA1274" s="243"/>
      <c r="AB1274" s="243"/>
      <c r="AC1274" s="243"/>
      <c r="AD1274" s="243"/>
      <c r="AE1274" s="243"/>
      <c r="AF1274" s="243"/>
      <c r="AG1274" s="243"/>
      <c r="AH1274" s="243"/>
      <c r="AI1274" s="243"/>
      <c r="AJ1274" s="243"/>
    </row>
    <row r="1275" hidden="1">
      <c r="A1275" s="241"/>
      <c r="B1275" s="241"/>
      <c r="C1275" s="241"/>
      <c r="D1275" s="241"/>
      <c r="E1275" s="241"/>
      <c r="F1275" s="241"/>
      <c r="G1275" s="241"/>
      <c r="H1275" s="241"/>
      <c r="I1275" s="241"/>
      <c r="J1275" s="241"/>
      <c r="K1275" s="241"/>
      <c r="L1275" s="242"/>
      <c r="M1275" s="241"/>
      <c r="N1275" s="241"/>
      <c r="O1275" s="241"/>
      <c r="P1275" s="241"/>
      <c r="Q1275" s="241"/>
      <c r="R1275" s="241"/>
      <c r="S1275" s="241"/>
      <c r="T1275" s="241"/>
      <c r="U1275" s="241"/>
      <c r="V1275" s="241"/>
      <c r="W1275" s="241"/>
      <c r="X1275" s="243"/>
      <c r="Y1275" s="243"/>
      <c r="Z1275" s="243"/>
      <c r="AA1275" s="243"/>
      <c r="AB1275" s="243"/>
      <c r="AC1275" s="243"/>
      <c r="AD1275" s="243"/>
      <c r="AE1275" s="243"/>
      <c r="AF1275" s="243"/>
      <c r="AG1275" s="243"/>
      <c r="AH1275" s="243"/>
      <c r="AI1275" s="243"/>
      <c r="AJ1275" s="243"/>
    </row>
    <row r="1276" hidden="1">
      <c r="A1276" s="241"/>
      <c r="B1276" s="241"/>
      <c r="C1276" s="241"/>
      <c r="D1276" s="241"/>
      <c r="E1276" s="241"/>
      <c r="F1276" s="241"/>
      <c r="G1276" s="241"/>
      <c r="H1276" s="241"/>
      <c r="I1276" s="241"/>
      <c r="J1276" s="241"/>
      <c r="K1276" s="241"/>
      <c r="L1276" s="242"/>
      <c r="M1276" s="241"/>
      <c r="N1276" s="241"/>
      <c r="O1276" s="241"/>
      <c r="P1276" s="241"/>
      <c r="Q1276" s="241"/>
      <c r="R1276" s="241"/>
      <c r="S1276" s="241"/>
      <c r="T1276" s="241"/>
      <c r="U1276" s="241"/>
      <c r="V1276" s="241"/>
      <c r="W1276" s="241"/>
      <c r="X1276" s="243"/>
      <c r="Y1276" s="243"/>
      <c r="Z1276" s="243"/>
      <c r="AA1276" s="243"/>
      <c r="AB1276" s="243"/>
      <c r="AC1276" s="243"/>
      <c r="AD1276" s="243"/>
      <c r="AE1276" s="243"/>
      <c r="AF1276" s="243"/>
      <c r="AG1276" s="243"/>
      <c r="AH1276" s="243"/>
      <c r="AI1276" s="243"/>
      <c r="AJ1276" s="243"/>
    </row>
    <row r="1277" hidden="1">
      <c r="A1277" s="241"/>
      <c r="B1277" s="241"/>
      <c r="C1277" s="241"/>
      <c r="D1277" s="241"/>
      <c r="E1277" s="241"/>
      <c r="F1277" s="241"/>
      <c r="G1277" s="241"/>
      <c r="H1277" s="241"/>
      <c r="I1277" s="241"/>
      <c r="J1277" s="241"/>
      <c r="K1277" s="241"/>
      <c r="L1277" s="242"/>
      <c r="M1277" s="241"/>
      <c r="N1277" s="241"/>
      <c r="O1277" s="241"/>
      <c r="P1277" s="241"/>
      <c r="Q1277" s="241"/>
      <c r="R1277" s="241"/>
      <c r="S1277" s="241"/>
      <c r="T1277" s="241"/>
      <c r="U1277" s="241"/>
      <c r="V1277" s="241"/>
      <c r="W1277" s="241"/>
      <c r="X1277" s="243"/>
      <c r="Y1277" s="243"/>
      <c r="Z1277" s="243"/>
      <c r="AA1277" s="243"/>
      <c r="AB1277" s="243"/>
      <c r="AC1277" s="243"/>
      <c r="AD1277" s="243"/>
      <c r="AE1277" s="243"/>
      <c r="AF1277" s="243"/>
      <c r="AG1277" s="243"/>
      <c r="AH1277" s="243"/>
      <c r="AI1277" s="243"/>
      <c r="AJ1277" s="243"/>
    </row>
    <row r="1278" hidden="1">
      <c r="A1278" s="241"/>
      <c r="B1278" s="241"/>
      <c r="C1278" s="241"/>
      <c r="D1278" s="241"/>
      <c r="E1278" s="241"/>
      <c r="F1278" s="241"/>
      <c r="G1278" s="241"/>
      <c r="H1278" s="241"/>
      <c r="I1278" s="241"/>
      <c r="J1278" s="241"/>
      <c r="K1278" s="241"/>
      <c r="L1278" s="242"/>
      <c r="M1278" s="241"/>
      <c r="N1278" s="241"/>
      <c r="O1278" s="241"/>
      <c r="P1278" s="241"/>
      <c r="Q1278" s="241"/>
      <c r="R1278" s="241"/>
      <c r="S1278" s="241"/>
      <c r="T1278" s="241"/>
      <c r="U1278" s="241"/>
      <c r="V1278" s="241"/>
      <c r="W1278" s="241"/>
      <c r="X1278" s="243"/>
      <c r="Y1278" s="243"/>
      <c r="Z1278" s="243"/>
      <c r="AA1278" s="243"/>
      <c r="AB1278" s="243"/>
      <c r="AC1278" s="243"/>
      <c r="AD1278" s="243"/>
      <c r="AE1278" s="243"/>
      <c r="AF1278" s="243"/>
      <c r="AG1278" s="243"/>
      <c r="AH1278" s="243"/>
      <c r="AI1278" s="243"/>
      <c r="AJ1278" s="243"/>
    </row>
    <row r="1279" hidden="1">
      <c r="A1279" s="241"/>
      <c r="B1279" s="241"/>
      <c r="C1279" s="241"/>
      <c r="D1279" s="241"/>
      <c r="E1279" s="241"/>
      <c r="F1279" s="241"/>
      <c r="G1279" s="241"/>
      <c r="H1279" s="241"/>
      <c r="I1279" s="241"/>
      <c r="J1279" s="241"/>
      <c r="K1279" s="241"/>
      <c r="L1279" s="242"/>
      <c r="M1279" s="241"/>
      <c r="N1279" s="241"/>
      <c r="O1279" s="241"/>
      <c r="P1279" s="241"/>
      <c r="Q1279" s="241"/>
      <c r="R1279" s="241"/>
      <c r="S1279" s="241"/>
      <c r="T1279" s="241"/>
      <c r="U1279" s="241"/>
      <c r="V1279" s="241"/>
      <c r="W1279" s="241"/>
      <c r="X1279" s="243"/>
      <c r="Y1279" s="243"/>
      <c r="Z1279" s="243"/>
      <c r="AA1279" s="243"/>
      <c r="AB1279" s="243"/>
      <c r="AC1279" s="243"/>
      <c r="AD1279" s="243"/>
      <c r="AE1279" s="243"/>
      <c r="AF1279" s="243"/>
      <c r="AG1279" s="243"/>
      <c r="AH1279" s="243"/>
      <c r="AI1279" s="243"/>
      <c r="AJ1279" s="243"/>
    </row>
    <row r="1280" hidden="1">
      <c r="A1280" s="241"/>
      <c r="B1280" s="241"/>
      <c r="C1280" s="241"/>
      <c r="D1280" s="241"/>
      <c r="E1280" s="241"/>
      <c r="F1280" s="241"/>
      <c r="G1280" s="241"/>
      <c r="H1280" s="241"/>
      <c r="I1280" s="241"/>
      <c r="J1280" s="241"/>
      <c r="K1280" s="241"/>
      <c r="L1280" s="242"/>
      <c r="M1280" s="241"/>
      <c r="N1280" s="241"/>
      <c r="O1280" s="241"/>
      <c r="P1280" s="241"/>
      <c r="Q1280" s="241"/>
      <c r="R1280" s="241"/>
      <c r="S1280" s="241"/>
      <c r="T1280" s="241"/>
      <c r="U1280" s="241"/>
      <c r="V1280" s="241"/>
      <c r="W1280" s="241"/>
      <c r="X1280" s="243"/>
      <c r="Y1280" s="243"/>
      <c r="Z1280" s="243"/>
      <c r="AA1280" s="243"/>
      <c r="AB1280" s="243"/>
      <c r="AC1280" s="243"/>
      <c r="AD1280" s="243"/>
      <c r="AE1280" s="243"/>
      <c r="AF1280" s="243"/>
      <c r="AG1280" s="243"/>
      <c r="AH1280" s="243"/>
      <c r="AI1280" s="243"/>
      <c r="AJ1280" s="243"/>
    </row>
    <row r="1281" hidden="1">
      <c r="A1281" s="241"/>
      <c r="B1281" s="241"/>
      <c r="C1281" s="241"/>
      <c r="D1281" s="241"/>
      <c r="E1281" s="241"/>
      <c r="F1281" s="241"/>
      <c r="G1281" s="241"/>
      <c r="H1281" s="241"/>
      <c r="I1281" s="241"/>
      <c r="J1281" s="241"/>
      <c r="K1281" s="241"/>
      <c r="L1281" s="242"/>
      <c r="M1281" s="241"/>
      <c r="N1281" s="241"/>
      <c r="O1281" s="241"/>
      <c r="P1281" s="241"/>
      <c r="Q1281" s="241"/>
      <c r="R1281" s="241"/>
      <c r="S1281" s="241"/>
      <c r="T1281" s="241"/>
      <c r="U1281" s="241"/>
      <c r="V1281" s="241"/>
      <c r="W1281" s="241"/>
      <c r="X1281" s="243"/>
      <c r="Y1281" s="243"/>
      <c r="Z1281" s="243"/>
      <c r="AA1281" s="243"/>
      <c r="AB1281" s="243"/>
      <c r="AC1281" s="243"/>
      <c r="AD1281" s="243"/>
      <c r="AE1281" s="243"/>
      <c r="AF1281" s="243"/>
      <c r="AG1281" s="243"/>
      <c r="AH1281" s="243"/>
      <c r="AI1281" s="243"/>
      <c r="AJ1281" s="243"/>
    </row>
    <row r="1282" hidden="1">
      <c r="A1282" s="241"/>
      <c r="B1282" s="241"/>
      <c r="C1282" s="241"/>
      <c r="D1282" s="241"/>
      <c r="E1282" s="241"/>
      <c r="F1282" s="241"/>
      <c r="G1282" s="241"/>
      <c r="H1282" s="241"/>
      <c r="I1282" s="241"/>
      <c r="J1282" s="241"/>
      <c r="K1282" s="241"/>
      <c r="L1282" s="242"/>
      <c r="M1282" s="241"/>
      <c r="N1282" s="241"/>
      <c r="O1282" s="241"/>
      <c r="P1282" s="241"/>
      <c r="Q1282" s="241"/>
      <c r="R1282" s="241"/>
      <c r="S1282" s="241"/>
      <c r="T1282" s="241"/>
      <c r="U1282" s="241"/>
      <c r="V1282" s="241"/>
      <c r="W1282" s="241"/>
      <c r="X1282" s="243"/>
      <c r="Y1282" s="243"/>
      <c r="Z1282" s="243"/>
      <c r="AA1282" s="243"/>
      <c r="AB1282" s="243"/>
      <c r="AC1282" s="243"/>
      <c r="AD1282" s="243"/>
      <c r="AE1282" s="243"/>
      <c r="AF1282" s="243"/>
      <c r="AG1282" s="243"/>
      <c r="AH1282" s="243"/>
      <c r="AI1282" s="243"/>
      <c r="AJ1282" s="243"/>
    </row>
    <row r="1283" hidden="1">
      <c r="A1283" s="241"/>
      <c r="B1283" s="241"/>
      <c r="C1283" s="241"/>
      <c r="D1283" s="241"/>
      <c r="E1283" s="241"/>
      <c r="F1283" s="241"/>
      <c r="G1283" s="241"/>
      <c r="H1283" s="241"/>
      <c r="I1283" s="241"/>
      <c r="J1283" s="241"/>
      <c r="K1283" s="241"/>
      <c r="L1283" s="242"/>
      <c r="M1283" s="241"/>
      <c r="N1283" s="241"/>
      <c r="O1283" s="241"/>
      <c r="P1283" s="241"/>
      <c r="Q1283" s="241"/>
      <c r="R1283" s="241"/>
      <c r="S1283" s="241"/>
      <c r="T1283" s="241"/>
      <c r="U1283" s="241"/>
      <c r="V1283" s="241"/>
      <c r="W1283" s="241"/>
      <c r="X1283" s="243"/>
      <c r="Y1283" s="243"/>
      <c r="Z1283" s="243"/>
      <c r="AA1283" s="243"/>
      <c r="AB1283" s="243"/>
      <c r="AC1283" s="243"/>
      <c r="AD1283" s="243"/>
      <c r="AE1283" s="243"/>
      <c r="AF1283" s="243"/>
      <c r="AG1283" s="243"/>
      <c r="AH1283" s="243"/>
      <c r="AI1283" s="243"/>
      <c r="AJ1283" s="243"/>
    </row>
    <row r="1284" hidden="1">
      <c r="A1284" s="241"/>
      <c r="B1284" s="241"/>
      <c r="C1284" s="241"/>
      <c r="D1284" s="241"/>
      <c r="E1284" s="241"/>
      <c r="F1284" s="241"/>
      <c r="G1284" s="241"/>
      <c r="H1284" s="241"/>
      <c r="I1284" s="241"/>
      <c r="J1284" s="241"/>
      <c r="K1284" s="241"/>
      <c r="L1284" s="242"/>
      <c r="M1284" s="241"/>
      <c r="N1284" s="241"/>
      <c r="O1284" s="241"/>
      <c r="P1284" s="241"/>
      <c r="Q1284" s="241"/>
      <c r="R1284" s="241"/>
      <c r="S1284" s="241"/>
      <c r="T1284" s="241"/>
      <c r="U1284" s="241"/>
      <c r="V1284" s="241"/>
      <c r="W1284" s="241"/>
      <c r="X1284" s="243"/>
      <c r="Y1284" s="243"/>
      <c r="Z1284" s="243"/>
      <c r="AA1284" s="243"/>
      <c r="AB1284" s="243"/>
      <c r="AC1284" s="243"/>
      <c r="AD1284" s="243"/>
      <c r="AE1284" s="243"/>
      <c r="AF1284" s="243"/>
      <c r="AG1284" s="243"/>
      <c r="AH1284" s="243"/>
      <c r="AI1284" s="243"/>
      <c r="AJ1284" s="243"/>
    </row>
    <row r="1285" hidden="1">
      <c r="A1285" s="241"/>
      <c r="B1285" s="241"/>
      <c r="C1285" s="241"/>
      <c r="D1285" s="241"/>
      <c r="E1285" s="241"/>
      <c r="F1285" s="241"/>
      <c r="G1285" s="241"/>
      <c r="H1285" s="241"/>
      <c r="I1285" s="241"/>
      <c r="J1285" s="241"/>
      <c r="K1285" s="241"/>
      <c r="L1285" s="242"/>
      <c r="M1285" s="241"/>
      <c r="N1285" s="241"/>
      <c r="O1285" s="241"/>
      <c r="P1285" s="241"/>
      <c r="Q1285" s="241"/>
      <c r="R1285" s="241"/>
      <c r="S1285" s="241"/>
      <c r="T1285" s="241"/>
      <c r="U1285" s="241"/>
      <c r="V1285" s="241"/>
      <c r="W1285" s="241"/>
      <c r="X1285" s="243"/>
      <c r="Y1285" s="243"/>
      <c r="Z1285" s="243"/>
      <c r="AA1285" s="243"/>
      <c r="AB1285" s="243"/>
      <c r="AC1285" s="243"/>
      <c r="AD1285" s="243"/>
      <c r="AE1285" s="243"/>
      <c r="AF1285" s="243"/>
      <c r="AG1285" s="243"/>
      <c r="AH1285" s="243"/>
      <c r="AI1285" s="243"/>
      <c r="AJ1285" s="243"/>
    </row>
    <row r="1286" hidden="1">
      <c r="A1286" s="241"/>
      <c r="B1286" s="241"/>
      <c r="C1286" s="241"/>
      <c r="D1286" s="241"/>
      <c r="E1286" s="241"/>
      <c r="F1286" s="241"/>
      <c r="G1286" s="241"/>
      <c r="H1286" s="241"/>
      <c r="I1286" s="241"/>
      <c r="J1286" s="241"/>
      <c r="K1286" s="241"/>
      <c r="L1286" s="242"/>
      <c r="M1286" s="241"/>
      <c r="N1286" s="241"/>
      <c r="O1286" s="241"/>
      <c r="P1286" s="241"/>
      <c r="Q1286" s="241"/>
      <c r="R1286" s="241"/>
      <c r="S1286" s="241"/>
      <c r="T1286" s="241"/>
      <c r="U1286" s="241"/>
      <c r="V1286" s="241"/>
      <c r="W1286" s="241"/>
      <c r="X1286" s="243"/>
      <c r="Y1286" s="243"/>
      <c r="Z1286" s="243"/>
      <c r="AA1286" s="243"/>
      <c r="AB1286" s="243"/>
      <c r="AC1286" s="243"/>
      <c r="AD1286" s="243"/>
      <c r="AE1286" s="243"/>
      <c r="AF1286" s="243"/>
      <c r="AG1286" s="243"/>
      <c r="AH1286" s="243"/>
      <c r="AI1286" s="243"/>
      <c r="AJ1286" s="243"/>
    </row>
    <row r="1287" hidden="1">
      <c r="A1287" s="241"/>
      <c r="B1287" s="241"/>
      <c r="C1287" s="241"/>
      <c r="D1287" s="241"/>
      <c r="E1287" s="241"/>
      <c r="F1287" s="241"/>
      <c r="G1287" s="241"/>
      <c r="H1287" s="241"/>
      <c r="I1287" s="241"/>
      <c r="J1287" s="241"/>
      <c r="K1287" s="241"/>
      <c r="L1287" s="242"/>
      <c r="M1287" s="241"/>
      <c r="N1287" s="241"/>
      <c r="O1287" s="241"/>
      <c r="P1287" s="241"/>
      <c r="Q1287" s="241"/>
      <c r="R1287" s="241"/>
      <c r="S1287" s="241"/>
      <c r="T1287" s="241"/>
      <c r="U1287" s="241"/>
      <c r="V1287" s="241"/>
      <c r="W1287" s="241"/>
      <c r="X1287" s="243"/>
      <c r="Y1287" s="243"/>
      <c r="Z1287" s="243"/>
      <c r="AA1287" s="243"/>
      <c r="AB1287" s="243"/>
      <c r="AC1287" s="243"/>
      <c r="AD1287" s="243"/>
      <c r="AE1287" s="243"/>
      <c r="AF1287" s="243"/>
      <c r="AG1287" s="243"/>
      <c r="AH1287" s="243"/>
      <c r="AI1287" s="243"/>
      <c r="AJ1287" s="243"/>
    </row>
    <row r="1288" hidden="1">
      <c r="A1288" s="241"/>
      <c r="B1288" s="241"/>
      <c r="C1288" s="241"/>
      <c r="D1288" s="241"/>
      <c r="E1288" s="241"/>
      <c r="F1288" s="241"/>
      <c r="G1288" s="241"/>
      <c r="H1288" s="241"/>
      <c r="I1288" s="241"/>
      <c r="J1288" s="241"/>
      <c r="K1288" s="241"/>
      <c r="L1288" s="242"/>
      <c r="M1288" s="241"/>
      <c r="N1288" s="241"/>
      <c r="O1288" s="241"/>
      <c r="P1288" s="241"/>
      <c r="Q1288" s="241"/>
      <c r="R1288" s="241"/>
      <c r="S1288" s="241"/>
      <c r="T1288" s="241"/>
      <c r="U1288" s="241"/>
      <c r="V1288" s="241"/>
      <c r="W1288" s="241"/>
      <c r="X1288" s="243"/>
      <c r="Y1288" s="243"/>
      <c r="Z1288" s="243"/>
      <c r="AA1288" s="243"/>
      <c r="AB1288" s="243"/>
      <c r="AC1288" s="243"/>
      <c r="AD1288" s="243"/>
      <c r="AE1288" s="243"/>
      <c r="AF1288" s="243"/>
      <c r="AG1288" s="243"/>
      <c r="AH1288" s="243"/>
      <c r="AI1288" s="243"/>
      <c r="AJ1288" s="243"/>
    </row>
    <row r="1289" hidden="1">
      <c r="A1289" s="241"/>
      <c r="B1289" s="241"/>
      <c r="C1289" s="241"/>
      <c r="D1289" s="241"/>
      <c r="E1289" s="241"/>
      <c r="F1289" s="241"/>
      <c r="G1289" s="241"/>
      <c r="H1289" s="241"/>
      <c r="I1289" s="241"/>
      <c r="J1289" s="241"/>
      <c r="K1289" s="241"/>
      <c r="L1289" s="242"/>
      <c r="M1289" s="241"/>
      <c r="N1289" s="241"/>
      <c r="O1289" s="241"/>
      <c r="P1289" s="241"/>
      <c r="Q1289" s="241"/>
      <c r="R1289" s="241"/>
      <c r="S1289" s="241"/>
      <c r="T1289" s="241"/>
      <c r="U1289" s="241"/>
      <c r="V1289" s="241"/>
      <c r="W1289" s="241"/>
      <c r="X1289" s="243"/>
      <c r="Y1289" s="243"/>
      <c r="Z1289" s="243"/>
      <c r="AA1289" s="243"/>
      <c r="AB1289" s="243"/>
      <c r="AC1289" s="243"/>
      <c r="AD1289" s="243"/>
      <c r="AE1289" s="243"/>
      <c r="AF1289" s="243"/>
      <c r="AG1289" s="243"/>
      <c r="AH1289" s="243"/>
      <c r="AI1289" s="243"/>
      <c r="AJ1289" s="243"/>
    </row>
    <row r="1290" hidden="1">
      <c r="A1290" s="241"/>
      <c r="B1290" s="241"/>
      <c r="C1290" s="241"/>
      <c r="D1290" s="241"/>
      <c r="E1290" s="241"/>
      <c r="F1290" s="241"/>
      <c r="G1290" s="241"/>
      <c r="H1290" s="241"/>
      <c r="I1290" s="241"/>
      <c r="J1290" s="241"/>
      <c r="K1290" s="241"/>
      <c r="L1290" s="242"/>
      <c r="M1290" s="241"/>
      <c r="N1290" s="241"/>
      <c r="O1290" s="241"/>
      <c r="P1290" s="241"/>
      <c r="Q1290" s="241"/>
      <c r="R1290" s="241"/>
      <c r="S1290" s="241"/>
      <c r="T1290" s="241"/>
      <c r="U1290" s="241"/>
      <c r="V1290" s="241"/>
      <c r="W1290" s="241"/>
      <c r="X1290" s="243"/>
      <c r="Y1290" s="243"/>
      <c r="Z1290" s="243"/>
      <c r="AA1290" s="243"/>
      <c r="AB1290" s="243"/>
      <c r="AC1290" s="243"/>
      <c r="AD1290" s="243"/>
      <c r="AE1290" s="243"/>
      <c r="AF1290" s="243"/>
      <c r="AG1290" s="243"/>
      <c r="AH1290" s="243"/>
      <c r="AI1290" s="243"/>
      <c r="AJ1290" s="243"/>
    </row>
    <row r="1291" hidden="1">
      <c r="A1291" s="241"/>
      <c r="B1291" s="241"/>
      <c r="C1291" s="241"/>
      <c r="D1291" s="241"/>
      <c r="E1291" s="241"/>
      <c r="F1291" s="241"/>
      <c r="G1291" s="241"/>
      <c r="H1291" s="241"/>
      <c r="I1291" s="241"/>
      <c r="J1291" s="241"/>
      <c r="K1291" s="241"/>
      <c r="L1291" s="242"/>
      <c r="M1291" s="241"/>
      <c r="N1291" s="241"/>
      <c r="O1291" s="241"/>
      <c r="P1291" s="241"/>
      <c r="Q1291" s="241"/>
      <c r="R1291" s="241"/>
      <c r="S1291" s="241"/>
      <c r="T1291" s="241"/>
      <c r="U1291" s="241"/>
      <c r="V1291" s="241"/>
      <c r="W1291" s="241"/>
      <c r="X1291" s="243"/>
      <c r="Y1291" s="243"/>
      <c r="Z1291" s="243"/>
      <c r="AA1291" s="243"/>
      <c r="AB1291" s="243"/>
      <c r="AC1291" s="243"/>
      <c r="AD1291" s="243"/>
      <c r="AE1291" s="243"/>
      <c r="AF1291" s="243"/>
      <c r="AG1291" s="243"/>
      <c r="AH1291" s="243"/>
      <c r="AI1291" s="243"/>
      <c r="AJ1291" s="243"/>
    </row>
    <row r="1292" hidden="1">
      <c r="A1292" s="241"/>
      <c r="B1292" s="241"/>
      <c r="C1292" s="241"/>
      <c r="D1292" s="241"/>
      <c r="E1292" s="241"/>
      <c r="F1292" s="241"/>
      <c r="G1292" s="241"/>
      <c r="H1292" s="241"/>
      <c r="I1292" s="241"/>
      <c r="J1292" s="241"/>
      <c r="K1292" s="241"/>
      <c r="L1292" s="242"/>
      <c r="M1292" s="241"/>
      <c r="N1292" s="241"/>
      <c r="O1292" s="241"/>
      <c r="P1292" s="241"/>
      <c r="Q1292" s="241"/>
      <c r="R1292" s="241"/>
      <c r="S1292" s="241"/>
      <c r="T1292" s="241"/>
      <c r="U1292" s="241"/>
      <c r="V1292" s="241"/>
      <c r="W1292" s="241"/>
      <c r="X1292" s="243"/>
      <c r="Y1292" s="243"/>
      <c r="Z1292" s="243"/>
      <c r="AA1292" s="243"/>
      <c r="AB1292" s="243"/>
      <c r="AC1292" s="243"/>
      <c r="AD1292" s="243"/>
      <c r="AE1292" s="243"/>
      <c r="AF1292" s="243"/>
      <c r="AG1292" s="243"/>
      <c r="AH1292" s="243"/>
      <c r="AI1292" s="243"/>
      <c r="AJ1292" s="243"/>
    </row>
    <row r="1293" hidden="1">
      <c r="A1293" s="241"/>
      <c r="B1293" s="241"/>
      <c r="C1293" s="241"/>
      <c r="D1293" s="241"/>
      <c r="E1293" s="241"/>
      <c r="F1293" s="241"/>
      <c r="G1293" s="241"/>
      <c r="H1293" s="241"/>
      <c r="I1293" s="241"/>
      <c r="J1293" s="241"/>
      <c r="K1293" s="241"/>
      <c r="L1293" s="242"/>
      <c r="M1293" s="241"/>
      <c r="N1293" s="241"/>
      <c r="O1293" s="241"/>
      <c r="P1293" s="241"/>
      <c r="Q1293" s="241"/>
      <c r="R1293" s="241"/>
      <c r="S1293" s="241"/>
      <c r="T1293" s="241"/>
      <c r="U1293" s="241"/>
      <c r="V1293" s="241"/>
      <c r="W1293" s="241"/>
      <c r="X1293" s="243"/>
      <c r="Y1293" s="243"/>
      <c r="Z1293" s="243"/>
      <c r="AA1293" s="243"/>
      <c r="AB1293" s="243"/>
      <c r="AC1293" s="243"/>
      <c r="AD1293" s="243"/>
      <c r="AE1293" s="243"/>
      <c r="AF1293" s="243"/>
      <c r="AG1293" s="243"/>
      <c r="AH1293" s="243"/>
      <c r="AI1293" s="243"/>
      <c r="AJ1293" s="243"/>
    </row>
    <row r="1294" hidden="1">
      <c r="A1294" s="241"/>
      <c r="B1294" s="241"/>
      <c r="C1294" s="241"/>
      <c r="D1294" s="241"/>
      <c r="E1294" s="241"/>
      <c r="F1294" s="241"/>
      <c r="G1294" s="241"/>
      <c r="H1294" s="241"/>
      <c r="I1294" s="241"/>
      <c r="J1294" s="241"/>
      <c r="K1294" s="241"/>
      <c r="L1294" s="242"/>
      <c r="M1294" s="241"/>
      <c r="N1294" s="241"/>
      <c r="O1294" s="241"/>
      <c r="P1294" s="241"/>
      <c r="Q1294" s="241"/>
      <c r="R1294" s="241"/>
      <c r="S1294" s="241"/>
      <c r="T1294" s="241"/>
      <c r="U1294" s="241"/>
      <c r="V1294" s="241"/>
      <c r="W1294" s="241"/>
      <c r="X1294" s="243"/>
      <c r="Y1294" s="243"/>
      <c r="Z1294" s="243"/>
      <c r="AA1294" s="243"/>
      <c r="AB1294" s="243"/>
      <c r="AC1294" s="243"/>
      <c r="AD1294" s="243"/>
      <c r="AE1294" s="243"/>
      <c r="AF1294" s="243"/>
      <c r="AG1294" s="243"/>
      <c r="AH1294" s="243"/>
      <c r="AI1294" s="243"/>
      <c r="AJ1294" s="243"/>
    </row>
    <row r="1295" hidden="1">
      <c r="A1295" s="241"/>
      <c r="B1295" s="241"/>
      <c r="C1295" s="241"/>
      <c r="D1295" s="241"/>
      <c r="E1295" s="241"/>
      <c r="F1295" s="241"/>
      <c r="G1295" s="241"/>
      <c r="H1295" s="241"/>
      <c r="I1295" s="241"/>
      <c r="J1295" s="241"/>
      <c r="K1295" s="241"/>
      <c r="L1295" s="242"/>
      <c r="M1295" s="241"/>
      <c r="N1295" s="241"/>
      <c r="O1295" s="241"/>
      <c r="P1295" s="241"/>
      <c r="Q1295" s="241"/>
      <c r="R1295" s="241"/>
      <c r="S1295" s="241"/>
      <c r="T1295" s="241"/>
      <c r="U1295" s="241"/>
      <c r="V1295" s="241"/>
      <c r="W1295" s="241"/>
      <c r="X1295" s="243"/>
      <c r="Y1295" s="243"/>
      <c r="Z1295" s="243"/>
      <c r="AA1295" s="243"/>
      <c r="AB1295" s="243"/>
      <c r="AC1295" s="243"/>
      <c r="AD1295" s="243"/>
      <c r="AE1295" s="243"/>
      <c r="AF1295" s="243"/>
      <c r="AG1295" s="243"/>
      <c r="AH1295" s="243"/>
      <c r="AI1295" s="243"/>
      <c r="AJ1295" s="243"/>
    </row>
    <row r="1296" hidden="1">
      <c r="A1296" s="241"/>
      <c r="B1296" s="241"/>
      <c r="C1296" s="241"/>
      <c r="D1296" s="241"/>
      <c r="E1296" s="241"/>
      <c r="F1296" s="241"/>
      <c r="G1296" s="241"/>
      <c r="H1296" s="241"/>
      <c r="I1296" s="241"/>
      <c r="J1296" s="241"/>
      <c r="K1296" s="241"/>
      <c r="L1296" s="242"/>
      <c r="M1296" s="241"/>
      <c r="N1296" s="241"/>
      <c r="O1296" s="241"/>
      <c r="P1296" s="241"/>
      <c r="Q1296" s="241"/>
      <c r="R1296" s="241"/>
      <c r="S1296" s="241"/>
      <c r="T1296" s="241"/>
      <c r="U1296" s="241"/>
      <c r="V1296" s="241"/>
      <c r="W1296" s="241"/>
      <c r="X1296" s="243"/>
      <c r="Y1296" s="243"/>
      <c r="Z1296" s="243"/>
      <c r="AA1296" s="243"/>
      <c r="AB1296" s="243"/>
      <c r="AC1296" s="243"/>
      <c r="AD1296" s="243"/>
      <c r="AE1296" s="243"/>
      <c r="AF1296" s="243"/>
      <c r="AG1296" s="243"/>
      <c r="AH1296" s="243"/>
      <c r="AI1296" s="243"/>
      <c r="AJ1296" s="243"/>
    </row>
    <row r="1297" hidden="1">
      <c r="A1297" s="241"/>
      <c r="B1297" s="241"/>
      <c r="C1297" s="241"/>
      <c r="D1297" s="241"/>
      <c r="E1297" s="241"/>
      <c r="F1297" s="241"/>
      <c r="G1297" s="241"/>
      <c r="H1297" s="241"/>
      <c r="I1297" s="241"/>
      <c r="J1297" s="241"/>
      <c r="K1297" s="241"/>
      <c r="L1297" s="242"/>
      <c r="M1297" s="241"/>
      <c r="N1297" s="241"/>
      <c r="O1297" s="241"/>
      <c r="P1297" s="241"/>
      <c r="Q1297" s="241"/>
      <c r="R1297" s="241"/>
      <c r="S1297" s="241"/>
      <c r="T1297" s="241"/>
      <c r="U1297" s="241"/>
      <c r="V1297" s="241"/>
      <c r="W1297" s="241"/>
      <c r="X1297" s="243"/>
      <c r="Y1297" s="243"/>
      <c r="Z1297" s="243"/>
      <c r="AA1297" s="243"/>
      <c r="AB1297" s="243"/>
      <c r="AC1297" s="243"/>
      <c r="AD1297" s="243"/>
      <c r="AE1297" s="243"/>
      <c r="AF1297" s="243"/>
      <c r="AG1297" s="243"/>
      <c r="AH1297" s="243"/>
      <c r="AI1297" s="243"/>
      <c r="AJ1297" s="243"/>
    </row>
    <row r="1298" hidden="1">
      <c r="A1298" s="241"/>
      <c r="B1298" s="241"/>
      <c r="C1298" s="241"/>
      <c r="D1298" s="241"/>
      <c r="E1298" s="241"/>
      <c r="F1298" s="241"/>
      <c r="G1298" s="241"/>
      <c r="H1298" s="241"/>
      <c r="I1298" s="241"/>
      <c r="J1298" s="241"/>
      <c r="K1298" s="241"/>
      <c r="L1298" s="242"/>
      <c r="M1298" s="241"/>
      <c r="N1298" s="241"/>
      <c r="O1298" s="241"/>
      <c r="P1298" s="241"/>
      <c r="Q1298" s="241"/>
      <c r="R1298" s="241"/>
      <c r="S1298" s="241"/>
      <c r="T1298" s="241"/>
      <c r="U1298" s="241"/>
      <c r="V1298" s="241"/>
      <c r="W1298" s="241"/>
      <c r="X1298" s="243"/>
      <c r="Y1298" s="243"/>
      <c r="Z1298" s="243"/>
      <c r="AA1298" s="243"/>
      <c r="AB1298" s="243"/>
      <c r="AC1298" s="243"/>
      <c r="AD1298" s="243"/>
      <c r="AE1298" s="243"/>
      <c r="AF1298" s="243"/>
      <c r="AG1298" s="243"/>
      <c r="AH1298" s="243"/>
      <c r="AI1298" s="243"/>
      <c r="AJ1298" s="243"/>
    </row>
    <row r="1299" hidden="1">
      <c r="A1299" s="241"/>
      <c r="B1299" s="241"/>
      <c r="C1299" s="241"/>
      <c r="D1299" s="241"/>
      <c r="E1299" s="241"/>
      <c r="F1299" s="241"/>
      <c r="G1299" s="241"/>
      <c r="H1299" s="241"/>
      <c r="I1299" s="241"/>
      <c r="J1299" s="241"/>
      <c r="K1299" s="241"/>
      <c r="L1299" s="242"/>
      <c r="M1299" s="241"/>
      <c r="N1299" s="241"/>
      <c r="O1299" s="241"/>
      <c r="P1299" s="241"/>
      <c r="Q1299" s="241"/>
      <c r="R1299" s="241"/>
      <c r="S1299" s="241"/>
      <c r="T1299" s="241"/>
      <c r="U1299" s="241"/>
      <c r="V1299" s="241"/>
      <c r="W1299" s="241"/>
      <c r="X1299" s="243"/>
      <c r="Y1299" s="243"/>
      <c r="Z1299" s="243"/>
      <c r="AA1299" s="243"/>
      <c r="AB1299" s="243"/>
      <c r="AC1299" s="243"/>
      <c r="AD1299" s="243"/>
      <c r="AE1299" s="243"/>
      <c r="AF1299" s="243"/>
      <c r="AG1299" s="243"/>
      <c r="AH1299" s="243"/>
      <c r="AI1299" s="243"/>
      <c r="AJ1299" s="243"/>
    </row>
    <row r="1300" hidden="1">
      <c r="A1300" s="241"/>
      <c r="B1300" s="241"/>
      <c r="C1300" s="241"/>
      <c r="D1300" s="241"/>
      <c r="E1300" s="241"/>
      <c r="F1300" s="241"/>
      <c r="G1300" s="241"/>
      <c r="H1300" s="241"/>
      <c r="I1300" s="241"/>
      <c r="J1300" s="241"/>
      <c r="K1300" s="241"/>
      <c r="L1300" s="242"/>
      <c r="M1300" s="241"/>
      <c r="N1300" s="241"/>
      <c r="O1300" s="241"/>
      <c r="P1300" s="241"/>
      <c r="Q1300" s="241"/>
      <c r="R1300" s="241"/>
      <c r="S1300" s="241"/>
      <c r="T1300" s="241"/>
      <c r="U1300" s="241"/>
      <c r="V1300" s="241"/>
      <c r="W1300" s="241"/>
      <c r="X1300" s="243"/>
      <c r="Y1300" s="243"/>
      <c r="Z1300" s="243"/>
      <c r="AA1300" s="243"/>
      <c r="AB1300" s="243"/>
      <c r="AC1300" s="243"/>
      <c r="AD1300" s="243"/>
      <c r="AE1300" s="243"/>
      <c r="AF1300" s="243"/>
      <c r="AG1300" s="243"/>
      <c r="AH1300" s="243"/>
      <c r="AI1300" s="243"/>
      <c r="AJ1300" s="243"/>
    </row>
    <row r="1301" hidden="1">
      <c r="A1301" s="241"/>
      <c r="B1301" s="241"/>
      <c r="C1301" s="241"/>
      <c r="D1301" s="241"/>
      <c r="E1301" s="241"/>
      <c r="F1301" s="241"/>
      <c r="G1301" s="241"/>
      <c r="H1301" s="241"/>
      <c r="I1301" s="241"/>
      <c r="J1301" s="241"/>
      <c r="K1301" s="241"/>
      <c r="L1301" s="242"/>
      <c r="M1301" s="241"/>
      <c r="N1301" s="241"/>
      <c r="O1301" s="241"/>
      <c r="P1301" s="241"/>
      <c r="Q1301" s="241"/>
      <c r="R1301" s="241"/>
      <c r="S1301" s="241"/>
      <c r="T1301" s="241"/>
      <c r="U1301" s="241"/>
      <c r="V1301" s="241"/>
      <c r="W1301" s="241"/>
      <c r="X1301" s="243"/>
      <c r="Y1301" s="243"/>
      <c r="Z1301" s="243"/>
      <c r="AA1301" s="243"/>
      <c r="AB1301" s="243"/>
      <c r="AC1301" s="243"/>
      <c r="AD1301" s="243"/>
      <c r="AE1301" s="243"/>
      <c r="AF1301" s="243"/>
      <c r="AG1301" s="243"/>
      <c r="AH1301" s="243"/>
      <c r="AI1301" s="243"/>
      <c r="AJ1301" s="243"/>
    </row>
    <row r="1302" hidden="1">
      <c r="A1302" s="241"/>
      <c r="B1302" s="241"/>
      <c r="C1302" s="241"/>
      <c r="D1302" s="241"/>
      <c r="E1302" s="241"/>
      <c r="F1302" s="241"/>
      <c r="G1302" s="241"/>
      <c r="H1302" s="241"/>
      <c r="I1302" s="241"/>
      <c r="J1302" s="241"/>
      <c r="K1302" s="241"/>
      <c r="L1302" s="242"/>
      <c r="M1302" s="241"/>
      <c r="N1302" s="241"/>
      <c r="O1302" s="241"/>
      <c r="P1302" s="241"/>
      <c r="Q1302" s="241"/>
      <c r="R1302" s="241"/>
      <c r="S1302" s="241"/>
      <c r="T1302" s="241"/>
      <c r="U1302" s="241"/>
      <c r="V1302" s="241"/>
      <c r="W1302" s="241"/>
      <c r="X1302" s="243"/>
      <c r="Y1302" s="243"/>
      <c r="Z1302" s="243"/>
      <c r="AA1302" s="243"/>
      <c r="AB1302" s="243"/>
      <c r="AC1302" s="243"/>
      <c r="AD1302" s="243"/>
      <c r="AE1302" s="243"/>
      <c r="AF1302" s="243"/>
      <c r="AG1302" s="243"/>
      <c r="AH1302" s="243"/>
      <c r="AI1302" s="243"/>
      <c r="AJ1302" s="243"/>
    </row>
    <row r="1303" hidden="1">
      <c r="A1303" s="241"/>
      <c r="B1303" s="241"/>
      <c r="C1303" s="241"/>
      <c r="D1303" s="241"/>
      <c r="E1303" s="241"/>
      <c r="F1303" s="241"/>
      <c r="G1303" s="241"/>
      <c r="H1303" s="241"/>
      <c r="I1303" s="241"/>
      <c r="J1303" s="241"/>
      <c r="K1303" s="241"/>
      <c r="L1303" s="242"/>
      <c r="M1303" s="241"/>
      <c r="N1303" s="241"/>
      <c r="O1303" s="241"/>
      <c r="P1303" s="241"/>
      <c r="Q1303" s="241"/>
      <c r="R1303" s="241"/>
      <c r="S1303" s="241"/>
      <c r="T1303" s="241"/>
      <c r="U1303" s="241"/>
      <c r="V1303" s="241"/>
      <c r="W1303" s="241"/>
      <c r="X1303" s="243"/>
      <c r="Y1303" s="243"/>
      <c r="Z1303" s="243"/>
      <c r="AA1303" s="243"/>
      <c r="AB1303" s="243"/>
      <c r="AC1303" s="243"/>
      <c r="AD1303" s="243"/>
      <c r="AE1303" s="243"/>
      <c r="AF1303" s="243"/>
      <c r="AG1303" s="243"/>
      <c r="AH1303" s="243"/>
      <c r="AI1303" s="243"/>
      <c r="AJ1303" s="243"/>
    </row>
    <row r="1304" hidden="1">
      <c r="A1304" s="241"/>
      <c r="B1304" s="241"/>
      <c r="C1304" s="241"/>
      <c r="D1304" s="241"/>
      <c r="E1304" s="241"/>
      <c r="F1304" s="241"/>
      <c r="G1304" s="241"/>
      <c r="H1304" s="241"/>
      <c r="I1304" s="241"/>
      <c r="J1304" s="241"/>
      <c r="K1304" s="241"/>
      <c r="L1304" s="242"/>
      <c r="M1304" s="241"/>
      <c r="N1304" s="241"/>
      <c r="O1304" s="241"/>
      <c r="P1304" s="241"/>
      <c r="Q1304" s="241"/>
      <c r="R1304" s="241"/>
      <c r="S1304" s="241"/>
      <c r="T1304" s="241"/>
      <c r="U1304" s="241"/>
      <c r="V1304" s="241"/>
      <c r="W1304" s="241"/>
      <c r="X1304" s="243"/>
      <c r="Y1304" s="243"/>
      <c r="Z1304" s="243"/>
      <c r="AA1304" s="243"/>
      <c r="AB1304" s="243"/>
      <c r="AC1304" s="243"/>
      <c r="AD1304" s="243"/>
      <c r="AE1304" s="243"/>
      <c r="AF1304" s="243"/>
      <c r="AG1304" s="243"/>
      <c r="AH1304" s="243"/>
      <c r="AI1304" s="243"/>
      <c r="AJ1304" s="243"/>
    </row>
    <row r="1305" hidden="1">
      <c r="A1305" s="241"/>
      <c r="B1305" s="241"/>
      <c r="C1305" s="241"/>
      <c r="D1305" s="241"/>
      <c r="E1305" s="241"/>
      <c r="F1305" s="241"/>
      <c r="G1305" s="241"/>
      <c r="H1305" s="241"/>
      <c r="I1305" s="241"/>
      <c r="J1305" s="241"/>
      <c r="K1305" s="241"/>
      <c r="L1305" s="242"/>
      <c r="M1305" s="241"/>
      <c r="N1305" s="241"/>
      <c r="O1305" s="241"/>
      <c r="P1305" s="241"/>
      <c r="Q1305" s="241"/>
      <c r="R1305" s="241"/>
      <c r="S1305" s="241"/>
      <c r="T1305" s="241"/>
      <c r="U1305" s="241"/>
      <c r="V1305" s="241"/>
      <c r="W1305" s="241"/>
      <c r="X1305" s="243"/>
      <c r="Y1305" s="243"/>
      <c r="Z1305" s="243"/>
      <c r="AA1305" s="243"/>
      <c r="AB1305" s="243"/>
      <c r="AC1305" s="243"/>
      <c r="AD1305" s="243"/>
      <c r="AE1305" s="243"/>
      <c r="AF1305" s="243"/>
      <c r="AG1305" s="243"/>
      <c r="AH1305" s="243"/>
      <c r="AI1305" s="243"/>
      <c r="AJ1305" s="243"/>
    </row>
    <row r="1306" hidden="1">
      <c r="A1306" s="241"/>
      <c r="B1306" s="241"/>
      <c r="C1306" s="241"/>
      <c r="D1306" s="241"/>
      <c r="E1306" s="241"/>
      <c r="F1306" s="241"/>
      <c r="G1306" s="241"/>
      <c r="H1306" s="241"/>
      <c r="I1306" s="241"/>
      <c r="J1306" s="241"/>
      <c r="K1306" s="241"/>
      <c r="L1306" s="242"/>
      <c r="M1306" s="241"/>
      <c r="N1306" s="241"/>
      <c r="O1306" s="241"/>
      <c r="P1306" s="241"/>
      <c r="Q1306" s="241"/>
      <c r="R1306" s="241"/>
      <c r="S1306" s="241"/>
      <c r="T1306" s="241"/>
      <c r="U1306" s="241"/>
      <c r="V1306" s="241"/>
      <c r="W1306" s="241"/>
      <c r="X1306" s="243"/>
      <c r="Y1306" s="243"/>
      <c r="Z1306" s="243"/>
      <c r="AA1306" s="243"/>
      <c r="AB1306" s="243"/>
      <c r="AC1306" s="243"/>
      <c r="AD1306" s="243"/>
      <c r="AE1306" s="243"/>
      <c r="AF1306" s="243"/>
      <c r="AG1306" s="243"/>
      <c r="AH1306" s="243"/>
      <c r="AI1306" s="243"/>
      <c r="AJ1306" s="243"/>
    </row>
    <row r="1307" hidden="1">
      <c r="A1307" s="241"/>
      <c r="B1307" s="241"/>
      <c r="C1307" s="241"/>
      <c r="D1307" s="241"/>
      <c r="E1307" s="241"/>
      <c r="F1307" s="241"/>
      <c r="G1307" s="241"/>
      <c r="H1307" s="241"/>
      <c r="I1307" s="241"/>
      <c r="J1307" s="241"/>
      <c r="K1307" s="241"/>
      <c r="L1307" s="242"/>
      <c r="M1307" s="241"/>
      <c r="N1307" s="241"/>
      <c r="O1307" s="241"/>
      <c r="P1307" s="241"/>
      <c r="Q1307" s="241"/>
      <c r="R1307" s="241"/>
      <c r="S1307" s="241"/>
      <c r="T1307" s="241"/>
      <c r="U1307" s="241"/>
      <c r="V1307" s="241"/>
      <c r="W1307" s="241"/>
      <c r="X1307" s="243"/>
      <c r="Y1307" s="243"/>
      <c r="Z1307" s="243"/>
      <c r="AA1307" s="243"/>
      <c r="AB1307" s="243"/>
      <c r="AC1307" s="243"/>
      <c r="AD1307" s="243"/>
      <c r="AE1307" s="243"/>
      <c r="AF1307" s="243"/>
      <c r="AG1307" s="243"/>
      <c r="AH1307" s="243"/>
      <c r="AI1307" s="243"/>
      <c r="AJ1307" s="243"/>
    </row>
    <row r="1308" hidden="1">
      <c r="A1308" s="241"/>
      <c r="B1308" s="241"/>
      <c r="C1308" s="241"/>
      <c r="D1308" s="241"/>
      <c r="E1308" s="241"/>
      <c r="F1308" s="241"/>
      <c r="G1308" s="241"/>
      <c r="H1308" s="241"/>
      <c r="I1308" s="241"/>
      <c r="J1308" s="241"/>
      <c r="K1308" s="241"/>
      <c r="L1308" s="242"/>
      <c r="M1308" s="241"/>
      <c r="N1308" s="241"/>
      <c r="O1308" s="241"/>
      <c r="P1308" s="241"/>
      <c r="Q1308" s="241"/>
      <c r="R1308" s="241"/>
      <c r="S1308" s="241"/>
      <c r="T1308" s="241"/>
      <c r="U1308" s="241"/>
      <c r="V1308" s="241"/>
      <c r="W1308" s="241"/>
      <c r="X1308" s="243"/>
      <c r="Y1308" s="243"/>
      <c r="Z1308" s="243"/>
      <c r="AA1308" s="243"/>
      <c r="AB1308" s="243"/>
      <c r="AC1308" s="243"/>
      <c r="AD1308" s="243"/>
      <c r="AE1308" s="243"/>
      <c r="AF1308" s="243"/>
      <c r="AG1308" s="243"/>
      <c r="AH1308" s="243"/>
      <c r="AI1308" s="243"/>
      <c r="AJ1308" s="243"/>
    </row>
    <row r="1309" hidden="1">
      <c r="A1309" s="241"/>
      <c r="B1309" s="241"/>
      <c r="C1309" s="241"/>
      <c r="D1309" s="241"/>
      <c r="E1309" s="241"/>
      <c r="F1309" s="241"/>
      <c r="G1309" s="241"/>
      <c r="H1309" s="241"/>
      <c r="I1309" s="241"/>
      <c r="J1309" s="241"/>
      <c r="K1309" s="241"/>
      <c r="L1309" s="242"/>
      <c r="M1309" s="241"/>
      <c r="N1309" s="241"/>
      <c r="O1309" s="241"/>
      <c r="P1309" s="241"/>
      <c r="Q1309" s="241"/>
      <c r="R1309" s="241"/>
      <c r="S1309" s="241"/>
      <c r="T1309" s="241"/>
      <c r="U1309" s="241"/>
      <c r="V1309" s="241"/>
      <c r="W1309" s="241"/>
      <c r="X1309" s="243"/>
      <c r="Y1309" s="243"/>
      <c r="Z1309" s="243"/>
      <c r="AA1309" s="243"/>
      <c r="AB1309" s="243"/>
      <c r="AC1309" s="243"/>
      <c r="AD1309" s="243"/>
      <c r="AE1309" s="243"/>
      <c r="AF1309" s="243"/>
      <c r="AG1309" s="243"/>
      <c r="AH1309" s="243"/>
      <c r="AI1309" s="243"/>
      <c r="AJ1309" s="243"/>
    </row>
    <row r="1310" hidden="1">
      <c r="A1310" s="241"/>
      <c r="B1310" s="241"/>
      <c r="C1310" s="241"/>
      <c r="D1310" s="241"/>
      <c r="E1310" s="241"/>
      <c r="F1310" s="241"/>
      <c r="G1310" s="241"/>
      <c r="H1310" s="241"/>
      <c r="I1310" s="241"/>
      <c r="J1310" s="241"/>
      <c r="K1310" s="241"/>
      <c r="L1310" s="242"/>
      <c r="M1310" s="241"/>
      <c r="N1310" s="241"/>
      <c r="O1310" s="241"/>
      <c r="P1310" s="241"/>
      <c r="Q1310" s="241"/>
      <c r="R1310" s="241"/>
      <c r="S1310" s="241"/>
      <c r="T1310" s="241"/>
      <c r="U1310" s="241"/>
      <c r="V1310" s="241"/>
      <c r="W1310" s="241"/>
      <c r="X1310" s="243"/>
      <c r="Y1310" s="243"/>
      <c r="Z1310" s="243"/>
      <c r="AA1310" s="243"/>
      <c r="AB1310" s="243"/>
      <c r="AC1310" s="243"/>
      <c r="AD1310" s="243"/>
      <c r="AE1310" s="243"/>
      <c r="AF1310" s="243"/>
      <c r="AG1310" s="243"/>
      <c r="AH1310" s="243"/>
      <c r="AI1310" s="243"/>
      <c r="AJ1310" s="243"/>
    </row>
    <row r="1311" hidden="1">
      <c r="A1311" s="241"/>
      <c r="B1311" s="241"/>
      <c r="C1311" s="241"/>
      <c r="D1311" s="241"/>
      <c r="E1311" s="241"/>
      <c r="F1311" s="241"/>
      <c r="G1311" s="241"/>
      <c r="H1311" s="241"/>
      <c r="I1311" s="241"/>
      <c r="J1311" s="241"/>
      <c r="K1311" s="241"/>
      <c r="L1311" s="242"/>
      <c r="M1311" s="241"/>
      <c r="N1311" s="241"/>
      <c r="O1311" s="241"/>
      <c r="P1311" s="241"/>
      <c r="Q1311" s="241"/>
      <c r="R1311" s="241"/>
      <c r="S1311" s="241"/>
      <c r="T1311" s="241"/>
      <c r="U1311" s="241"/>
      <c r="V1311" s="241"/>
      <c r="W1311" s="241"/>
      <c r="X1311" s="243"/>
      <c r="Y1311" s="243"/>
      <c r="Z1311" s="243"/>
      <c r="AA1311" s="243"/>
      <c r="AB1311" s="243"/>
      <c r="AC1311" s="243"/>
      <c r="AD1311" s="243"/>
      <c r="AE1311" s="243"/>
      <c r="AF1311" s="243"/>
      <c r="AG1311" s="243"/>
      <c r="AH1311" s="243"/>
      <c r="AI1311" s="243"/>
      <c r="AJ1311" s="243"/>
    </row>
    <row r="1312" hidden="1">
      <c r="A1312" s="241"/>
      <c r="B1312" s="241"/>
      <c r="C1312" s="241"/>
      <c r="D1312" s="241"/>
      <c r="E1312" s="241"/>
      <c r="F1312" s="241"/>
      <c r="G1312" s="241"/>
      <c r="H1312" s="241"/>
      <c r="I1312" s="241"/>
      <c r="J1312" s="241"/>
      <c r="K1312" s="241"/>
      <c r="L1312" s="242"/>
      <c r="M1312" s="241"/>
      <c r="N1312" s="241"/>
      <c r="O1312" s="241"/>
      <c r="P1312" s="241"/>
      <c r="Q1312" s="241"/>
      <c r="R1312" s="241"/>
      <c r="S1312" s="241"/>
      <c r="T1312" s="241"/>
      <c r="U1312" s="241"/>
      <c r="V1312" s="241"/>
      <c r="W1312" s="241"/>
      <c r="X1312" s="243"/>
      <c r="Y1312" s="243"/>
      <c r="Z1312" s="243"/>
      <c r="AA1312" s="243"/>
      <c r="AB1312" s="243"/>
      <c r="AC1312" s="243"/>
      <c r="AD1312" s="243"/>
      <c r="AE1312" s="243"/>
      <c r="AF1312" s="243"/>
      <c r="AG1312" s="243"/>
      <c r="AH1312" s="243"/>
      <c r="AI1312" s="243"/>
      <c r="AJ1312" s="243"/>
    </row>
    <row r="1313" hidden="1">
      <c r="A1313" s="241"/>
      <c r="B1313" s="241"/>
      <c r="C1313" s="241"/>
      <c r="D1313" s="241"/>
      <c r="E1313" s="241"/>
      <c r="F1313" s="241"/>
      <c r="G1313" s="241"/>
      <c r="H1313" s="241"/>
      <c r="I1313" s="241"/>
      <c r="J1313" s="241"/>
      <c r="K1313" s="241"/>
      <c r="L1313" s="242"/>
      <c r="M1313" s="241"/>
      <c r="N1313" s="241"/>
      <c r="O1313" s="241"/>
      <c r="P1313" s="241"/>
      <c r="Q1313" s="241"/>
      <c r="R1313" s="241"/>
      <c r="S1313" s="241"/>
      <c r="T1313" s="241"/>
      <c r="U1313" s="241"/>
      <c r="V1313" s="241"/>
      <c r="W1313" s="241"/>
      <c r="X1313" s="243"/>
      <c r="Y1313" s="243"/>
      <c r="Z1313" s="243"/>
      <c r="AA1313" s="243"/>
      <c r="AB1313" s="243"/>
      <c r="AC1313" s="243"/>
      <c r="AD1313" s="243"/>
      <c r="AE1313" s="243"/>
      <c r="AF1313" s="243"/>
      <c r="AG1313" s="243"/>
      <c r="AH1313" s="243"/>
      <c r="AI1313" s="243"/>
      <c r="AJ1313" s="243"/>
    </row>
    <row r="1314" hidden="1">
      <c r="A1314" s="241"/>
      <c r="B1314" s="241"/>
      <c r="C1314" s="241"/>
      <c r="D1314" s="241"/>
      <c r="E1314" s="241"/>
      <c r="F1314" s="241"/>
      <c r="G1314" s="241"/>
      <c r="H1314" s="241"/>
      <c r="I1314" s="241"/>
      <c r="J1314" s="241"/>
      <c r="K1314" s="241"/>
      <c r="L1314" s="242"/>
      <c r="M1314" s="241"/>
      <c r="N1314" s="241"/>
      <c r="O1314" s="241"/>
      <c r="P1314" s="241"/>
      <c r="Q1314" s="241"/>
      <c r="R1314" s="241"/>
      <c r="S1314" s="241"/>
      <c r="T1314" s="241"/>
      <c r="U1314" s="241"/>
      <c r="V1314" s="241"/>
      <c r="W1314" s="241"/>
      <c r="X1314" s="243"/>
      <c r="Y1314" s="243"/>
      <c r="Z1314" s="243"/>
      <c r="AA1314" s="243"/>
      <c r="AB1314" s="243"/>
      <c r="AC1314" s="243"/>
      <c r="AD1314" s="243"/>
      <c r="AE1314" s="243"/>
      <c r="AF1314" s="243"/>
      <c r="AG1314" s="243"/>
      <c r="AH1314" s="243"/>
      <c r="AI1314" s="243"/>
      <c r="AJ1314" s="243"/>
    </row>
    <row r="1315" hidden="1">
      <c r="A1315" s="241"/>
      <c r="B1315" s="241"/>
      <c r="C1315" s="241"/>
      <c r="D1315" s="241"/>
      <c r="E1315" s="241"/>
      <c r="F1315" s="241"/>
      <c r="G1315" s="241"/>
      <c r="H1315" s="241"/>
      <c r="I1315" s="241"/>
      <c r="J1315" s="241"/>
      <c r="K1315" s="241"/>
      <c r="L1315" s="242"/>
      <c r="M1315" s="241"/>
      <c r="N1315" s="241"/>
      <c r="O1315" s="241"/>
      <c r="P1315" s="241"/>
      <c r="Q1315" s="241"/>
      <c r="R1315" s="241"/>
      <c r="S1315" s="241"/>
      <c r="T1315" s="241"/>
      <c r="U1315" s="241"/>
      <c r="V1315" s="241"/>
      <c r="W1315" s="241"/>
      <c r="X1315" s="243"/>
      <c r="Y1315" s="243"/>
      <c r="Z1315" s="243"/>
      <c r="AA1315" s="243"/>
      <c r="AB1315" s="243"/>
      <c r="AC1315" s="243"/>
      <c r="AD1315" s="243"/>
      <c r="AE1315" s="243"/>
      <c r="AF1315" s="243"/>
      <c r="AG1315" s="243"/>
      <c r="AH1315" s="243"/>
      <c r="AI1315" s="243"/>
      <c r="AJ1315" s="243"/>
    </row>
    <row r="1316" hidden="1">
      <c r="A1316" s="241"/>
      <c r="B1316" s="241"/>
      <c r="C1316" s="241"/>
      <c r="D1316" s="241"/>
      <c r="E1316" s="241"/>
      <c r="F1316" s="241"/>
      <c r="G1316" s="241"/>
      <c r="H1316" s="241"/>
      <c r="I1316" s="241"/>
      <c r="J1316" s="241"/>
      <c r="K1316" s="241"/>
      <c r="L1316" s="242"/>
      <c r="M1316" s="241"/>
      <c r="N1316" s="241"/>
      <c r="O1316" s="241"/>
      <c r="P1316" s="241"/>
      <c r="Q1316" s="241"/>
      <c r="R1316" s="241"/>
      <c r="S1316" s="241"/>
      <c r="T1316" s="241"/>
      <c r="U1316" s="241"/>
      <c r="V1316" s="241"/>
      <c r="W1316" s="241"/>
      <c r="X1316" s="243"/>
      <c r="Y1316" s="243"/>
      <c r="Z1316" s="243"/>
      <c r="AA1316" s="243"/>
      <c r="AB1316" s="243"/>
      <c r="AC1316" s="243"/>
      <c r="AD1316" s="243"/>
      <c r="AE1316" s="243"/>
      <c r="AF1316" s="243"/>
      <c r="AG1316" s="243"/>
      <c r="AH1316" s="243"/>
      <c r="AI1316" s="243"/>
      <c r="AJ1316" s="243"/>
    </row>
    <row r="1317" hidden="1">
      <c r="A1317" s="241"/>
      <c r="B1317" s="241"/>
      <c r="C1317" s="241"/>
      <c r="D1317" s="241"/>
      <c r="E1317" s="241"/>
      <c r="F1317" s="241"/>
      <c r="G1317" s="241"/>
      <c r="H1317" s="241"/>
      <c r="I1317" s="241"/>
      <c r="J1317" s="241"/>
      <c r="K1317" s="241"/>
      <c r="L1317" s="242"/>
      <c r="M1317" s="241"/>
      <c r="N1317" s="241"/>
      <c r="O1317" s="241"/>
      <c r="P1317" s="241"/>
      <c r="Q1317" s="241"/>
      <c r="R1317" s="241"/>
      <c r="S1317" s="241"/>
      <c r="T1317" s="241"/>
      <c r="U1317" s="241"/>
      <c r="V1317" s="241"/>
      <c r="W1317" s="241"/>
      <c r="X1317" s="243"/>
      <c r="Y1317" s="243"/>
      <c r="Z1317" s="243"/>
      <c r="AA1317" s="243"/>
      <c r="AB1317" s="243"/>
      <c r="AC1317" s="243"/>
      <c r="AD1317" s="243"/>
      <c r="AE1317" s="243"/>
      <c r="AF1317" s="243"/>
      <c r="AG1317" s="243"/>
      <c r="AH1317" s="243"/>
      <c r="AI1317" s="243"/>
      <c r="AJ1317" s="243"/>
    </row>
    <row r="1318" hidden="1">
      <c r="A1318" s="241"/>
      <c r="B1318" s="241"/>
      <c r="C1318" s="241"/>
      <c r="D1318" s="241"/>
      <c r="E1318" s="241"/>
      <c r="F1318" s="241"/>
      <c r="G1318" s="241"/>
      <c r="H1318" s="241"/>
      <c r="I1318" s="241"/>
      <c r="J1318" s="241"/>
      <c r="K1318" s="241"/>
      <c r="L1318" s="242"/>
      <c r="M1318" s="241"/>
      <c r="N1318" s="241"/>
      <c r="O1318" s="241"/>
      <c r="P1318" s="241"/>
      <c r="Q1318" s="241"/>
      <c r="R1318" s="241"/>
      <c r="S1318" s="241"/>
      <c r="T1318" s="241"/>
      <c r="U1318" s="241"/>
      <c r="V1318" s="241"/>
      <c r="W1318" s="241"/>
      <c r="X1318" s="243"/>
      <c r="Y1318" s="243"/>
      <c r="Z1318" s="243"/>
      <c r="AA1318" s="243"/>
      <c r="AB1318" s="243"/>
      <c r="AC1318" s="243"/>
      <c r="AD1318" s="243"/>
      <c r="AE1318" s="243"/>
      <c r="AF1318" s="243"/>
      <c r="AG1318" s="243"/>
      <c r="AH1318" s="243"/>
      <c r="AI1318" s="243"/>
      <c r="AJ1318" s="243"/>
    </row>
    <row r="1319" hidden="1">
      <c r="A1319" s="241"/>
      <c r="B1319" s="241"/>
      <c r="C1319" s="241"/>
      <c r="D1319" s="241"/>
      <c r="E1319" s="241"/>
      <c r="F1319" s="241"/>
      <c r="G1319" s="241"/>
      <c r="H1319" s="241"/>
      <c r="I1319" s="241"/>
      <c r="J1319" s="241"/>
      <c r="K1319" s="241"/>
      <c r="L1319" s="242"/>
      <c r="M1319" s="241"/>
      <c r="N1319" s="241"/>
      <c r="O1319" s="241"/>
      <c r="P1319" s="241"/>
      <c r="Q1319" s="241"/>
      <c r="R1319" s="241"/>
      <c r="S1319" s="241"/>
      <c r="T1319" s="241"/>
      <c r="U1319" s="241"/>
      <c r="V1319" s="241"/>
      <c r="W1319" s="241"/>
      <c r="X1319" s="243"/>
      <c r="Y1319" s="243"/>
      <c r="Z1319" s="243"/>
      <c r="AA1319" s="243"/>
      <c r="AB1319" s="243"/>
      <c r="AC1319" s="243"/>
      <c r="AD1319" s="243"/>
      <c r="AE1319" s="243"/>
      <c r="AF1319" s="243"/>
      <c r="AG1319" s="243"/>
      <c r="AH1319" s="243"/>
      <c r="AI1319" s="243"/>
      <c r="AJ1319" s="243"/>
    </row>
    <row r="1320" hidden="1">
      <c r="A1320" s="241"/>
      <c r="B1320" s="241"/>
      <c r="C1320" s="241"/>
      <c r="D1320" s="241"/>
      <c r="E1320" s="241"/>
      <c r="F1320" s="241"/>
      <c r="G1320" s="241"/>
      <c r="H1320" s="241"/>
      <c r="I1320" s="241"/>
      <c r="J1320" s="241"/>
      <c r="K1320" s="241"/>
      <c r="L1320" s="242"/>
      <c r="M1320" s="241"/>
      <c r="N1320" s="241"/>
      <c r="O1320" s="241"/>
      <c r="P1320" s="241"/>
      <c r="Q1320" s="241"/>
      <c r="R1320" s="241"/>
      <c r="S1320" s="241"/>
      <c r="T1320" s="241"/>
      <c r="U1320" s="241"/>
      <c r="V1320" s="241"/>
      <c r="W1320" s="241"/>
      <c r="X1320" s="243"/>
      <c r="Y1320" s="243"/>
      <c r="Z1320" s="243"/>
      <c r="AA1320" s="243"/>
      <c r="AB1320" s="243"/>
      <c r="AC1320" s="243"/>
      <c r="AD1320" s="243"/>
      <c r="AE1320" s="243"/>
      <c r="AF1320" s="243"/>
      <c r="AG1320" s="243"/>
      <c r="AH1320" s="243"/>
      <c r="AI1320" s="243"/>
      <c r="AJ1320" s="243"/>
    </row>
    <row r="1321" hidden="1">
      <c r="A1321" s="241"/>
      <c r="B1321" s="241"/>
      <c r="C1321" s="241"/>
      <c r="D1321" s="241"/>
      <c r="E1321" s="241"/>
      <c r="F1321" s="241"/>
      <c r="G1321" s="241"/>
      <c r="H1321" s="241"/>
      <c r="I1321" s="241"/>
      <c r="J1321" s="241"/>
      <c r="K1321" s="241"/>
      <c r="L1321" s="242"/>
      <c r="M1321" s="241"/>
      <c r="N1321" s="241"/>
      <c r="O1321" s="241"/>
      <c r="P1321" s="241"/>
      <c r="Q1321" s="241"/>
      <c r="R1321" s="241"/>
      <c r="S1321" s="241"/>
      <c r="T1321" s="241"/>
      <c r="U1321" s="241"/>
      <c r="V1321" s="241"/>
      <c r="W1321" s="241"/>
      <c r="X1321" s="243"/>
      <c r="Y1321" s="243"/>
      <c r="Z1321" s="243"/>
      <c r="AA1321" s="243"/>
      <c r="AB1321" s="243"/>
      <c r="AC1321" s="243"/>
      <c r="AD1321" s="243"/>
      <c r="AE1321" s="243"/>
      <c r="AF1321" s="243"/>
      <c r="AG1321" s="243"/>
      <c r="AH1321" s="243"/>
      <c r="AI1321" s="243"/>
      <c r="AJ1321" s="243"/>
    </row>
    <row r="1322" hidden="1">
      <c r="A1322" s="241"/>
      <c r="B1322" s="241"/>
      <c r="C1322" s="241"/>
      <c r="D1322" s="241"/>
      <c r="E1322" s="241"/>
      <c r="F1322" s="241"/>
      <c r="G1322" s="241"/>
      <c r="H1322" s="241"/>
      <c r="I1322" s="241"/>
      <c r="J1322" s="241"/>
      <c r="K1322" s="241"/>
      <c r="L1322" s="242"/>
      <c r="M1322" s="241"/>
      <c r="N1322" s="241"/>
      <c r="O1322" s="241"/>
      <c r="P1322" s="241"/>
      <c r="Q1322" s="241"/>
      <c r="R1322" s="241"/>
      <c r="S1322" s="241"/>
      <c r="T1322" s="241"/>
      <c r="U1322" s="241"/>
      <c r="V1322" s="241"/>
      <c r="W1322" s="241"/>
      <c r="X1322" s="243"/>
      <c r="Y1322" s="243"/>
      <c r="Z1322" s="243"/>
      <c r="AA1322" s="243"/>
      <c r="AB1322" s="243"/>
      <c r="AC1322" s="243"/>
      <c r="AD1322" s="243"/>
      <c r="AE1322" s="243"/>
      <c r="AF1322" s="243"/>
      <c r="AG1322" s="243"/>
      <c r="AH1322" s="243"/>
      <c r="AI1322" s="243"/>
      <c r="AJ1322" s="243"/>
    </row>
    <row r="1323" hidden="1">
      <c r="A1323" s="241"/>
      <c r="B1323" s="241"/>
      <c r="C1323" s="241"/>
      <c r="D1323" s="241"/>
      <c r="E1323" s="241"/>
      <c r="F1323" s="241"/>
      <c r="G1323" s="241"/>
      <c r="H1323" s="241"/>
      <c r="I1323" s="241"/>
      <c r="J1323" s="241"/>
      <c r="K1323" s="241"/>
      <c r="L1323" s="242"/>
      <c r="M1323" s="241"/>
      <c r="N1323" s="241"/>
      <c r="O1323" s="241"/>
      <c r="P1323" s="241"/>
      <c r="Q1323" s="241"/>
      <c r="R1323" s="241"/>
      <c r="S1323" s="241"/>
      <c r="T1323" s="241"/>
      <c r="U1323" s="241"/>
      <c r="V1323" s="241"/>
      <c r="W1323" s="241"/>
      <c r="X1323" s="243"/>
      <c r="Y1323" s="243"/>
      <c r="Z1323" s="243"/>
      <c r="AA1323" s="243"/>
      <c r="AB1323" s="243"/>
      <c r="AC1323" s="243"/>
      <c r="AD1323" s="243"/>
      <c r="AE1323" s="243"/>
      <c r="AF1323" s="243"/>
      <c r="AG1323" s="243"/>
      <c r="AH1323" s="243"/>
      <c r="AI1323" s="243"/>
      <c r="AJ1323" s="243"/>
    </row>
    <row r="1324" hidden="1">
      <c r="A1324" s="241"/>
      <c r="B1324" s="241"/>
      <c r="C1324" s="241"/>
      <c r="D1324" s="241"/>
      <c r="E1324" s="241"/>
      <c r="F1324" s="241"/>
      <c r="G1324" s="241"/>
      <c r="H1324" s="241"/>
      <c r="I1324" s="241"/>
      <c r="J1324" s="241"/>
      <c r="K1324" s="241"/>
      <c r="L1324" s="242"/>
      <c r="M1324" s="241"/>
      <c r="N1324" s="241"/>
      <c r="O1324" s="241"/>
      <c r="P1324" s="241"/>
      <c r="Q1324" s="241"/>
      <c r="R1324" s="241"/>
      <c r="S1324" s="241"/>
      <c r="T1324" s="241"/>
      <c r="U1324" s="241"/>
      <c r="V1324" s="241"/>
      <c r="W1324" s="241"/>
      <c r="X1324" s="243"/>
      <c r="Y1324" s="243"/>
      <c r="Z1324" s="243"/>
      <c r="AA1324" s="243"/>
      <c r="AB1324" s="243"/>
      <c r="AC1324" s="243"/>
      <c r="AD1324" s="243"/>
      <c r="AE1324" s="243"/>
      <c r="AF1324" s="243"/>
      <c r="AG1324" s="243"/>
      <c r="AH1324" s="243"/>
      <c r="AI1324" s="243"/>
      <c r="AJ1324" s="243"/>
    </row>
    <row r="1325" hidden="1">
      <c r="A1325" s="241"/>
      <c r="B1325" s="241"/>
      <c r="C1325" s="241"/>
      <c r="D1325" s="241"/>
      <c r="E1325" s="241"/>
      <c r="F1325" s="241"/>
      <c r="G1325" s="241"/>
      <c r="H1325" s="241"/>
      <c r="I1325" s="241"/>
      <c r="J1325" s="241"/>
      <c r="K1325" s="241"/>
      <c r="L1325" s="242"/>
      <c r="M1325" s="241"/>
      <c r="N1325" s="241"/>
      <c r="O1325" s="241"/>
      <c r="P1325" s="241"/>
      <c r="Q1325" s="241"/>
      <c r="R1325" s="241"/>
      <c r="S1325" s="241"/>
      <c r="T1325" s="241"/>
      <c r="U1325" s="241"/>
      <c r="V1325" s="241"/>
      <c r="W1325" s="241"/>
      <c r="X1325" s="243"/>
      <c r="Y1325" s="243"/>
      <c r="Z1325" s="243"/>
      <c r="AA1325" s="243"/>
      <c r="AB1325" s="243"/>
      <c r="AC1325" s="243"/>
      <c r="AD1325" s="243"/>
      <c r="AE1325" s="243"/>
      <c r="AF1325" s="243"/>
      <c r="AG1325" s="243"/>
      <c r="AH1325" s="243"/>
      <c r="AI1325" s="243"/>
      <c r="AJ1325" s="243"/>
    </row>
    <row r="1326" hidden="1">
      <c r="A1326" s="241"/>
      <c r="B1326" s="241"/>
      <c r="C1326" s="241"/>
      <c r="D1326" s="241"/>
      <c r="E1326" s="241"/>
      <c r="F1326" s="241"/>
      <c r="G1326" s="241"/>
      <c r="H1326" s="241"/>
      <c r="I1326" s="241"/>
      <c r="J1326" s="241"/>
      <c r="K1326" s="241"/>
      <c r="L1326" s="242"/>
      <c r="M1326" s="241"/>
      <c r="N1326" s="241"/>
      <c r="O1326" s="241"/>
      <c r="P1326" s="241"/>
      <c r="Q1326" s="241"/>
      <c r="R1326" s="241"/>
      <c r="S1326" s="241"/>
      <c r="T1326" s="241"/>
      <c r="U1326" s="241"/>
      <c r="V1326" s="241"/>
      <c r="W1326" s="241"/>
      <c r="X1326" s="243"/>
      <c r="Y1326" s="243"/>
      <c r="Z1326" s="243"/>
      <c r="AA1326" s="243"/>
      <c r="AB1326" s="243"/>
      <c r="AC1326" s="243"/>
      <c r="AD1326" s="243"/>
      <c r="AE1326" s="243"/>
      <c r="AF1326" s="243"/>
      <c r="AG1326" s="243"/>
      <c r="AH1326" s="243"/>
      <c r="AI1326" s="243"/>
      <c r="AJ1326" s="243"/>
    </row>
    <row r="1327" hidden="1">
      <c r="A1327" s="241"/>
      <c r="B1327" s="241"/>
      <c r="C1327" s="241"/>
      <c r="D1327" s="241"/>
      <c r="E1327" s="241"/>
      <c r="F1327" s="241"/>
      <c r="G1327" s="241"/>
      <c r="H1327" s="241"/>
      <c r="I1327" s="241"/>
      <c r="J1327" s="241"/>
      <c r="K1327" s="241"/>
      <c r="L1327" s="242"/>
      <c r="M1327" s="241"/>
      <c r="N1327" s="241"/>
      <c r="O1327" s="241"/>
      <c r="P1327" s="241"/>
      <c r="Q1327" s="241"/>
      <c r="R1327" s="241"/>
      <c r="S1327" s="241"/>
      <c r="T1327" s="241"/>
      <c r="U1327" s="241"/>
      <c r="V1327" s="241"/>
      <c r="W1327" s="241"/>
      <c r="X1327" s="243"/>
      <c r="Y1327" s="243"/>
      <c r="Z1327" s="243"/>
      <c r="AA1327" s="243"/>
      <c r="AB1327" s="243"/>
      <c r="AC1327" s="243"/>
      <c r="AD1327" s="243"/>
      <c r="AE1327" s="243"/>
      <c r="AF1327" s="243"/>
      <c r="AG1327" s="243"/>
      <c r="AH1327" s="243"/>
      <c r="AI1327" s="243"/>
      <c r="AJ1327" s="243"/>
    </row>
    <row r="1328" hidden="1">
      <c r="A1328" s="241"/>
      <c r="B1328" s="241"/>
      <c r="C1328" s="241"/>
      <c r="D1328" s="241"/>
      <c r="E1328" s="241"/>
      <c r="F1328" s="241"/>
      <c r="G1328" s="241"/>
      <c r="H1328" s="241"/>
      <c r="I1328" s="241"/>
      <c r="J1328" s="241"/>
      <c r="K1328" s="241"/>
      <c r="L1328" s="242"/>
      <c r="M1328" s="241"/>
      <c r="N1328" s="241"/>
      <c r="O1328" s="241"/>
      <c r="P1328" s="241"/>
      <c r="Q1328" s="241"/>
      <c r="R1328" s="241"/>
      <c r="S1328" s="241"/>
      <c r="T1328" s="241"/>
      <c r="U1328" s="241"/>
      <c r="V1328" s="241"/>
      <c r="W1328" s="241"/>
      <c r="X1328" s="243"/>
      <c r="Y1328" s="243"/>
      <c r="Z1328" s="243"/>
      <c r="AA1328" s="243"/>
      <c r="AB1328" s="243"/>
      <c r="AC1328" s="243"/>
      <c r="AD1328" s="243"/>
      <c r="AE1328" s="243"/>
      <c r="AF1328" s="243"/>
      <c r="AG1328" s="243"/>
      <c r="AH1328" s="243"/>
      <c r="AI1328" s="243"/>
      <c r="AJ1328" s="243"/>
    </row>
    <row r="1329" hidden="1">
      <c r="A1329" s="241"/>
      <c r="B1329" s="241"/>
      <c r="C1329" s="241"/>
      <c r="D1329" s="241"/>
      <c r="E1329" s="241"/>
      <c r="F1329" s="241"/>
      <c r="G1329" s="241"/>
      <c r="H1329" s="241"/>
      <c r="I1329" s="241"/>
      <c r="J1329" s="241"/>
      <c r="K1329" s="241"/>
      <c r="L1329" s="242"/>
      <c r="M1329" s="241"/>
      <c r="N1329" s="241"/>
      <c r="O1329" s="241"/>
      <c r="P1329" s="241"/>
      <c r="Q1329" s="241"/>
      <c r="R1329" s="241"/>
      <c r="S1329" s="241"/>
      <c r="T1329" s="241"/>
      <c r="U1329" s="241"/>
      <c r="V1329" s="241"/>
      <c r="W1329" s="241"/>
      <c r="X1329" s="243"/>
      <c r="Y1329" s="243"/>
      <c r="Z1329" s="243"/>
      <c r="AA1329" s="243"/>
      <c r="AB1329" s="243"/>
      <c r="AC1329" s="243"/>
      <c r="AD1329" s="243"/>
      <c r="AE1329" s="243"/>
      <c r="AF1329" s="243"/>
      <c r="AG1329" s="243"/>
      <c r="AH1329" s="243"/>
      <c r="AI1329" s="243"/>
      <c r="AJ1329" s="243"/>
    </row>
    <row r="1330" hidden="1">
      <c r="A1330" s="241"/>
      <c r="B1330" s="241"/>
      <c r="C1330" s="241"/>
      <c r="D1330" s="241"/>
      <c r="E1330" s="241"/>
      <c r="F1330" s="241"/>
      <c r="G1330" s="241"/>
      <c r="H1330" s="241"/>
      <c r="I1330" s="241"/>
      <c r="J1330" s="241"/>
      <c r="K1330" s="241"/>
      <c r="L1330" s="242"/>
      <c r="M1330" s="241"/>
      <c r="N1330" s="241"/>
      <c r="O1330" s="241"/>
      <c r="P1330" s="241"/>
      <c r="Q1330" s="241"/>
      <c r="R1330" s="241"/>
      <c r="S1330" s="241"/>
      <c r="T1330" s="241"/>
      <c r="U1330" s="241"/>
      <c r="V1330" s="241"/>
      <c r="W1330" s="241"/>
      <c r="X1330" s="243"/>
      <c r="Y1330" s="243"/>
      <c r="Z1330" s="243"/>
      <c r="AA1330" s="243"/>
      <c r="AB1330" s="243"/>
      <c r="AC1330" s="243"/>
      <c r="AD1330" s="243"/>
      <c r="AE1330" s="243"/>
      <c r="AF1330" s="243"/>
      <c r="AG1330" s="243"/>
      <c r="AH1330" s="243"/>
      <c r="AI1330" s="243"/>
      <c r="AJ1330" s="243"/>
    </row>
    <row r="1331" hidden="1">
      <c r="A1331" s="241"/>
      <c r="B1331" s="241"/>
      <c r="C1331" s="241"/>
      <c r="D1331" s="241"/>
      <c r="E1331" s="241"/>
      <c r="F1331" s="241"/>
      <c r="G1331" s="241"/>
      <c r="H1331" s="241"/>
      <c r="I1331" s="241"/>
      <c r="J1331" s="241"/>
      <c r="K1331" s="241"/>
      <c r="L1331" s="242"/>
      <c r="M1331" s="241"/>
      <c r="N1331" s="241"/>
      <c r="O1331" s="241"/>
      <c r="P1331" s="241"/>
      <c r="Q1331" s="241"/>
      <c r="R1331" s="241"/>
      <c r="S1331" s="241"/>
      <c r="T1331" s="241"/>
      <c r="U1331" s="241"/>
      <c r="V1331" s="241"/>
      <c r="W1331" s="241"/>
      <c r="X1331" s="243"/>
      <c r="Y1331" s="243"/>
      <c r="Z1331" s="243"/>
      <c r="AA1331" s="243"/>
      <c r="AB1331" s="243"/>
      <c r="AC1331" s="243"/>
      <c r="AD1331" s="243"/>
      <c r="AE1331" s="243"/>
      <c r="AF1331" s="243"/>
      <c r="AG1331" s="243"/>
      <c r="AH1331" s="243"/>
      <c r="AI1331" s="243"/>
      <c r="AJ1331" s="243"/>
    </row>
    <row r="1332" hidden="1">
      <c r="A1332" s="241"/>
      <c r="B1332" s="241"/>
      <c r="C1332" s="241"/>
      <c r="D1332" s="241"/>
      <c r="E1332" s="241"/>
      <c r="F1332" s="241"/>
      <c r="G1332" s="241"/>
      <c r="H1332" s="241"/>
      <c r="I1332" s="241"/>
      <c r="J1332" s="241"/>
      <c r="K1332" s="241"/>
      <c r="L1332" s="242"/>
      <c r="M1332" s="241"/>
      <c r="N1332" s="241"/>
      <c r="O1332" s="241"/>
      <c r="P1332" s="241"/>
      <c r="Q1332" s="241"/>
      <c r="R1332" s="241"/>
      <c r="S1332" s="241"/>
      <c r="T1332" s="241"/>
      <c r="U1332" s="241"/>
      <c r="V1332" s="241"/>
      <c r="W1332" s="241"/>
      <c r="X1332" s="243"/>
      <c r="Y1332" s="243"/>
      <c r="Z1332" s="243"/>
      <c r="AA1332" s="243"/>
      <c r="AB1332" s="243"/>
      <c r="AC1332" s="243"/>
      <c r="AD1332" s="243"/>
      <c r="AE1332" s="243"/>
      <c r="AF1332" s="243"/>
      <c r="AG1332" s="243"/>
      <c r="AH1332" s="243"/>
      <c r="AI1332" s="243"/>
      <c r="AJ1332" s="243"/>
    </row>
    <row r="1333" hidden="1">
      <c r="A1333" s="241"/>
      <c r="B1333" s="241"/>
      <c r="C1333" s="241"/>
      <c r="D1333" s="241"/>
      <c r="E1333" s="241"/>
      <c r="F1333" s="241"/>
      <c r="G1333" s="241"/>
      <c r="H1333" s="241"/>
      <c r="I1333" s="241"/>
      <c r="J1333" s="241"/>
      <c r="K1333" s="241"/>
      <c r="L1333" s="242"/>
      <c r="M1333" s="241"/>
      <c r="N1333" s="241"/>
      <c r="O1333" s="241"/>
      <c r="P1333" s="241"/>
      <c r="Q1333" s="241"/>
      <c r="R1333" s="241"/>
      <c r="S1333" s="241"/>
      <c r="T1333" s="241"/>
      <c r="U1333" s="241"/>
      <c r="V1333" s="241"/>
      <c r="W1333" s="241"/>
      <c r="X1333" s="243"/>
      <c r="Y1333" s="243"/>
      <c r="Z1333" s="243"/>
      <c r="AA1333" s="243"/>
      <c r="AB1333" s="243"/>
      <c r="AC1333" s="243"/>
      <c r="AD1333" s="243"/>
      <c r="AE1333" s="243"/>
      <c r="AF1333" s="243"/>
      <c r="AG1333" s="243"/>
      <c r="AH1333" s="243"/>
      <c r="AI1333" s="243"/>
      <c r="AJ1333" s="243"/>
    </row>
    <row r="1334" hidden="1">
      <c r="A1334" s="241"/>
      <c r="B1334" s="241"/>
      <c r="C1334" s="241"/>
      <c r="D1334" s="241"/>
      <c r="E1334" s="241"/>
      <c r="F1334" s="241"/>
      <c r="G1334" s="241"/>
      <c r="H1334" s="241"/>
      <c r="I1334" s="241"/>
      <c r="J1334" s="241"/>
      <c r="K1334" s="241"/>
      <c r="L1334" s="242"/>
      <c r="M1334" s="241"/>
      <c r="N1334" s="241"/>
      <c r="O1334" s="241"/>
      <c r="P1334" s="241"/>
      <c r="Q1334" s="241"/>
      <c r="R1334" s="241"/>
      <c r="S1334" s="241"/>
      <c r="T1334" s="241"/>
      <c r="U1334" s="241"/>
      <c r="V1334" s="241"/>
      <c r="W1334" s="241"/>
      <c r="X1334" s="243"/>
      <c r="Y1334" s="243"/>
      <c r="Z1334" s="243"/>
      <c r="AA1334" s="243"/>
      <c r="AB1334" s="243"/>
      <c r="AC1334" s="243"/>
      <c r="AD1334" s="243"/>
      <c r="AE1334" s="243"/>
      <c r="AF1334" s="243"/>
      <c r="AG1334" s="243"/>
      <c r="AH1334" s="243"/>
      <c r="AI1334" s="243"/>
      <c r="AJ1334" s="243"/>
    </row>
    <row r="1335" hidden="1">
      <c r="A1335" s="241"/>
      <c r="B1335" s="241"/>
      <c r="C1335" s="241"/>
      <c r="D1335" s="241"/>
      <c r="E1335" s="241"/>
      <c r="F1335" s="241"/>
      <c r="G1335" s="241"/>
      <c r="H1335" s="241"/>
      <c r="I1335" s="241"/>
      <c r="J1335" s="241"/>
      <c r="K1335" s="241"/>
      <c r="L1335" s="242"/>
      <c r="M1335" s="241"/>
      <c r="N1335" s="241"/>
      <c r="O1335" s="241"/>
      <c r="P1335" s="241"/>
      <c r="Q1335" s="241"/>
      <c r="R1335" s="241"/>
      <c r="S1335" s="241"/>
      <c r="T1335" s="241"/>
      <c r="U1335" s="241"/>
      <c r="V1335" s="241"/>
      <c r="W1335" s="241"/>
      <c r="X1335" s="243"/>
      <c r="Y1335" s="243"/>
      <c r="Z1335" s="243"/>
      <c r="AA1335" s="243"/>
      <c r="AB1335" s="243"/>
      <c r="AC1335" s="243"/>
      <c r="AD1335" s="243"/>
      <c r="AE1335" s="243"/>
      <c r="AF1335" s="243"/>
      <c r="AG1335" s="243"/>
      <c r="AH1335" s="243"/>
      <c r="AI1335" s="243"/>
      <c r="AJ1335" s="243"/>
    </row>
    <row r="1336" hidden="1">
      <c r="A1336" s="241"/>
      <c r="B1336" s="241"/>
      <c r="C1336" s="241"/>
      <c r="D1336" s="241"/>
      <c r="E1336" s="241"/>
      <c r="F1336" s="241"/>
      <c r="G1336" s="241"/>
      <c r="H1336" s="241"/>
      <c r="I1336" s="241"/>
      <c r="J1336" s="241"/>
      <c r="K1336" s="241"/>
      <c r="L1336" s="242"/>
      <c r="M1336" s="241"/>
      <c r="N1336" s="241"/>
      <c r="O1336" s="241"/>
      <c r="P1336" s="241"/>
      <c r="Q1336" s="241"/>
      <c r="R1336" s="241"/>
      <c r="S1336" s="241"/>
      <c r="T1336" s="241"/>
      <c r="U1336" s="241"/>
      <c r="V1336" s="241"/>
      <c r="W1336" s="241"/>
      <c r="X1336" s="243"/>
      <c r="Y1336" s="243"/>
      <c r="Z1336" s="243"/>
      <c r="AA1336" s="243"/>
      <c r="AB1336" s="243"/>
      <c r="AC1336" s="243"/>
      <c r="AD1336" s="243"/>
      <c r="AE1336" s="243"/>
      <c r="AF1336" s="243"/>
      <c r="AG1336" s="243"/>
      <c r="AH1336" s="243"/>
      <c r="AI1336" s="243"/>
      <c r="AJ1336" s="243"/>
    </row>
    <row r="1337" hidden="1">
      <c r="A1337" s="241"/>
      <c r="B1337" s="241"/>
      <c r="C1337" s="241"/>
      <c r="D1337" s="241"/>
      <c r="E1337" s="241"/>
      <c r="F1337" s="241"/>
      <c r="G1337" s="241"/>
      <c r="H1337" s="241"/>
      <c r="I1337" s="241"/>
      <c r="J1337" s="241"/>
      <c r="K1337" s="241"/>
      <c r="L1337" s="242"/>
      <c r="M1337" s="241"/>
      <c r="N1337" s="241"/>
      <c r="O1337" s="241"/>
      <c r="P1337" s="241"/>
      <c r="Q1337" s="241"/>
      <c r="R1337" s="241"/>
      <c r="S1337" s="241"/>
      <c r="T1337" s="241"/>
      <c r="U1337" s="241"/>
      <c r="V1337" s="241"/>
      <c r="W1337" s="241"/>
      <c r="X1337" s="243"/>
      <c r="Y1337" s="243"/>
      <c r="Z1337" s="243"/>
      <c r="AA1337" s="243"/>
      <c r="AB1337" s="243"/>
      <c r="AC1337" s="243"/>
      <c r="AD1337" s="243"/>
      <c r="AE1337" s="243"/>
      <c r="AF1337" s="243"/>
      <c r="AG1337" s="243"/>
      <c r="AH1337" s="243"/>
      <c r="AI1337" s="243"/>
      <c r="AJ1337" s="243"/>
    </row>
    <row r="1338" hidden="1">
      <c r="A1338" s="241"/>
      <c r="B1338" s="241"/>
      <c r="C1338" s="241"/>
      <c r="D1338" s="241"/>
      <c r="E1338" s="241"/>
      <c r="F1338" s="241"/>
      <c r="G1338" s="241"/>
      <c r="H1338" s="241"/>
      <c r="I1338" s="241"/>
      <c r="J1338" s="241"/>
      <c r="K1338" s="241"/>
      <c r="L1338" s="242"/>
      <c r="M1338" s="241"/>
      <c r="N1338" s="241"/>
      <c r="O1338" s="241"/>
      <c r="P1338" s="241"/>
      <c r="Q1338" s="241"/>
      <c r="R1338" s="241"/>
      <c r="S1338" s="241"/>
      <c r="T1338" s="241"/>
      <c r="U1338" s="241"/>
      <c r="V1338" s="241"/>
      <c r="W1338" s="241"/>
      <c r="X1338" s="243"/>
      <c r="Y1338" s="243"/>
      <c r="Z1338" s="243"/>
      <c r="AA1338" s="243"/>
      <c r="AB1338" s="243"/>
      <c r="AC1338" s="243"/>
      <c r="AD1338" s="243"/>
      <c r="AE1338" s="243"/>
      <c r="AF1338" s="243"/>
      <c r="AG1338" s="243"/>
      <c r="AH1338" s="243"/>
      <c r="AI1338" s="243"/>
      <c r="AJ1338" s="243"/>
    </row>
    <row r="1339" hidden="1">
      <c r="A1339" s="241"/>
      <c r="B1339" s="241"/>
      <c r="C1339" s="241"/>
      <c r="D1339" s="241"/>
      <c r="E1339" s="241"/>
      <c r="F1339" s="241"/>
      <c r="G1339" s="241"/>
      <c r="H1339" s="241"/>
      <c r="I1339" s="241"/>
      <c r="J1339" s="241"/>
      <c r="K1339" s="241"/>
      <c r="L1339" s="242"/>
      <c r="M1339" s="241"/>
      <c r="N1339" s="241"/>
      <c r="O1339" s="241"/>
      <c r="P1339" s="241"/>
      <c r="Q1339" s="241"/>
      <c r="R1339" s="241"/>
      <c r="S1339" s="241"/>
      <c r="T1339" s="241"/>
      <c r="U1339" s="241"/>
      <c r="V1339" s="241"/>
      <c r="W1339" s="241"/>
      <c r="X1339" s="243"/>
      <c r="Y1339" s="243"/>
      <c r="Z1339" s="243"/>
      <c r="AA1339" s="243"/>
      <c r="AB1339" s="243"/>
      <c r="AC1339" s="243"/>
      <c r="AD1339" s="243"/>
      <c r="AE1339" s="243"/>
      <c r="AF1339" s="243"/>
      <c r="AG1339" s="243"/>
      <c r="AH1339" s="243"/>
      <c r="AI1339" s="243"/>
      <c r="AJ1339" s="243"/>
    </row>
    <row r="1340" hidden="1">
      <c r="A1340" s="241"/>
      <c r="B1340" s="241"/>
      <c r="C1340" s="241"/>
      <c r="D1340" s="241"/>
      <c r="E1340" s="241"/>
      <c r="F1340" s="241"/>
      <c r="G1340" s="241"/>
      <c r="H1340" s="241"/>
      <c r="I1340" s="241"/>
      <c r="J1340" s="241"/>
      <c r="K1340" s="241"/>
      <c r="L1340" s="242"/>
      <c r="M1340" s="241"/>
      <c r="N1340" s="241"/>
      <c r="O1340" s="241"/>
      <c r="P1340" s="241"/>
      <c r="Q1340" s="241"/>
      <c r="R1340" s="241"/>
      <c r="S1340" s="241"/>
      <c r="T1340" s="241"/>
      <c r="U1340" s="241"/>
      <c r="V1340" s="241"/>
      <c r="W1340" s="241"/>
      <c r="X1340" s="243"/>
      <c r="Y1340" s="243"/>
      <c r="Z1340" s="243"/>
      <c r="AA1340" s="243"/>
      <c r="AB1340" s="243"/>
      <c r="AC1340" s="243"/>
      <c r="AD1340" s="243"/>
      <c r="AE1340" s="243"/>
      <c r="AF1340" s="243"/>
      <c r="AG1340" s="243"/>
      <c r="AH1340" s="243"/>
      <c r="AI1340" s="243"/>
      <c r="AJ1340" s="243"/>
    </row>
    <row r="1341" hidden="1">
      <c r="A1341" s="241"/>
      <c r="B1341" s="241"/>
      <c r="C1341" s="241"/>
      <c r="D1341" s="241"/>
      <c r="E1341" s="241"/>
      <c r="F1341" s="241"/>
      <c r="G1341" s="241"/>
      <c r="H1341" s="241"/>
      <c r="I1341" s="241"/>
      <c r="J1341" s="241"/>
      <c r="K1341" s="241"/>
      <c r="L1341" s="242"/>
      <c r="M1341" s="241"/>
      <c r="N1341" s="241"/>
      <c r="O1341" s="241"/>
      <c r="P1341" s="241"/>
      <c r="Q1341" s="241"/>
      <c r="R1341" s="241"/>
      <c r="S1341" s="241"/>
      <c r="T1341" s="241"/>
      <c r="U1341" s="241"/>
      <c r="V1341" s="241"/>
      <c r="W1341" s="241"/>
      <c r="X1341" s="243"/>
      <c r="Y1341" s="243"/>
      <c r="Z1341" s="243"/>
      <c r="AA1341" s="243"/>
      <c r="AB1341" s="243"/>
      <c r="AC1341" s="243"/>
      <c r="AD1341" s="243"/>
      <c r="AE1341" s="243"/>
      <c r="AF1341" s="243"/>
      <c r="AG1341" s="243"/>
      <c r="AH1341" s="243"/>
      <c r="AI1341" s="243"/>
      <c r="AJ1341" s="243"/>
    </row>
    <row r="1342" hidden="1">
      <c r="A1342" s="241"/>
      <c r="B1342" s="241"/>
      <c r="C1342" s="241"/>
      <c r="D1342" s="241"/>
      <c r="E1342" s="241"/>
      <c r="F1342" s="241"/>
      <c r="G1342" s="241"/>
      <c r="H1342" s="241"/>
      <c r="I1342" s="241"/>
      <c r="J1342" s="241"/>
      <c r="K1342" s="241"/>
      <c r="L1342" s="242"/>
      <c r="M1342" s="241"/>
      <c r="N1342" s="241"/>
      <c r="O1342" s="241"/>
      <c r="P1342" s="241"/>
      <c r="Q1342" s="241"/>
      <c r="R1342" s="241"/>
      <c r="S1342" s="241"/>
      <c r="T1342" s="241"/>
      <c r="U1342" s="241"/>
      <c r="V1342" s="241"/>
      <c r="W1342" s="241"/>
      <c r="X1342" s="243"/>
      <c r="Y1342" s="243"/>
      <c r="Z1342" s="243"/>
      <c r="AA1342" s="243"/>
      <c r="AB1342" s="243"/>
      <c r="AC1342" s="243"/>
      <c r="AD1342" s="243"/>
      <c r="AE1342" s="243"/>
      <c r="AF1342" s="243"/>
      <c r="AG1342" s="243"/>
      <c r="AH1342" s="243"/>
      <c r="AI1342" s="243"/>
      <c r="AJ1342" s="243"/>
    </row>
    <row r="1343" hidden="1">
      <c r="A1343" s="241"/>
      <c r="B1343" s="241"/>
      <c r="C1343" s="241"/>
      <c r="D1343" s="241"/>
      <c r="E1343" s="241"/>
      <c r="F1343" s="241"/>
      <c r="G1343" s="241"/>
      <c r="H1343" s="241"/>
      <c r="I1343" s="241"/>
      <c r="J1343" s="241"/>
      <c r="K1343" s="241"/>
      <c r="L1343" s="242"/>
      <c r="M1343" s="241"/>
      <c r="N1343" s="241"/>
      <c r="O1343" s="241"/>
      <c r="P1343" s="241"/>
      <c r="Q1343" s="241"/>
      <c r="R1343" s="241"/>
      <c r="S1343" s="241"/>
      <c r="T1343" s="241"/>
      <c r="U1343" s="241"/>
      <c r="V1343" s="241"/>
      <c r="W1343" s="241"/>
      <c r="X1343" s="243"/>
      <c r="Y1343" s="243"/>
      <c r="Z1343" s="243"/>
      <c r="AA1343" s="243"/>
      <c r="AB1343" s="243"/>
      <c r="AC1343" s="243"/>
      <c r="AD1343" s="243"/>
      <c r="AE1343" s="243"/>
      <c r="AF1343" s="243"/>
      <c r="AG1343" s="243"/>
      <c r="AH1343" s="243"/>
      <c r="AI1343" s="243"/>
      <c r="AJ1343" s="243"/>
    </row>
    <row r="1344" hidden="1">
      <c r="A1344" s="241"/>
      <c r="B1344" s="241"/>
      <c r="C1344" s="241"/>
      <c r="D1344" s="241"/>
      <c r="E1344" s="241"/>
      <c r="F1344" s="241"/>
      <c r="G1344" s="241"/>
      <c r="H1344" s="241"/>
      <c r="I1344" s="241"/>
      <c r="J1344" s="241"/>
      <c r="K1344" s="241"/>
      <c r="L1344" s="242"/>
      <c r="M1344" s="241"/>
      <c r="N1344" s="241"/>
      <c r="O1344" s="241"/>
      <c r="P1344" s="241"/>
      <c r="Q1344" s="241"/>
      <c r="R1344" s="241"/>
      <c r="S1344" s="241"/>
      <c r="T1344" s="241"/>
      <c r="U1344" s="241"/>
      <c r="V1344" s="241"/>
      <c r="W1344" s="241"/>
      <c r="X1344" s="243"/>
      <c r="Y1344" s="243"/>
      <c r="Z1344" s="243"/>
      <c r="AA1344" s="243"/>
      <c r="AB1344" s="243"/>
      <c r="AC1344" s="243"/>
      <c r="AD1344" s="243"/>
      <c r="AE1344" s="243"/>
      <c r="AF1344" s="243"/>
      <c r="AG1344" s="243"/>
      <c r="AH1344" s="243"/>
      <c r="AI1344" s="243"/>
      <c r="AJ1344" s="243"/>
    </row>
    <row r="1345" hidden="1">
      <c r="A1345" s="241"/>
      <c r="B1345" s="241"/>
      <c r="C1345" s="241"/>
      <c r="D1345" s="241"/>
      <c r="E1345" s="241"/>
      <c r="F1345" s="241"/>
      <c r="G1345" s="241"/>
      <c r="H1345" s="241"/>
      <c r="I1345" s="241"/>
      <c r="J1345" s="241"/>
      <c r="K1345" s="241"/>
      <c r="L1345" s="242"/>
      <c r="M1345" s="241"/>
      <c r="N1345" s="241"/>
      <c r="O1345" s="241"/>
      <c r="P1345" s="241"/>
      <c r="Q1345" s="241"/>
      <c r="R1345" s="241"/>
      <c r="S1345" s="241"/>
      <c r="T1345" s="241"/>
      <c r="U1345" s="241"/>
      <c r="V1345" s="241"/>
      <c r="W1345" s="241"/>
      <c r="X1345" s="243"/>
      <c r="Y1345" s="243"/>
      <c r="Z1345" s="243"/>
      <c r="AA1345" s="243"/>
      <c r="AB1345" s="243"/>
      <c r="AC1345" s="243"/>
      <c r="AD1345" s="243"/>
      <c r="AE1345" s="243"/>
      <c r="AF1345" s="243"/>
      <c r="AG1345" s="243"/>
      <c r="AH1345" s="243"/>
      <c r="AI1345" s="243"/>
      <c r="AJ1345" s="243"/>
    </row>
    <row r="1346" hidden="1">
      <c r="A1346" s="241"/>
      <c r="B1346" s="241"/>
      <c r="C1346" s="241"/>
      <c r="D1346" s="241"/>
      <c r="E1346" s="241"/>
      <c r="F1346" s="241"/>
      <c r="G1346" s="241"/>
      <c r="H1346" s="241"/>
      <c r="I1346" s="241"/>
      <c r="J1346" s="241"/>
      <c r="K1346" s="241"/>
      <c r="L1346" s="242"/>
      <c r="M1346" s="241"/>
      <c r="N1346" s="241"/>
      <c r="O1346" s="241"/>
      <c r="P1346" s="241"/>
      <c r="Q1346" s="241"/>
      <c r="R1346" s="241"/>
      <c r="S1346" s="241"/>
      <c r="T1346" s="241"/>
      <c r="U1346" s="241"/>
      <c r="V1346" s="241"/>
      <c r="W1346" s="241"/>
      <c r="X1346" s="243"/>
      <c r="Y1346" s="243"/>
      <c r="Z1346" s="243"/>
      <c r="AA1346" s="243"/>
      <c r="AB1346" s="243"/>
      <c r="AC1346" s="243"/>
      <c r="AD1346" s="243"/>
      <c r="AE1346" s="243"/>
      <c r="AF1346" s="243"/>
      <c r="AG1346" s="243"/>
      <c r="AH1346" s="243"/>
      <c r="AI1346" s="243"/>
      <c r="AJ1346" s="243"/>
    </row>
    <row r="1347" hidden="1">
      <c r="A1347" s="241"/>
      <c r="B1347" s="241"/>
      <c r="C1347" s="241"/>
      <c r="D1347" s="241"/>
      <c r="E1347" s="241"/>
      <c r="F1347" s="241"/>
      <c r="G1347" s="241"/>
      <c r="H1347" s="241"/>
      <c r="I1347" s="241"/>
      <c r="J1347" s="241"/>
      <c r="K1347" s="241"/>
      <c r="L1347" s="242"/>
      <c r="M1347" s="241"/>
      <c r="N1347" s="241"/>
      <c r="O1347" s="241"/>
      <c r="P1347" s="241"/>
      <c r="Q1347" s="241"/>
      <c r="R1347" s="241"/>
      <c r="S1347" s="241"/>
      <c r="T1347" s="241"/>
      <c r="U1347" s="241"/>
      <c r="V1347" s="241"/>
      <c r="W1347" s="241"/>
      <c r="X1347" s="243"/>
      <c r="Y1347" s="243"/>
      <c r="Z1347" s="243"/>
      <c r="AA1347" s="243"/>
      <c r="AB1347" s="243"/>
      <c r="AC1347" s="243"/>
      <c r="AD1347" s="243"/>
      <c r="AE1347" s="243"/>
      <c r="AF1347" s="243"/>
      <c r="AG1347" s="243"/>
      <c r="AH1347" s="243"/>
      <c r="AI1347" s="243"/>
      <c r="AJ1347" s="243"/>
    </row>
    <row r="1348" hidden="1">
      <c r="A1348" s="241"/>
      <c r="B1348" s="241"/>
      <c r="C1348" s="241"/>
      <c r="D1348" s="241"/>
      <c r="E1348" s="241"/>
      <c r="F1348" s="241"/>
      <c r="G1348" s="241"/>
      <c r="H1348" s="241"/>
      <c r="I1348" s="241"/>
      <c r="J1348" s="241"/>
      <c r="K1348" s="241"/>
      <c r="L1348" s="242"/>
      <c r="M1348" s="241"/>
      <c r="N1348" s="241"/>
      <c r="O1348" s="241"/>
      <c r="P1348" s="241"/>
      <c r="Q1348" s="241"/>
      <c r="R1348" s="241"/>
      <c r="S1348" s="241"/>
      <c r="T1348" s="241"/>
      <c r="U1348" s="241"/>
      <c r="V1348" s="241"/>
      <c r="W1348" s="241"/>
      <c r="X1348" s="243"/>
      <c r="Y1348" s="243"/>
      <c r="Z1348" s="243"/>
      <c r="AA1348" s="243"/>
      <c r="AB1348" s="243"/>
      <c r="AC1348" s="243"/>
      <c r="AD1348" s="243"/>
      <c r="AE1348" s="243"/>
      <c r="AF1348" s="243"/>
      <c r="AG1348" s="243"/>
      <c r="AH1348" s="243"/>
      <c r="AI1348" s="243"/>
      <c r="AJ1348" s="243"/>
    </row>
    <row r="1349" hidden="1">
      <c r="A1349" s="241"/>
      <c r="B1349" s="241"/>
      <c r="C1349" s="241"/>
      <c r="D1349" s="241"/>
      <c r="E1349" s="241"/>
      <c r="F1349" s="241"/>
      <c r="G1349" s="241"/>
      <c r="H1349" s="241"/>
      <c r="I1349" s="241"/>
      <c r="J1349" s="241"/>
      <c r="K1349" s="241"/>
      <c r="L1349" s="242"/>
      <c r="M1349" s="241"/>
      <c r="N1349" s="241"/>
      <c r="O1349" s="241"/>
      <c r="P1349" s="241"/>
      <c r="Q1349" s="241"/>
      <c r="R1349" s="241"/>
      <c r="S1349" s="241"/>
      <c r="T1349" s="241"/>
      <c r="U1349" s="241"/>
      <c r="V1349" s="241"/>
      <c r="W1349" s="241"/>
      <c r="X1349" s="243"/>
      <c r="Y1349" s="243"/>
      <c r="Z1349" s="243"/>
      <c r="AA1349" s="243"/>
      <c r="AB1349" s="243"/>
      <c r="AC1349" s="243"/>
      <c r="AD1349" s="243"/>
      <c r="AE1349" s="243"/>
      <c r="AF1349" s="243"/>
      <c r="AG1349" s="243"/>
      <c r="AH1349" s="243"/>
      <c r="AI1349" s="243"/>
      <c r="AJ1349" s="243"/>
    </row>
    <row r="1350" hidden="1">
      <c r="A1350" s="241"/>
      <c r="B1350" s="241"/>
      <c r="C1350" s="241"/>
      <c r="D1350" s="241"/>
      <c r="E1350" s="241"/>
      <c r="F1350" s="241"/>
      <c r="G1350" s="241"/>
      <c r="H1350" s="241"/>
      <c r="I1350" s="241"/>
      <c r="J1350" s="241"/>
      <c r="K1350" s="241"/>
      <c r="L1350" s="242"/>
      <c r="M1350" s="241"/>
      <c r="N1350" s="241"/>
      <c r="O1350" s="241"/>
      <c r="P1350" s="241"/>
      <c r="Q1350" s="241"/>
      <c r="R1350" s="241"/>
      <c r="S1350" s="241"/>
      <c r="T1350" s="241"/>
      <c r="U1350" s="241"/>
      <c r="V1350" s="241"/>
      <c r="W1350" s="241"/>
      <c r="X1350" s="243"/>
      <c r="Y1350" s="243"/>
      <c r="Z1350" s="243"/>
      <c r="AA1350" s="243"/>
      <c r="AB1350" s="243"/>
      <c r="AC1350" s="243"/>
      <c r="AD1350" s="243"/>
      <c r="AE1350" s="243"/>
      <c r="AF1350" s="243"/>
      <c r="AG1350" s="243"/>
      <c r="AH1350" s="243"/>
      <c r="AI1350" s="243"/>
      <c r="AJ1350" s="243"/>
    </row>
    <row r="1351" hidden="1">
      <c r="A1351" s="241"/>
      <c r="B1351" s="241"/>
      <c r="C1351" s="241"/>
      <c r="D1351" s="241"/>
      <c r="E1351" s="241"/>
      <c r="F1351" s="241"/>
      <c r="G1351" s="241"/>
      <c r="H1351" s="241"/>
      <c r="I1351" s="241"/>
      <c r="J1351" s="241"/>
      <c r="K1351" s="241"/>
      <c r="L1351" s="242"/>
      <c r="M1351" s="241"/>
      <c r="N1351" s="241"/>
      <c r="O1351" s="241"/>
      <c r="P1351" s="241"/>
      <c r="Q1351" s="241"/>
      <c r="R1351" s="241"/>
      <c r="S1351" s="241"/>
      <c r="T1351" s="241"/>
      <c r="U1351" s="241"/>
      <c r="V1351" s="241"/>
      <c r="W1351" s="241"/>
      <c r="X1351" s="243"/>
      <c r="Y1351" s="243"/>
      <c r="Z1351" s="243"/>
      <c r="AA1351" s="243"/>
      <c r="AB1351" s="243"/>
      <c r="AC1351" s="243"/>
      <c r="AD1351" s="243"/>
      <c r="AE1351" s="243"/>
      <c r="AF1351" s="243"/>
      <c r="AG1351" s="243"/>
      <c r="AH1351" s="243"/>
      <c r="AI1351" s="243"/>
      <c r="AJ1351" s="243"/>
    </row>
    <row r="1352" hidden="1">
      <c r="A1352" s="241"/>
      <c r="B1352" s="241"/>
      <c r="C1352" s="241"/>
      <c r="D1352" s="241"/>
      <c r="E1352" s="241"/>
      <c r="F1352" s="241"/>
      <c r="G1352" s="241"/>
      <c r="H1352" s="241"/>
      <c r="I1352" s="241"/>
      <c r="J1352" s="241"/>
      <c r="K1352" s="241"/>
      <c r="L1352" s="242"/>
      <c r="M1352" s="241"/>
      <c r="N1352" s="241"/>
      <c r="O1352" s="241"/>
      <c r="P1352" s="241"/>
      <c r="Q1352" s="241"/>
      <c r="R1352" s="241"/>
      <c r="S1352" s="241"/>
      <c r="T1352" s="241"/>
      <c r="U1352" s="241"/>
      <c r="V1352" s="241"/>
      <c r="W1352" s="241"/>
      <c r="X1352" s="243"/>
      <c r="Y1352" s="243"/>
      <c r="Z1352" s="243"/>
      <c r="AA1352" s="243"/>
      <c r="AB1352" s="243"/>
      <c r="AC1352" s="243"/>
      <c r="AD1352" s="243"/>
      <c r="AE1352" s="243"/>
      <c r="AF1352" s="243"/>
      <c r="AG1352" s="243"/>
      <c r="AH1352" s="243"/>
      <c r="AI1352" s="243"/>
      <c r="AJ1352" s="243"/>
    </row>
    <row r="1353" hidden="1">
      <c r="A1353" s="241"/>
      <c r="B1353" s="241"/>
      <c r="C1353" s="241"/>
      <c r="D1353" s="241"/>
      <c r="E1353" s="241"/>
      <c r="F1353" s="241"/>
      <c r="G1353" s="241"/>
      <c r="H1353" s="241"/>
      <c r="I1353" s="241"/>
      <c r="J1353" s="241"/>
      <c r="K1353" s="241"/>
      <c r="L1353" s="242"/>
      <c r="M1353" s="241"/>
      <c r="N1353" s="241"/>
      <c r="O1353" s="241"/>
      <c r="P1353" s="241"/>
      <c r="Q1353" s="241"/>
      <c r="R1353" s="241"/>
      <c r="S1353" s="241"/>
      <c r="T1353" s="241"/>
      <c r="U1353" s="241"/>
      <c r="V1353" s="241"/>
      <c r="W1353" s="241"/>
      <c r="X1353" s="243"/>
      <c r="Y1353" s="243"/>
      <c r="Z1353" s="243"/>
      <c r="AA1353" s="243"/>
      <c r="AB1353" s="243"/>
      <c r="AC1353" s="243"/>
      <c r="AD1353" s="243"/>
      <c r="AE1353" s="243"/>
      <c r="AF1353" s="243"/>
      <c r="AG1353" s="243"/>
      <c r="AH1353" s="243"/>
      <c r="AI1353" s="243"/>
      <c r="AJ1353" s="243"/>
    </row>
    <row r="1354" hidden="1">
      <c r="A1354" s="241"/>
      <c r="B1354" s="241"/>
      <c r="C1354" s="241"/>
      <c r="D1354" s="241"/>
      <c r="E1354" s="241"/>
      <c r="F1354" s="241"/>
      <c r="G1354" s="241"/>
      <c r="H1354" s="241"/>
      <c r="I1354" s="241"/>
      <c r="J1354" s="241"/>
      <c r="K1354" s="241"/>
      <c r="L1354" s="242"/>
      <c r="M1354" s="241"/>
      <c r="N1354" s="241"/>
      <c r="O1354" s="241"/>
      <c r="P1354" s="241"/>
      <c r="Q1354" s="241"/>
      <c r="R1354" s="241"/>
      <c r="S1354" s="241"/>
      <c r="T1354" s="241"/>
      <c r="U1354" s="241"/>
      <c r="V1354" s="241"/>
      <c r="W1354" s="241"/>
      <c r="X1354" s="243"/>
      <c r="Y1354" s="243"/>
      <c r="Z1354" s="243"/>
      <c r="AA1354" s="243"/>
      <c r="AB1354" s="243"/>
      <c r="AC1354" s="243"/>
      <c r="AD1354" s="243"/>
      <c r="AE1354" s="243"/>
      <c r="AF1354" s="243"/>
      <c r="AG1354" s="243"/>
      <c r="AH1354" s="243"/>
      <c r="AI1354" s="243"/>
      <c r="AJ1354" s="243"/>
    </row>
    <row r="1355" hidden="1">
      <c r="A1355" s="241"/>
      <c r="B1355" s="241"/>
      <c r="C1355" s="241"/>
      <c r="D1355" s="241"/>
      <c r="E1355" s="241"/>
      <c r="F1355" s="241"/>
      <c r="G1355" s="241"/>
      <c r="H1355" s="241"/>
      <c r="I1355" s="241"/>
      <c r="J1355" s="241"/>
      <c r="K1355" s="241"/>
      <c r="L1355" s="242"/>
      <c r="M1355" s="241"/>
      <c r="N1355" s="241"/>
      <c r="O1355" s="241"/>
      <c r="P1355" s="241"/>
      <c r="Q1355" s="241"/>
      <c r="R1355" s="241"/>
      <c r="S1355" s="241"/>
      <c r="T1355" s="241"/>
      <c r="U1355" s="241"/>
      <c r="V1355" s="241"/>
      <c r="W1355" s="241"/>
      <c r="X1355" s="243"/>
      <c r="Y1355" s="243"/>
      <c r="Z1355" s="243"/>
      <c r="AA1355" s="243"/>
      <c r="AB1355" s="243"/>
      <c r="AC1355" s="243"/>
      <c r="AD1355" s="243"/>
      <c r="AE1355" s="243"/>
      <c r="AF1355" s="243"/>
      <c r="AG1355" s="243"/>
      <c r="AH1355" s="243"/>
      <c r="AI1355" s="243"/>
      <c r="AJ1355" s="243"/>
    </row>
    <row r="1356" hidden="1">
      <c r="A1356" s="241"/>
      <c r="B1356" s="241"/>
      <c r="C1356" s="241"/>
      <c r="D1356" s="241"/>
      <c r="E1356" s="241"/>
      <c r="F1356" s="241"/>
      <c r="G1356" s="241"/>
      <c r="H1356" s="241"/>
      <c r="I1356" s="241"/>
      <c r="J1356" s="241"/>
      <c r="K1356" s="241"/>
      <c r="L1356" s="242"/>
      <c r="M1356" s="241"/>
      <c r="N1356" s="241"/>
      <c r="O1356" s="241"/>
      <c r="P1356" s="241"/>
      <c r="Q1356" s="241"/>
      <c r="R1356" s="241"/>
      <c r="S1356" s="241"/>
      <c r="T1356" s="241"/>
      <c r="U1356" s="241"/>
      <c r="V1356" s="241"/>
      <c r="W1356" s="241"/>
      <c r="X1356" s="243"/>
      <c r="Y1356" s="243"/>
      <c r="Z1356" s="243"/>
      <c r="AA1356" s="243"/>
      <c r="AB1356" s="243"/>
      <c r="AC1356" s="243"/>
      <c r="AD1356" s="243"/>
      <c r="AE1356" s="243"/>
      <c r="AF1356" s="243"/>
      <c r="AG1356" s="243"/>
      <c r="AH1356" s="243"/>
      <c r="AI1356" s="243"/>
      <c r="AJ1356" s="243"/>
    </row>
    <row r="1357" hidden="1">
      <c r="A1357" s="241"/>
      <c r="B1357" s="241"/>
      <c r="C1357" s="241"/>
      <c r="D1357" s="241"/>
      <c r="E1357" s="241"/>
      <c r="F1357" s="241"/>
      <c r="G1357" s="241"/>
      <c r="H1357" s="241"/>
      <c r="I1357" s="241"/>
      <c r="J1357" s="241"/>
      <c r="K1357" s="241"/>
      <c r="L1357" s="242"/>
      <c r="M1357" s="241"/>
      <c r="N1357" s="241"/>
      <c r="O1357" s="241"/>
      <c r="P1357" s="241"/>
      <c r="Q1357" s="241"/>
      <c r="R1357" s="241"/>
      <c r="S1357" s="241"/>
      <c r="T1357" s="241"/>
      <c r="U1357" s="241"/>
      <c r="V1357" s="241"/>
      <c r="W1357" s="241"/>
      <c r="X1357" s="243"/>
      <c r="Y1357" s="243"/>
      <c r="Z1357" s="243"/>
      <c r="AA1357" s="243"/>
      <c r="AB1357" s="243"/>
      <c r="AC1357" s="243"/>
      <c r="AD1357" s="243"/>
      <c r="AE1357" s="243"/>
      <c r="AF1357" s="243"/>
      <c r="AG1357" s="243"/>
      <c r="AH1357" s="243"/>
      <c r="AI1357" s="243"/>
      <c r="AJ1357" s="243"/>
    </row>
    <row r="1358" hidden="1">
      <c r="A1358" s="241"/>
      <c r="B1358" s="241"/>
      <c r="C1358" s="241"/>
      <c r="D1358" s="241"/>
      <c r="E1358" s="241"/>
      <c r="F1358" s="241"/>
      <c r="G1358" s="241"/>
      <c r="H1358" s="241"/>
      <c r="I1358" s="241"/>
      <c r="J1358" s="241"/>
      <c r="K1358" s="241"/>
      <c r="L1358" s="242"/>
      <c r="M1358" s="241"/>
      <c r="N1358" s="241"/>
      <c r="O1358" s="241"/>
      <c r="P1358" s="241"/>
      <c r="Q1358" s="241"/>
      <c r="R1358" s="241"/>
      <c r="S1358" s="241"/>
      <c r="T1358" s="241"/>
      <c r="U1358" s="241"/>
      <c r="V1358" s="241"/>
      <c r="W1358" s="241"/>
      <c r="X1358" s="243"/>
      <c r="Y1358" s="243"/>
      <c r="Z1358" s="243"/>
      <c r="AA1358" s="243"/>
      <c r="AB1358" s="243"/>
      <c r="AC1358" s="243"/>
      <c r="AD1358" s="243"/>
      <c r="AE1358" s="243"/>
      <c r="AF1358" s="243"/>
      <c r="AG1358" s="243"/>
      <c r="AH1358" s="243"/>
      <c r="AI1358" s="243"/>
      <c r="AJ1358" s="243"/>
    </row>
    <row r="1359" hidden="1">
      <c r="A1359" s="241"/>
      <c r="B1359" s="241"/>
      <c r="C1359" s="241"/>
      <c r="D1359" s="241"/>
      <c r="E1359" s="241"/>
      <c r="F1359" s="241"/>
      <c r="G1359" s="241"/>
      <c r="H1359" s="241"/>
      <c r="I1359" s="241"/>
      <c r="J1359" s="241"/>
      <c r="K1359" s="241"/>
      <c r="L1359" s="242"/>
      <c r="M1359" s="241"/>
      <c r="N1359" s="241"/>
      <c r="O1359" s="241"/>
      <c r="P1359" s="241"/>
      <c r="Q1359" s="241"/>
      <c r="R1359" s="241"/>
      <c r="S1359" s="241"/>
      <c r="T1359" s="241"/>
      <c r="U1359" s="241"/>
      <c r="V1359" s="241"/>
      <c r="W1359" s="241"/>
      <c r="X1359" s="243"/>
      <c r="Y1359" s="243"/>
      <c r="Z1359" s="243"/>
      <c r="AA1359" s="243"/>
      <c r="AB1359" s="243"/>
      <c r="AC1359" s="243"/>
      <c r="AD1359" s="243"/>
      <c r="AE1359" s="243"/>
      <c r="AF1359" s="243"/>
      <c r="AG1359" s="243"/>
      <c r="AH1359" s="243"/>
      <c r="AI1359" s="243"/>
      <c r="AJ1359" s="243"/>
    </row>
    <row r="1360" hidden="1">
      <c r="A1360" s="241"/>
      <c r="B1360" s="241"/>
      <c r="C1360" s="241"/>
      <c r="D1360" s="241"/>
      <c r="E1360" s="241"/>
      <c r="F1360" s="241"/>
      <c r="G1360" s="241"/>
      <c r="H1360" s="241"/>
      <c r="I1360" s="241"/>
      <c r="J1360" s="241"/>
      <c r="K1360" s="241"/>
      <c r="L1360" s="242"/>
      <c r="M1360" s="241"/>
      <c r="N1360" s="241"/>
      <c r="O1360" s="241"/>
      <c r="P1360" s="241"/>
      <c r="Q1360" s="241"/>
      <c r="R1360" s="241"/>
      <c r="S1360" s="241"/>
      <c r="T1360" s="241"/>
      <c r="U1360" s="241"/>
      <c r="V1360" s="241"/>
      <c r="W1360" s="241"/>
      <c r="X1360" s="243"/>
      <c r="Y1360" s="243"/>
      <c r="Z1360" s="243"/>
      <c r="AA1360" s="243"/>
      <c r="AB1360" s="243"/>
      <c r="AC1360" s="243"/>
      <c r="AD1360" s="243"/>
      <c r="AE1360" s="243"/>
      <c r="AF1360" s="243"/>
      <c r="AG1360" s="243"/>
      <c r="AH1360" s="243"/>
      <c r="AI1360" s="243"/>
      <c r="AJ1360" s="243"/>
    </row>
    <row r="1361" hidden="1">
      <c r="A1361" s="241"/>
      <c r="B1361" s="241"/>
      <c r="C1361" s="241"/>
      <c r="D1361" s="241"/>
      <c r="E1361" s="241"/>
      <c r="F1361" s="241"/>
      <c r="G1361" s="241"/>
      <c r="H1361" s="241"/>
      <c r="I1361" s="241"/>
      <c r="J1361" s="241"/>
      <c r="K1361" s="241"/>
      <c r="L1361" s="242"/>
      <c r="M1361" s="241"/>
      <c r="N1361" s="241"/>
      <c r="O1361" s="241"/>
      <c r="P1361" s="241"/>
      <c r="Q1361" s="241"/>
      <c r="R1361" s="241"/>
      <c r="S1361" s="241"/>
      <c r="T1361" s="241"/>
      <c r="U1361" s="241"/>
      <c r="V1361" s="241"/>
      <c r="W1361" s="241"/>
      <c r="X1361" s="243"/>
      <c r="Y1361" s="243"/>
      <c r="Z1361" s="243"/>
      <c r="AA1361" s="243"/>
      <c r="AB1361" s="243"/>
      <c r="AC1361" s="243"/>
      <c r="AD1361" s="243"/>
      <c r="AE1361" s="243"/>
      <c r="AF1361" s="243"/>
      <c r="AG1361" s="243"/>
      <c r="AH1361" s="243"/>
      <c r="AI1361" s="243"/>
      <c r="AJ1361" s="243"/>
    </row>
    <row r="1362" hidden="1">
      <c r="A1362" s="241"/>
      <c r="B1362" s="241"/>
      <c r="C1362" s="241"/>
      <c r="D1362" s="241"/>
      <c r="E1362" s="241"/>
      <c r="F1362" s="241"/>
      <c r="G1362" s="241"/>
      <c r="H1362" s="241"/>
      <c r="I1362" s="241"/>
      <c r="J1362" s="241"/>
      <c r="K1362" s="241"/>
      <c r="L1362" s="242"/>
      <c r="M1362" s="241"/>
      <c r="N1362" s="241"/>
      <c r="O1362" s="241"/>
      <c r="P1362" s="241"/>
      <c r="Q1362" s="241"/>
      <c r="R1362" s="241"/>
      <c r="S1362" s="241"/>
      <c r="T1362" s="241"/>
      <c r="U1362" s="241"/>
      <c r="V1362" s="241"/>
      <c r="W1362" s="241"/>
      <c r="X1362" s="243"/>
      <c r="Y1362" s="243"/>
      <c r="Z1362" s="243"/>
      <c r="AA1362" s="243"/>
      <c r="AB1362" s="243"/>
      <c r="AC1362" s="243"/>
      <c r="AD1362" s="243"/>
      <c r="AE1362" s="243"/>
      <c r="AF1362" s="243"/>
      <c r="AG1362" s="243"/>
      <c r="AH1362" s="243"/>
      <c r="AI1362" s="243"/>
      <c r="AJ1362" s="243"/>
    </row>
    <row r="1363" hidden="1">
      <c r="A1363" s="241"/>
      <c r="B1363" s="241"/>
      <c r="C1363" s="241"/>
      <c r="D1363" s="241"/>
      <c r="E1363" s="241"/>
      <c r="F1363" s="241"/>
      <c r="G1363" s="241"/>
      <c r="H1363" s="241"/>
      <c r="I1363" s="241"/>
      <c r="J1363" s="241"/>
      <c r="K1363" s="241"/>
      <c r="L1363" s="242"/>
      <c r="M1363" s="241"/>
      <c r="N1363" s="241"/>
      <c r="O1363" s="241"/>
      <c r="P1363" s="241"/>
      <c r="Q1363" s="241"/>
      <c r="R1363" s="241"/>
      <c r="S1363" s="241"/>
      <c r="T1363" s="241"/>
      <c r="U1363" s="241"/>
      <c r="V1363" s="241"/>
      <c r="W1363" s="241"/>
      <c r="X1363" s="243"/>
      <c r="Y1363" s="243"/>
      <c r="Z1363" s="243"/>
      <c r="AA1363" s="243"/>
      <c r="AB1363" s="243"/>
      <c r="AC1363" s="243"/>
      <c r="AD1363" s="243"/>
      <c r="AE1363" s="243"/>
      <c r="AF1363" s="243"/>
      <c r="AG1363" s="243"/>
      <c r="AH1363" s="243"/>
      <c r="AI1363" s="243"/>
      <c r="AJ1363" s="243"/>
    </row>
    <row r="1364" hidden="1">
      <c r="A1364" s="241"/>
      <c r="B1364" s="241"/>
      <c r="C1364" s="241"/>
      <c r="D1364" s="241"/>
      <c r="E1364" s="241"/>
      <c r="F1364" s="241"/>
      <c r="G1364" s="241"/>
      <c r="H1364" s="241"/>
      <c r="I1364" s="241"/>
      <c r="J1364" s="241"/>
      <c r="K1364" s="241"/>
      <c r="L1364" s="242"/>
      <c r="M1364" s="241"/>
      <c r="N1364" s="241"/>
      <c r="O1364" s="241"/>
      <c r="P1364" s="241"/>
      <c r="Q1364" s="241"/>
      <c r="R1364" s="241"/>
      <c r="S1364" s="241"/>
      <c r="T1364" s="241"/>
      <c r="U1364" s="241"/>
      <c r="V1364" s="241"/>
      <c r="W1364" s="241"/>
      <c r="X1364" s="243"/>
      <c r="Y1364" s="243"/>
      <c r="Z1364" s="243"/>
      <c r="AA1364" s="243"/>
      <c r="AB1364" s="243"/>
      <c r="AC1364" s="243"/>
      <c r="AD1364" s="243"/>
      <c r="AE1364" s="243"/>
      <c r="AF1364" s="243"/>
      <c r="AG1364" s="243"/>
      <c r="AH1364" s="243"/>
      <c r="AI1364" s="243"/>
      <c r="AJ1364" s="243"/>
    </row>
    <row r="1365" hidden="1">
      <c r="A1365" s="241"/>
      <c r="B1365" s="241"/>
      <c r="C1365" s="241"/>
      <c r="D1365" s="241"/>
      <c r="E1365" s="241"/>
      <c r="F1365" s="241"/>
      <c r="G1365" s="241"/>
      <c r="H1365" s="241"/>
      <c r="I1365" s="241"/>
      <c r="J1365" s="241"/>
      <c r="K1365" s="241"/>
      <c r="L1365" s="242"/>
      <c r="M1365" s="241"/>
      <c r="N1365" s="241"/>
      <c r="O1365" s="241"/>
      <c r="P1365" s="241"/>
      <c r="Q1365" s="241"/>
      <c r="R1365" s="241"/>
      <c r="S1365" s="241"/>
      <c r="T1365" s="241"/>
      <c r="U1365" s="241"/>
      <c r="V1365" s="241"/>
      <c r="W1365" s="241"/>
      <c r="X1365" s="243"/>
      <c r="Y1365" s="243"/>
      <c r="Z1365" s="243"/>
      <c r="AA1365" s="243"/>
      <c r="AB1365" s="243"/>
      <c r="AC1365" s="243"/>
      <c r="AD1365" s="243"/>
      <c r="AE1365" s="243"/>
      <c r="AF1365" s="243"/>
      <c r="AG1365" s="243"/>
      <c r="AH1365" s="243"/>
      <c r="AI1365" s="243"/>
      <c r="AJ1365" s="243"/>
    </row>
    <row r="1366" hidden="1">
      <c r="A1366" s="241"/>
      <c r="B1366" s="241"/>
      <c r="C1366" s="241"/>
      <c r="D1366" s="241"/>
      <c r="E1366" s="241"/>
      <c r="F1366" s="241"/>
      <c r="G1366" s="241"/>
      <c r="H1366" s="241"/>
      <c r="I1366" s="241"/>
      <c r="J1366" s="241"/>
      <c r="K1366" s="241"/>
      <c r="L1366" s="242"/>
      <c r="M1366" s="241"/>
      <c r="N1366" s="241"/>
      <c r="O1366" s="241"/>
      <c r="P1366" s="241"/>
      <c r="Q1366" s="241"/>
      <c r="R1366" s="241"/>
      <c r="S1366" s="241"/>
      <c r="T1366" s="241"/>
      <c r="U1366" s="241"/>
      <c r="V1366" s="241"/>
      <c r="W1366" s="241"/>
      <c r="X1366" s="243"/>
      <c r="Y1366" s="243"/>
      <c r="Z1366" s="243"/>
      <c r="AA1366" s="243"/>
      <c r="AB1366" s="243"/>
      <c r="AC1366" s="243"/>
      <c r="AD1366" s="243"/>
      <c r="AE1366" s="243"/>
      <c r="AF1366" s="243"/>
      <c r="AG1366" s="243"/>
      <c r="AH1366" s="243"/>
      <c r="AI1366" s="243"/>
      <c r="AJ1366" s="243"/>
    </row>
    <row r="1367" hidden="1">
      <c r="A1367" s="241"/>
      <c r="B1367" s="241"/>
      <c r="C1367" s="241"/>
      <c r="D1367" s="241"/>
      <c r="E1367" s="241"/>
      <c r="F1367" s="241"/>
      <c r="G1367" s="241"/>
      <c r="H1367" s="241"/>
      <c r="I1367" s="241"/>
      <c r="J1367" s="241"/>
      <c r="K1367" s="241"/>
      <c r="L1367" s="242"/>
      <c r="M1367" s="241"/>
      <c r="N1367" s="241"/>
      <c r="O1367" s="241"/>
      <c r="P1367" s="241"/>
      <c r="Q1367" s="241"/>
      <c r="R1367" s="241"/>
      <c r="S1367" s="241"/>
      <c r="T1367" s="241"/>
      <c r="U1367" s="241"/>
      <c r="V1367" s="241"/>
      <c r="W1367" s="241"/>
      <c r="X1367" s="243"/>
      <c r="Y1367" s="243"/>
      <c r="Z1367" s="243"/>
      <c r="AA1367" s="243"/>
      <c r="AB1367" s="243"/>
      <c r="AC1367" s="243"/>
      <c r="AD1367" s="243"/>
      <c r="AE1367" s="243"/>
      <c r="AF1367" s="243"/>
      <c r="AG1367" s="243"/>
      <c r="AH1367" s="243"/>
      <c r="AI1367" s="243"/>
      <c r="AJ1367" s="243"/>
    </row>
    <row r="1368" hidden="1">
      <c r="A1368" s="241"/>
      <c r="B1368" s="241"/>
      <c r="C1368" s="241"/>
      <c r="D1368" s="241"/>
      <c r="E1368" s="241"/>
      <c r="F1368" s="241"/>
      <c r="G1368" s="241"/>
      <c r="H1368" s="241"/>
      <c r="I1368" s="241"/>
      <c r="J1368" s="241"/>
      <c r="K1368" s="241"/>
      <c r="L1368" s="242"/>
      <c r="M1368" s="241"/>
      <c r="N1368" s="241"/>
      <c r="O1368" s="241"/>
      <c r="P1368" s="241"/>
      <c r="Q1368" s="241"/>
      <c r="R1368" s="241"/>
      <c r="S1368" s="241"/>
      <c r="T1368" s="241"/>
      <c r="U1368" s="241"/>
      <c r="V1368" s="241"/>
      <c r="W1368" s="241"/>
      <c r="X1368" s="243"/>
      <c r="Y1368" s="243"/>
      <c r="Z1368" s="243"/>
      <c r="AA1368" s="243"/>
      <c r="AB1368" s="243"/>
      <c r="AC1368" s="243"/>
      <c r="AD1368" s="243"/>
      <c r="AE1368" s="243"/>
      <c r="AF1368" s="243"/>
      <c r="AG1368" s="243"/>
      <c r="AH1368" s="243"/>
      <c r="AI1368" s="243"/>
      <c r="AJ1368" s="243"/>
    </row>
    <row r="1369" hidden="1">
      <c r="A1369" s="241"/>
      <c r="B1369" s="241"/>
      <c r="C1369" s="241"/>
      <c r="D1369" s="241"/>
      <c r="E1369" s="241"/>
      <c r="F1369" s="241"/>
      <c r="G1369" s="241"/>
      <c r="H1369" s="241"/>
      <c r="I1369" s="241"/>
      <c r="J1369" s="241"/>
      <c r="K1369" s="241"/>
      <c r="L1369" s="242"/>
      <c r="M1369" s="241"/>
      <c r="N1369" s="241"/>
      <c r="O1369" s="241"/>
      <c r="P1369" s="241"/>
      <c r="Q1369" s="241"/>
      <c r="R1369" s="241"/>
      <c r="S1369" s="241"/>
      <c r="T1369" s="241"/>
      <c r="U1369" s="241"/>
      <c r="V1369" s="241"/>
      <c r="W1369" s="241"/>
      <c r="X1369" s="243"/>
      <c r="Y1369" s="243"/>
      <c r="Z1369" s="243"/>
      <c r="AA1369" s="243"/>
      <c r="AB1369" s="243"/>
      <c r="AC1369" s="243"/>
      <c r="AD1369" s="243"/>
      <c r="AE1369" s="243"/>
      <c r="AF1369" s="243"/>
      <c r="AG1369" s="243"/>
      <c r="AH1369" s="243"/>
      <c r="AI1369" s="243"/>
      <c r="AJ1369" s="243"/>
    </row>
    <row r="1370" hidden="1">
      <c r="A1370" s="241"/>
      <c r="B1370" s="241"/>
      <c r="C1370" s="241"/>
      <c r="D1370" s="241"/>
      <c r="E1370" s="241"/>
      <c r="F1370" s="241"/>
      <c r="G1370" s="241"/>
      <c r="H1370" s="241"/>
      <c r="I1370" s="241"/>
      <c r="J1370" s="241"/>
      <c r="K1370" s="241"/>
      <c r="L1370" s="242"/>
      <c r="M1370" s="241"/>
      <c r="N1370" s="241"/>
      <c r="O1370" s="241"/>
      <c r="P1370" s="241"/>
      <c r="Q1370" s="241"/>
      <c r="R1370" s="241"/>
      <c r="S1370" s="241"/>
      <c r="T1370" s="241"/>
      <c r="U1370" s="241"/>
      <c r="V1370" s="241"/>
      <c r="W1370" s="241"/>
      <c r="X1370" s="243"/>
      <c r="Y1370" s="243"/>
      <c r="Z1370" s="243"/>
      <c r="AA1370" s="243"/>
      <c r="AB1370" s="243"/>
      <c r="AC1370" s="243"/>
      <c r="AD1370" s="243"/>
      <c r="AE1370" s="243"/>
      <c r="AF1370" s="243"/>
      <c r="AG1370" s="243"/>
      <c r="AH1370" s="243"/>
      <c r="AI1370" s="243"/>
      <c r="AJ1370" s="243"/>
    </row>
    <row r="1371" hidden="1">
      <c r="A1371" s="241"/>
      <c r="B1371" s="241"/>
      <c r="C1371" s="241"/>
      <c r="D1371" s="241"/>
      <c r="E1371" s="241"/>
      <c r="F1371" s="241"/>
      <c r="G1371" s="241"/>
      <c r="H1371" s="241"/>
      <c r="I1371" s="241"/>
      <c r="J1371" s="241"/>
      <c r="K1371" s="241"/>
      <c r="L1371" s="242"/>
      <c r="M1371" s="241"/>
      <c r="N1371" s="241"/>
      <c r="O1371" s="241"/>
      <c r="P1371" s="241"/>
      <c r="Q1371" s="241"/>
      <c r="R1371" s="241"/>
      <c r="S1371" s="241"/>
      <c r="T1371" s="241"/>
      <c r="U1371" s="241"/>
      <c r="V1371" s="241"/>
      <c r="W1371" s="241"/>
      <c r="X1371" s="243"/>
      <c r="Y1371" s="243"/>
      <c r="Z1371" s="243"/>
      <c r="AA1371" s="243"/>
      <c r="AB1371" s="243"/>
      <c r="AC1371" s="243"/>
      <c r="AD1371" s="243"/>
      <c r="AE1371" s="243"/>
      <c r="AF1371" s="243"/>
      <c r="AG1371" s="243"/>
      <c r="AH1371" s="243"/>
      <c r="AI1371" s="243"/>
      <c r="AJ1371" s="243"/>
    </row>
    <row r="1372" hidden="1">
      <c r="A1372" s="241"/>
      <c r="B1372" s="241"/>
      <c r="C1372" s="241"/>
      <c r="D1372" s="241"/>
      <c r="E1372" s="241"/>
      <c r="F1372" s="241"/>
      <c r="G1372" s="241"/>
      <c r="H1372" s="241"/>
      <c r="I1372" s="241"/>
      <c r="J1372" s="241"/>
      <c r="K1372" s="241"/>
      <c r="L1372" s="242"/>
      <c r="M1372" s="241"/>
      <c r="N1372" s="241"/>
      <c r="O1372" s="241"/>
      <c r="P1372" s="241"/>
      <c r="Q1372" s="241"/>
      <c r="R1372" s="241"/>
      <c r="S1372" s="241"/>
      <c r="T1372" s="241"/>
      <c r="U1372" s="241"/>
      <c r="V1372" s="241"/>
      <c r="W1372" s="241"/>
      <c r="X1372" s="243"/>
      <c r="Y1372" s="243"/>
      <c r="Z1372" s="243"/>
      <c r="AA1372" s="243"/>
      <c r="AB1372" s="243"/>
      <c r="AC1372" s="243"/>
      <c r="AD1372" s="243"/>
      <c r="AE1372" s="243"/>
      <c r="AF1372" s="243"/>
      <c r="AG1372" s="243"/>
      <c r="AH1372" s="243"/>
      <c r="AI1372" s="243"/>
      <c r="AJ1372" s="243"/>
    </row>
    <row r="1373" hidden="1">
      <c r="A1373" s="241"/>
      <c r="B1373" s="241"/>
      <c r="C1373" s="241"/>
      <c r="D1373" s="241"/>
      <c r="E1373" s="241"/>
      <c r="F1373" s="241"/>
      <c r="G1373" s="241"/>
      <c r="H1373" s="241"/>
      <c r="I1373" s="241"/>
      <c r="J1373" s="241"/>
      <c r="K1373" s="241"/>
      <c r="L1373" s="242"/>
      <c r="M1373" s="241"/>
      <c r="N1373" s="241"/>
      <c r="O1373" s="241"/>
      <c r="P1373" s="241"/>
      <c r="Q1373" s="241"/>
      <c r="R1373" s="241"/>
      <c r="S1373" s="241"/>
      <c r="T1373" s="241"/>
      <c r="U1373" s="241"/>
      <c r="V1373" s="241"/>
      <c r="W1373" s="241"/>
      <c r="X1373" s="243"/>
      <c r="Y1373" s="243"/>
      <c r="Z1373" s="243"/>
      <c r="AA1373" s="243"/>
      <c r="AB1373" s="243"/>
      <c r="AC1373" s="243"/>
      <c r="AD1373" s="243"/>
      <c r="AE1373" s="243"/>
      <c r="AF1373" s="243"/>
      <c r="AG1373" s="243"/>
      <c r="AH1373" s="243"/>
      <c r="AI1373" s="243"/>
      <c r="AJ1373" s="243"/>
    </row>
    <row r="1374" hidden="1">
      <c r="A1374" s="241"/>
      <c r="B1374" s="241"/>
      <c r="C1374" s="241"/>
      <c r="D1374" s="241"/>
      <c r="E1374" s="241"/>
      <c r="F1374" s="241"/>
      <c r="G1374" s="241"/>
      <c r="H1374" s="241"/>
      <c r="I1374" s="241"/>
      <c r="J1374" s="241"/>
      <c r="K1374" s="241"/>
      <c r="L1374" s="242"/>
      <c r="M1374" s="241"/>
      <c r="N1374" s="241"/>
      <c r="O1374" s="241"/>
      <c r="P1374" s="241"/>
      <c r="Q1374" s="241"/>
      <c r="R1374" s="241"/>
      <c r="S1374" s="241"/>
      <c r="T1374" s="241"/>
      <c r="U1374" s="241"/>
      <c r="V1374" s="241"/>
      <c r="W1374" s="241"/>
      <c r="X1374" s="243"/>
      <c r="Y1374" s="243"/>
      <c r="Z1374" s="243"/>
      <c r="AA1374" s="243"/>
      <c r="AB1374" s="243"/>
      <c r="AC1374" s="243"/>
      <c r="AD1374" s="243"/>
      <c r="AE1374" s="243"/>
      <c r="AF1374" s="243"/>
      <c r="AG1374" s="243"/>
      <c r="AH1374" s="243"/>
      <c r="AI1374" s="243"/>
      <c r="AJ1374" s="243"/>
    </row>
    <row r="1375" hidden="1">
      <c r="A1375" s="241"/>
      <c r="B1375" s="241"/>
      <c r="C1375" s="241"/>
      <c r="D1375" s="241"/>
      <c r="E1375" s="241"/>
      <c r="F1375" s="241"/>
      <c r="G1375" s="241"/>
      <c r="H1375" s="241"/>
      <c r="I1375" s="241"/>
      <c r="J1375" s="241"/>
      <c r="K1375" s="241"/>
      <c r="L1375" s="242"/>
      <c r="M1375" s="241"/>
      <c r="N1375" s="241"/>
      <c r="O1375" s="241"/>
      <c r="P1375" s="241"/>
      <c r="Q1375" s="241"/>
      <c r="R1375" s="241"/>
      <c r="S1375" s="241"/>
      <c r="T1375" s="241"/>
      <c r="U1375" s="241"/>
      <c r="V1375" s="241"/>
      <c r="W1375" s="241"/>
      <c r="X1375" s="243"/>
      <c r="Y1375" s="243"/>
      <c r="Z1375" s="243"/>
      <c r="AA1375" s="243"/>
      <c r="AB1375" s="243"/>
      <c r="AC1375" s="243"/>
      <c r="AD1375" s="243"/>
      <c r="AE1375" s="243"/>
      <c r="AF1375" s="243"/>
      <c r="AG1375" s="243"/>
      <c r="AH1375" s="243"/>
      <c r="AI1375" s="243"/>
      <c r="AJ1375" s="243"/>
    </row>
    <row r="1376" hidden="1">
      <c r="A1376" s="241"/>
      <c r="B1376" s="241"/>
      <c r="C1376" s="241"/>
      <c r="D1376" s="241"/>
      <c r="E1376" s="241"/>
      <c r="F1376" s="241"/>
      <c r="G1376" s="241"/>
      <c r="H1376" s="241"/>
      <c r="I1376" s="241"/>
      <c r="J1376" s="241"/>
      <c r="K1376" s="241"/>
      <c r="L1376" s="242"/>
      <c r="M1376" s="241"/>
      <c r="N1376" s="241"/>
      <c r="O1376" s="241"/>
      <c r="P1376" s="241"/>
      <c r="Q1376" s="241"/>
      <c r="R1376" s="241"/>
      <c r="S1376" s="241"/>
      <c r="T1376" s="241"/>
      <c r="U1376" s="241"/>
      <c r="V1376" s="241"/>
      <c r="W1376" s="241"/>
      <c r="X1376" s="243"/>
      <c r="Y1376" s="243"/>
      <c r="Z1376" s="243"/>
      <c r="AA1376" s="243"/>
      <c r="AB1376" s="243"/>
      <c r="AC1376" s="243"/>
      <c r="AD1376" s="243"/>
      <c r="AE1376" s="243"/>
      <c r="AF1376" s="243"/>
      <c r="AG1376" s="243"/>
      <c r="AH1376" s="243"/>
      <c r="AI1376" s="243"/>
      <c r="AJ1376" s="243"/>
    </row>
    <row r="1377" hidden="1">
      <c r="A1377" s="241"/>
      <c r="B1377" s="241"/>
      <c r="C1377" s="241"/>
      <c r="D1377" s="241"/>
      <c r="E1377" s="241"/>
      <c r="F1377" s="241"/>
      <c r="G1377" s="241"/>
      <c r="H1377" s="241"/>
      <c r="I1377" s="241"/>
      <c r="J1377" s="241"/>
      <c r="K1377" s="241"/>
      <c r="L1377" s="242"/>
      <c r="M1377" s="241"/>
      <c r="N1377" s="241"/>
      <c r="O1377" s="241"/>
      <c r="P1377" s="241"/>
      <c r="Q1377" s="241"/>
      <c r="R1377" s="241"/>
      <c r="S1377" s="241"/>
      <c r="T1377" s="241"/>
      <c r="U1377" s="241"/>
      <c r="V1377" s="241"/>
      <c r="W1377" s="241"/>
      <c r="X1377" s="243"/>
      <c r="Y1377" s="243"/>
      <c r="Z1377" s="243"/>
      <c r="AA1377" s="243"/>
      <c r="AB1377" s="243"/>
      <c r="AC1377" s="243"/>
      <c r="AD1377" s="243"/>
      <c r="AE1377" s="243"/>
      <c r="AF1377" s="243"/>
      <c r="AG1377" s="243"/>
      <c r="AH1377" s="243"/>
      <c r="AI1377" s="243"/>
      <c r="AJ1377" s="243"/>
    </row>
    <row r="1378" hidden="1">
      <c r="A1378" s="241"/>
      <c r="B1378" s="241"/>
      <c r="C1378" s="241"/>
      <c r="D1378" s="241"/>
      <c r="E1378" s="241"/>
      <c r="F1378" s="241"/>
      <c r="G1378" s="241"/>
      <c r="H1378" s="241"/>
      <c r="I1378" s="241"/>
      <c r="J1378" s="241"/>
      <c r="K1378" s="241"/>
      <c r="L1378" s="242"/>
      <c r="M1378" s="241"/>
      <c r="N1378" s="241"/>
      <c r="O1378" s="241"/>
      <c r="P1378" s="241"/>
      <c r="Q1378" s="241"/>
      <c r="R1378" s="241"/>
      <c r="S1378" s="241"/>
      <c r="T1378" s="241"/>
      <c r="U1378" s="241"/>
      <c r="V1378" s="241"/>
      <c r="W1378" s="241"/>
      <c r="X1378" s="243"/>
      <c r="Y1378" s="243"/>
      <c r="Z1378" s="243"/>
      <c r="AA1378" s="243"/>
      <c r="AB1378" s="243"/>
      <c r="AC1378" s="243"/>
      <c r="AD1378" s="243"/>
      <c r="AE1378" s="243"/>
      <c r="AF1378" s="243"/>
      <c r="AG1378" s="243"/>
      <c r="AH1378" s="243"/>
      <c r="AI1378" s="243"/>
      <c r="AJ1378" s="243"/>
    </row>
    <row r="1379" hidden="1">
      <c r="A1379" s="241"/>
      <c r="B1379" s="241"/>
      <c r="C1379" s="241"/>
      <c r="D1379" s="241"/>
      <c r="E1379" s="241"/>
      <c r="F1379" s="241"/>
      <c r="G1379" s="241"/>
      <c r="H1379" s="241"/>
      <c r="I1379" s="241"/>
      <c r="J1379" s="241"/>
      <c r="K1379" s="241"/>
      <c r="L1379" s="242"/>
      <c r="M1379" s="241"/>
      <c r="N1379" s="241"/>
      <c r="O1379" s="241"/>
      <c r="P1379" s="241"/>
      <c r="Q1379" s="241"/>
      <c r="R1379" s="241"/>
      <c r="S1379" s="241"/>
      <c r="T1379" s="241"/>
      <c r="U1379" s="241"/>
      <c r="V1379" s="241"/>
      <c r="W1379" s="241"/>
      <c r="X1379" s="243"/>
      <c r="Y1379" s="243"/>
      <c r="Z1379" s="243"/>
      <c r="AA1379" s="243"/>
      <c r="AB1379" s="243"/>
      <c r="AC1379" s="243"/>
      <c r="AD1379" s="243"/>
      <c r="AE1379" s="243"/>
      <c r="AF1379" s="243"/>
      <c r="AG1379" s="243"/>
      <c r="AH1379" s="243"/>
      <c r="AI1379" s="243"/>
      <c r="AJ1379" s="243"/>
    </row>
    <row r="1380" hidden="1">
      <c r="A1380" s="241"/>
      <c r="B1380" s="241"/>
      <c r="C1380" s="241"/>
      <c r="D1380" s="241"/>
      <c r="E1380" s="241"/>
      <c r="F1380" s="241"/>
      <c r="G1380" s="241"/>
      <c r="H1380" s="241"/>
      <c r="I1380" s="241"/>
      <c r="J1380" s="241"/>
      <c r="K1380" s="241"/>
      <c r="L1380" s="242"/>
      <c r="M1380" s="241"/>
      <c r="N1380" s="241"/>
      <c r="O1380" s="241"/>
      <c r="P1380" s="241"/>
      <c r="Q1380" s="241"/>
      <c r="R1380" s="241"/>
      <c r="S1380" s="241"/>
      <c r="T1380" s="241"/>
      <c r="U1380" s="241"/>
      <c r="V1380" s="241"/>
      <c r="W1380" s="241"/>
      <c r="X1380" s="243"/>
      <c r="Y1380" s="243"/>
      <c r="Z1380" s="243"/>
      <c r="AA1380" s="243"/>
      <c r="AB1380" s="243"/>
      <c r="AC1380" s="243"/>
      <c r="AD1380" s="243"/>
      <c r="AE1380" s="243"/>
      <c r="AF1380" s="243"/>
      <c r="AG1380" s="243"/>
      <c r="AH1380" s="243"/>
      <c r="AI1380" s="243"/>
      <c r="AJ1380" s="243"/>
    </row>
    <row r="1381" hidden="1">
      <c r="A1381" s="241"/>
      <c r="B1381" s="241"/>
      <c r="C1381" s="241"/>
      <c r="D1381" s="241"/>
      <c r="E1381" s="241"/>
      <c r="F1381" s="241"/>
      <c r="G1381" s="241"/>
      <c r="H1381" s="241"/>
      <c r="I1381" s="241"/>
      <c r="J1381" s="241"/>
      <c r="K1381" s="241"/>
      <c r="L1381" s="242"/>
      <c r="M1381" s="241"/>
      <c r="N1381" s="241"/>
      <c r="O1381" s="241"/>
      <c r="P1381" s="241"/>
      <c r="Q1381" s="241"/>
      <c r="R1381" s="241"/>
      <c r="S1381" s="241"/>
      <c r="T1381" s="241"/>
      <c r="U1381" s="241"/>
      <c r="V1381" s="241"/>
      <c r="W1381" s="241"/>
      <c r="X1381" s="243"/>
      <c r="Y1381" s="243"/>
      <c r="Z1381" s="243"/>
      <c r="AA1381" s="243"/>
      <c r="AB1381" s="243"/>
      <c r="AC1381" s="243"/>
      <c r="AD1381" s="243"/>
      <c r="AE1381" s="243"/>
      <c r="AF1381" s="243"/>
      <c r="AG1381" s="243"/>
      <c r="AH1381" s="243"/>
      <c r="AI1381" s="243"/>
      <c r="AJ1381" s="243"/>
    </row>
    <row r="1382" hidden="1">
      <c r="A1382" s="241"/>
      <c r="B1382" s="241"/>
      <c r="C1382" s="241"/>
      <c r="D1382" s="241"/>
      <c r="E1382" s="241"/>
      <c r="F1382" s="241"/>
      <c r="G1382" s="241"/>
      <c r="H1382" s="241"/>
      <c r="I1382" s="241"/>
      <c r="J1382" s="241"/>
      <c r="K1382" s="241"/>
      <c r="L1382" s="242"/>
      <c r="M1382" s="241"/>
      <c r="N1382" s="241"/>
      <c r="O1382" s="241"/>
      <c r="P1382" s="241"/>
      <c r="Q1382" s="241"/>
      <c r="R1382" s="241"/>
      <c r="S1382" s="241"/>
      <c r="T1382" s="241"/>
      <c r="U1382" s="241"/>
      <c r="V1382" s="241"/>
      <c r="W1382" s="241"/>
      <c r="X1382" s="243"/>
      <c r="Y1382" s="243"/>
      <c r="Z1382" s="243"/>
      <c r="AA1382" s="243"/>
      <c r="AB1382" s="243"/>
      <c r="AC1382" s="243"/>
      <c r="AD1382" s="243"/>
      <c r="AE1382" s="243"/>
      <c r="AF1382" s="243"/>
      <c r="AG1382" s="243"/>
      <c r="AH1382" s="243"/>
      <c r="AI1382" s="243"/>
      <c r="AJ1382" s="243"/>
    </row>
    <row r="1383" hidden="1">
      <c r="A1383" s="241"/>
      <c r="B1383" s="241"/>
      <c r="C1383" s="241"/>
      <c r="D1383" s="241"/>
      <c r="E1383" s="241"/>
      <c r="F1383" s="241"/>
      <c r="G1383" s="241"/>
      <c r="H1383" s="241"/>
      <c r="I1383" s="241"/>
      <c r="J1383" s="241"/>
      <c r="K1383" s="241"/>
      <c r="L1383" s="242"/>
      <c r="M1383" s="241"/>
      <c r="N1383" s="241"/>
      <c r="O1383" s="241"/>
      <c r="P1383" s="241"/>
      <c r="Q1383" s="241"/>
      <c r="R1383" s="241"/>
      <c r="S1383" s="241"/>
      <c r="T1383" s="241"/>
      <c r="U1383" s="241"/>
      <c r="V1383" s="241"/>
      <c r="W1383" s="241"/>
      <c r="X1383" s="243"/>
      <c r="Y1383" s="243"/>
      <c r="Z1383" s="243"/>
      <c r="AA1383" s="243"/>
      <c r="AB1383" s="243"/>
      <c r="AC1383" s="243"/>
      <c r="AD1383" s="243"/>
      <c r="AE1383" s="243"/>
      <c r="AF1383" s="243"/>
      <c r="AG1383" s="243"/>
      <c r="AH1383" s="243"/>
      <c r="AI1383" s="243"/>
      <c r="AJ1383" s="243"/>
    </row>
    <row r="1384" hidden="1">
      <c r="A1384" s="241"/>
      <c r="B1384" s="241"/>
      <c r="C1384" s="241"/>
      <c r="D1384" s="241"/>
      <c r="E1384" s="241"/>
      <c r="F1384" s="241"/>
      <c r="G1384" s="241"/>
      <c r="H1384" s="241"/>
      <c r="I1384" s="241"/>
      <c r="J1384" s="241"/>
      <c r="K1384" s="241"/>
      <c r="L1384" s="242"/>
      <c r="M1384" s="241"/>
      <c r="N1384" s="241"/>
      <c r="O1384" s="241"/>
      <c r="P1384" s="241"/>
      <c r="Q1384" s="241"/>
      <c r="R1384" s="241"/>
      <c r="S1384" s="241"/>
      <c r="T1384" s="241"/>
      <c r="U1384" s="241"/>
      <c r="V1384" s="241"/>
      <c r="W1384" s="241"/>
      <c r="X1384" s="243"/>
      <c r="Y1384" s="243"/>
      <c r="Z1384" s="243"/>
      <c r="AA1384" s="243"/>
      <c r="AB1384" s="243"/>
      <c r="AC1384" s="243"/>
      <c r="AD1384" s="243"/>
      <c r="AE1384" s="243"/>
      <c r="AF1384" s="243"/>
      <c r="AG1384" s="243"/>
      <c r="AH1384" s="243"/>
      <c r="AI1384" s="243"/>
      <c r="AJ1384" s="243"/>
    </row>
    <row r="1385" hidden="1">
      <c r="A1385" s="241"/>
      <c r="B1385" s="241"/>
      <c r="C1385" s="241"/>
      <c r="D1385" s="241"/>
      <c r="E1385" s="241"/>
      <c r="F1385" s="241"/>
      <c r="G1385" s="241"/>
      <c r="H1385" s="241"/>
      <c r="I1385" s="241"/>
      <c r="J1385" s="241"/>
      <c r="K1385" s="241"/>
      <c r="L1385" s="242"/>
      <c r="M1385" s="241"/>
      <c r="N1385" s="241"/>
      <c r="O1385" s="241"/>
      <c r="P1385" s="241"/>
      <c r="Q1385" s="241"/>
      <c r="R1385" s="241"/>
      <c r="S1385" s="241"/>
      <c r="T1385" s="241"/>
      <c r="U1385" s="241"/>
      <c r="V1385" s="241"/>
      <c r="W1385" s="241"/>
      <c r="X1385" s="243"/>
      <c r="Y1385" s="243"/>
      <c r="Z1385" s="243"/>
      <c r="AA1385" s="243"/>
      <c r="AB1385" s="243"/>
      <c r="AC1385" s="243"/>
      <c r="AD1385" s="243"/>
      <c r="AE1385" s="243"/>
      <c r="AF1385" s="243"/>
      <c r="AG1385" s="243"/>
      <c r="AH1385" s="243"/>
      <c r="AI1385" s="243"/>
      <c r="AJ1385" s="243"/>
    </row>
    <row r="1386" hidden="1">
      <c r="A1386" s="241"/>
      <c r="B1386" s="241"/>
      <c r="C1386" s="241"/>
      <c r="D1386" s="241"/>
      <c r="E1386" s="241"/>
      <c r="F1386" s="241"/>
      <c r="G1386" s="241"/>
      <c r="H1386" s="241"/>
      <c r="I1386" s="241"/>
      <c r="J1386" s="241"/>
      <c r="K1386" s="241"/>
      <c r="L1386" s="242"/>
      <c r="M1386" s="241"/>
      <c r="N1386" s="241"/>
      <c r="O1386" s="241"/>
      <c r="P1386" s="241"/>
      <c r="Q1386" s="241"/>
      <c r="R1386" s="241"/>
      <c r="S1386" s="241"/>
      <c r="T1386" s="241"/>
      <c r="U1386" s="241"/>
      <c r="V1386" s="241"/>
      <c r="W1386" s="241"/>
      <c r="X1386" s="243"/>
      <c r="Y1386" s="243"/>
      <c r="Z1386" s="243"/>
      <c r="AA1386" s="243"/>
      <c r="AB1386" s="243"/>
      <c r="AC1386" s="243"/>
      <c r="AD1386" s="243"/>
      <c r="AE1386" s="243"/>
      <c r="AF1386" s="243"/>
      <c r="AG1386" s="243"/>
      <c r="AH1386" s="243"/>
      <c r="AI1386" s="243"/>
      <c r="AJ1386" s="243"/>
    </row>
    <row r="1387" hidden="1">
      <c r="A1387" s="241"/>
      <c r="B1387" s="241"/>
      <c r="C1387" s="241"/>
      <c r="D1387" s="241"/>
      <c r="E1387" s="241"/>
      <c r="F1387" s="241"/>
      <c r="G1387" s="241"/>
      <c r="H1387" s="241"/>
      <c r="I1387" s="241"/>
      <c r="J1387" s="241"/>
      <c r="K1387" s="241"/>
      <c r="L1387" s="242"/>
      <c r="M1387" s="241"/>
      <c r="N1387" s="241"/>
      <c r="O1387" s="241"/>
      <c r="P1387" s="241"/>
      <c r="Q1387" s="241"/>
      <c r="R1387" s="241"/>
      <c r="S1387" s="241"/>
      <c r="T1387" s="241"/>
      <c r="U1387" s="241"/>
      <c r="V1387" s="241"/>
      <c r="W1387" s="241"/>
      <c r="X1387" s="243"/>
      <c r="Y1387" s="243"/>
      <c r="Z1387" s="243"/>
      <c r="AA1387" s="243"/>
      <c r="AB1387" s="243"/>
      <c r="AC1387" s="243"/>
      <c r="AD1387" s="243"/>
      <c r="AE1387" s="243"/>
      <c r="AF1387" s="243"/>
      <c r="AG1387" s="243"/>
      <c r="AH1387" s="243"/>
      <c r="AI1387" s="243"/>
      <c r="AJ1387" s="243"/>
    </row>
    <row r="1388" hidden="1">
      <c r="A1388" s="241"/>
      <c r="B1388" s="241"/>
      <c r="C1388" s="241"/>
      <c r="D1388" s="241"/>
      <c r="E1388" s="241"/>
      <c r="F1388" s="241"/>
      <c r="G1388" s="241"/>
      <c r="H1388" s="241"/>
      <c r="I1388" s="241"/>
      <c r="J1388" s="241"/>
      <c r="K1388" s="241"/>
      <c r="L1388" s="242"/>
      <c r="M1388" s="241"/>
      <c r="N1388" s="241"/>
      <c r="O1388" s="241"/>
      <c r="P1388" s="241"/>
      <c r="Q1388" s="241"/>
      <c r="R1388" s="241"/>
      <c r="S1388" s="241"/>
      <c r="T1388" s="241"/>
      <c r="U1388" s="241"/>
      <c r="V1388" s="241"/>
      <c r="W1388" s="241"/>
      <c r="X1388" s="243"/>
      <c r="Y1388" s="243"/>
      <c r="Z1388" s="243"/>
      <c r="AA1388" s="243"/>
      <c r="AB1388" s="243"/>
      <c r="AC1388" s="243"/>
      <c r="AD1388" s="243"/>
      <c r="AE1388" s="243"/>
      <c r="AF1388" s="243"/>
      <c r="AG1388" s="243"/>
      <c r="AH1388" s="243"/>
      <c r="AI1388" s="243"/>
      <c r="AJ1388" s="243"/>
    </row>
    <row r="1389" hidden="1">
      <c r="A1389" s="241"/>
      <c r="B1389" s="241"/>
      <c r="C1389" s="241"/>
      <c r="D1389" s="241"/>
      <c r="E1389" s="241"/>
      <c r="F1389" s="241"/>
      <c r="G1389" s="241"/>
      <c r="H1389" s="241"/>
      <c r="I1389" s="241"/>
      <c r="J1389" s="241"/>
      <c r="K1389" s="241"/>
      <c r="L1389" s="242"/>
      <c r="M1389" s="241"/>
      <c r="N1389" s="241"/>
      <c r="O1389" s="241"/>
      <c r="P1389" s="241"/>
      <c r="Q1389" s="241"/>
      <c r="R1389" s="241"/>
      <c r="S1389" s="241"/>
      <c r="T1389" s="241"/>
      <c r="U1389" s="241"/>
      <c r="V1389" s="241"/>
      <c r="W1389" s="241"/>
      <c r="X1389" s="243"/>
      <c r="Y1389" s="243"/>
      <c r="Z1389" s="243"/>
      <c r="AA1389" s="243"/>
      <c r="AB1389" s="243"/>
      <c r="AC1389" s="243"/>
      <c r="AD1389" s="243"/>
      <c r="AE1389" s="243"/>
      <c r="AF1389" s="243"/>
      <c r="AG1389" s="243"/>
      <c r="AH1389" s="243"/>
      <c r="AI1389" s="243"/>
      <c r="AJ1389" s="243"/>
    </row>
    <row r="1390" hidden="1">
      <c r="A1390" s="241"/>
      <c r="B1390" s="241"/>
      <c r="C1390" s="241"/>
      <c r="D1390" s="241"/>
      <c r="E1390" s="241"/>
      <c r="F1390" s="241"/>
      <c r="G1390" s="241"/>
      <c r="H1390" s="241"/>
      <c r="I1390" s="241"/>
      <c r="J1390" s="241"/>
      <c r="K1390" s="241"/>
      <c r="L1390" s="242"/>
      <c r="M1390" s="241"/>
      <c r="N1390" s="241"/>
      <c r="O1390" s="241"/>
      <c r="P1390" s="241"/>
      <c r="Q1390" s="241"/>
      <c r="R1390" s="241"/>
      <c r="S1390" s="241"/>
      <c r="T1390" s="241"/>
      <c r="U1390" s="241"/>
      <c r="V1390" s="241"/>
      <c r="W1390" s="241"/>
      <c r="X1390" s="243"/>
      <c r="Y1390" s="243"/>
      <c r="Z1390" s="243"/>
      <c r="AA1390" s="243"/>
      <c r="AB1390" s="243"/>
      <c r="AC1390" s="243"/>
      <c r="AD1390" s="243"/>
      <c r="AE1390" s="243"/>
      <c r="AF1390" s="243"/>
      <c r="AG1390" s="243"/>
      <c r="AH1390" s="243"/>
      <c r="AI1390" s="243"/>
      <c r="AJ1390" s="243"/>
    </row>
    <row r="1391" hidden="1">
      <c r="A1391" s="241"/>
      <c r="B1391" s="241"/>
      <c r="C1391" s="241"/>
      <c r="D1391" s="241"/>
      <c r="E1391" s="241"/>
      <c r="F1391" s="241"/>
      <c r="G1391" s="241"/>
      <c r="H1391" s="241"/>
      <c r="I1391" s="241"/>
      <c r="J1391" s="241"/>
      <c r="K1391" s="241"/>
      <c r="L1391" s="242"/>
      <c r="M1391" s="241"/>
      <c r="N1391" s="241"/>
      <c r="O1391" s="241"/>
      <c r="P1391" s="241"/>
      <c r="Q1391" s="241"/>
      <c r="R1391" s="241"/>
      <c r="S1391" s="241"/>
      <c r="T1391" s="241"/>
      <c r="U1391" s="241"/>
      <c r="V1391" s="241"/>
      <c r="W1391" s="241"/>
      <c r="X1391" s="243"/>
      <c r="Y1391" s="243"/>
      <c r="Z1391" s="243"/>
      <c r="AA1391" s="243"/>
      <c r="AB1391" s="243"/>
      <c r="AC1391" s="243"/>
      <c r="AD1391" s="243"/>
      <c r="AE1391" s="243"/>
      <c r="AF1391" s="243"/>
      <c r="AG1391" s="243"/>
      <c r="AH1391" s="243"/>
      <c r="AI1391" s="243"/>
      <c r="AJ1391" s="243"/>
    </row>
    <row r="1392" hidden="1">
      <c r="A1392" s="241"/>
      <c r="B1392" s="241"/>
      <c r="C1392" s="241"/>
      <c r="D1392" s="241"/>
      <c r="E1392" s="241"/>
      <c r="F1392" s="241"/>
      <c r="G1392" s="241"/>
      <c r="H1392" s="241"/>
      <c r="I1392" s="241"/>
      <c r="J1392" s="241"/>
      <c r="K1392" s="241"/>
      <c r="L1392" s="242"/>
      <c r="M1392" s="241"/>
      <c r="N1392" s="241"/>
      <c r="O1392" s="241"/>
      <c r="P1392" s="241"/>
      <c r="Q1392" s="241"/>
      <c r="R1392" s="241"/>
      <c r="S1392" s="241"/>
      <c r="T1392" s="241"/>
      <c r="U1392" s="241"/>
      <c r="V1392" s="241"/>
      <c r="W1392" s="241"/>
      <c r="X1392" s="243"/>
      <c r="Y1392" s="243"/>
      <c r="Z1392" s="243"/>
      <c r="AA1392" s="243"/>
      <c r="AB1392" s="243"/>
      <c r="AC1392" s="243"/>
      <c r="AD1392" s="243"/>
      <c r="AE1392" s="243"/>
      <c r="AF1392" s="243"/>
      <c r="AG1392" s="243"/>
      <c r="AH1392" s="243"/>
      <c r="AI1392" s="243"/>
      <c r="AJ1392" s="243"/>
    </row>
    <row r="1393" hidden="1">
      <c r="A1393" s="241"/>
      <c r="B1393" s="241"/>
      <c r="C1393" s="241"/>
      <c r="D1393" s="241"/>
      <c r="E1393" s="241"/>
      <c r="F1393" s="241"/>
      <c r="G1393" s="241"/>
      <c r="H1393" s="241"/>
      <c r="I1393" s="241"/>
      <c r="J1393" s="241"/>
      <c r="K1393" s="241"/>
      <c r="L1393" s="242"/>
      <c r="M1393" s="241"/>
      <c r="N1393" s="241"/>
      <c r="O1393" s="241"/>
      <c r="P1393" s="241"/>
      <c r="Q1393" s="241"/>
      <c r="R1393" s="241"/>
      <c r="S1393" s="241"/>
      <c r="T1393" s="241"/>
      <c r="U1393" s="241"/>
      <c r="V1393" s="241"/>
      <c r="W1393" s="241"/>
      <c r="X1393" s="243"/>
      <c r="Y1393" s="243"/>
      <c r="Z1393" s="243"/>
      <c r="AA1393" s="243"/>
      <c r="AB1393" s="243"/>
      <c r="AC1393" s="243"/>
      <c r="AD1393" s="243"/>
      <c r="AE1393" s="243"/>
      <c r="AF1393" s="243"/>
      <c r="AG1393" s="243"/>
      <c r="AH1393" s="243"/>
      <c r="AI1393" s="243"/>
      <c r="AJ1393" s="243"/>
    </row>
    <row r="1394" hidden="1">
      <c r="A1394" s="241"/>
      <c r="B1394" s="241"/>
      <c r="C1394" s="241"/>
      <c r="D1394" s="241"/>
      <c r="E1394" s="241"/>
      <c r="F1394" s="241"/>
      <c r="G1394" s="241"/>
      <c r="H1394" s="241"/>
      <c r="I1394" s="241"/>
      <c r="J1394" s="241"/>
      <c r="K1394" s="241"/>
      <c r="L1394" s="242"/>
      <c r="M1394" s="241"/>
      <c r="N1394" s="241"/>
      <c r="O1394" s="241"/>
      <c r="P1394" s="241"/>
      <c r="Q1394" s="241"/>
      <c r="R1394" s="241"/>
      <c r="S1394" s="241"/>
      <c r="T1394" s="241"/>
      <c r="U1394" s="241"/>
      <c r="V1394" s="241"/>
      <c r="W1394" s="241"/>
      <c r="X1394" s="243"/>
      <c r="Y1394" s="243"/>
      <c r="Z1394" s="243"/>
      <c r="AA1394" s="243"/>
      <c r="AB1394" s="243"/>
      <c r="AC1394" s="243"/>
      <c r="AD1394" s="243"/>
      <c r="AE1394" s="243"/>
      <c r="AF1394" s="243"/>
      <c r="AG1394" s="243"/>
      <c r="AH1394" s="243"/>
      <c r="AI1394" s="243"/>
      <c r="AJ1394" s="243"/>
    </row>
    <row r="1395" hidden="1">
      <c r="A1395" s="241"/>
      <c r="B1395" s="241"/>
      <c r="C1395" s="241"/>
      <c r="D1395" s="241"/>
      <c r="E1395" s="241"/>
      <c r="F1395" s="241"/>
      <c r="G1395" s="241"/>
      <c r="H1395" s="241"/>
      <c r="I1395" s="241"/>
      <c r="J1395" s="241"/>
      <c r="K1395" s="241"/>
      <c r="L1395" s="242"/>
      <c r="M1395" s="241"/>
      <c r="N1395" s="241"/>
      <c r="O1395" s="241"/>
      <c r="P1395" s="241"/>
      <c r="Q1395" s="241"/>
      <c r="R1395" s="241"/>
      <c r="S1395" s="241"/>
      <c r="T1395" s="241"/>
      <c r="U1395" s="241"/>
      <c r="V1395" s="241"/>
      <c r="W1395" s="241"/>
      <c r="X1395" s="243"/>
      <c r="Y1395" s="243"/>
      <c r="Z1395" s="243"/>
      <c r="AA1395" s="243"/>
      <c r="AB1395" s="243"/>
      <c r="AC1395" s="243"/>
      <c r="AD1395" s="243"/>
      <c r="AE1395" s="243"/>
      <c r="AF1395" s="243"/>
      <c r="AG1395" s="243"/>
      <c r="AH1395" s="243"/>
      <c r="AI1395" s="243"/>
      <c r="AJ1395" s="243"/>
    </row>
    <row r="1396" hidden="1">
      <c r="A1396" s="241"/>
      <c r="B1396" s="241"/>
      <c r="C1396" s="241"/>
      <c r="D1396" s="241"/>
      <c r="E1396" s="241"/>
      <c r="F1396" s="241"/>
      <c r="G1396" s="241"/>
      <c r="H1396" s="241"/>
      <c r="I1396" s="241"/>
      <c r="J1396" s="241"/>
      <c r="K1396" s="241"/>
      <c r="L1396" s="242"/>
      <c r="M1396" s="241"/>
      <c r="N1396" s="241"/>
      <c r="O1396" s="241"/>
      <c r="P1396" s="241"/>
      <c r="Q1396" s="241"/>
      <c r="R1396" s="241"/>
      <c r="S1396" s="241"/>
      <c r="T1396" s="241"/>
      <c r="U1396" s="241"/>
      <c r="V1396" s="241"/>
      <c r="W1396" s="241"/>
      <c r="X1396" s="243"/>
      <c r="Y1396" s="243"/>
      <c r="Z1396" s="243"/>
      <c r="AA1396" s="243"/>
      <c r="AB1396" s="243"/>
      <c r="AC1396" s="243"/>
      <c r="AD1396" s="243"/>
      <c r="AE1396" s="243"/>
      <c r="AF1396" s="243"/>
      <c r="AG1396" s="243"/>
      <c r="AH1396" s="243"/>
      <c r="AI1396" s="243"/>
      <c r="AJ1396" s="243"/>
    </row>
    <row r="1397" hidden="1">
      <c r="A1397" s="241"/>
      <c r="B1397" s="241"/>
      <c r="C1397" s="241"/>
      <c r="D1397" s="241"/>
      <c r="E1397" s="241"/>
      <c r="F1397" s="241"/>
      <c r="G1397" s="241"/>
      <c r="H1397" s="241"/>
      <c r="I1397" s="241"/>
      <c r="J1397" s="241"/>
      <c r="K1397" s="241"/>
      <c r="L1397" s="242"/>
      <c r="M1397" s="241"/>
      <c r="N1397" s="241"/>
      <c r="O1397" s="241"/>
      <c r="P1397" s="241"/>
      <c r="Q1397" s="241"/>
      <c r="R1397" s="241"/>
      <c r="S1397" s="241"/>
      <c r="T1397" s="241"/>
      <c r="U1397" s="241"/>
      <c r="V1397" s="241"/>
      <c r="W1397" s="241"/>
      <c r="X1397" s="243"/>
      <c r="Y1397" s="243"/>
      <c r="Z1397" s="243"/>
      <c r="AA1397" s="243"/>
      <c r="AB1397" s="243"/>
      <c r="AC1397" s="243"/>
      <c r="AD1397" s="243"/>
      <c r="AE1397" s="243"/>
      <c r="AF1397" s="243"/>
      <c r="AG1397" s="243"/>
      <c r="AH1397" s="243"/>
      <c r="AI1397" s="243"/>
      <c r="AJ1397" s="243"/>
    </row>
    <row r="1398" hidden="1">
      <c r="A1398" s="241"/>
      <c r="B1398" s="241"/>
      <c r="C1398" s="241"/>
      <c r="D1398" s="241"/>
      <c r="E1398" s="241"/>
      <c r="F1398" s="241"/>
      <c r="G1398" s="241"/>
      <c r="H1398" s="241"/>
      <c r="I1398" s="241"/>
      <c r="J1398" s="241"/>
      <c r="K1398" s="241"/>
      <c r="L1398" s="242"/>
      <c r="M1398" s="241"/>
      <c r="N1398" s="241"/>
      <c r="O1398" s="241"/>
      <c r="P1398" s="241"/>
      <c r="Q1398" s="241"/>
      <c r="R1398" s="241"/>
      <c r="S1398" s="241"/>
      <c r="T1398" s="241"/>
      <c r="U1398" s="241"/>
      <c r="V1398" s="241"/>
      <c r="W1398" s="241"/>
      <c r="X1398" s="243"/>
      <c r="Y1398" s="243"/>
      <c r="Z1398" s="243"/>
      <c r="AA1398" s="243"/>
      <c r="AB1398" s="243"/>
      <c r="AC1398" s="243"/>
      <c r="AD1398" s="243"/>
      <c r="AE1398" s="243"/>
      <c r="AF1398" s="243"/>
      <c r="AG1398" s="243"/>
      <c r="AH1398" s="243"/>
      <c r="AI1398" s="243"/>
      <c r="AJ1398" s="243"/>
    </row>
    <row r="1399" hidden="1">
      <c r="A1399" s="241"/>
      <c r="B1399" s="241"/>
      <c r="C1399" s="241"/>
      <c r="D1399" s="241"/>
      <c r="E1399" s="241"/>
      <c r="F1399" s="241"/>
      <c r="G1399" s="241"/>
      <c r="H1399" s="241"/>
      <c r="I1399" s="241"/>
      <c r="J1399" s="241"/>
      <c r="K1399" s="241"/>
      <c r="L1399" s="242"/>
      <c r="M1399" s="241"/>
      <c r="N1399" s="241"/>
      <c r="O1399" s="241"/>
      <c r="P1399" s="241"/>
      <c r="Q1399" s="241"/>
      <c r="R1399" s="241"/>
      <c r="S1399" s="241"/>
      <c r="T1399" s="241"/>
      <c r="U1399" s="241"/>
      <c r="V1399" s="241"/>
      <c r="W1399" s="241"/>
      <c r="X1399" s="243"/>
      <c r="Y1399" s="243"/>
      <c r="Z1399" s="243"/>
      <c r="AA1399" s="243"/>
      <c r="AB1399" s="243"/>
      <c r="AC1399" s="243"/>
      <c r="AD1399" s="243"/>
      <c r="AE1399" s="243"/>
      <c r="AF1399" s="243"/>
      <c r="AG1399" s="243"/>
      <c r="AH1399" s="243"/>
      <c r="AI1399" s="243"/>
      <c r="AJ1399" s="243"/>
    </row>
    <row r="1400" hidden="1">
      <c r="A1400" s="241"/>
      <c r="B1400" s="241"/>
      <c r="C1400" s="241"/>
      <c r="D1400" s="241"/>
      <c r="E1400" s="241"/>
      <c r="F1400" s="241"/>
      <c r="G1400" s="241"/>
      <c r="H1400" s="241"/>
      <c r="I1400" s="241"/>
      <c r="J1400" s="241"/>
      <c r="K1400" s="241"/>
      <c r="L1400" s="242"/>
      <c r="M1400" s="241"/>
      <c r="N1400" s="241"/>
      <c r="O1400" s="241"/>
      <c r="P1400" s="241"/>
      <c r="Q1400" s="241"/>
      <c r="R1400" s="241"/>
      <c r="S1400" s="241"/>
      <c r="T1400" s="241"/>
      <c r="U1400" s="241"/>
      <c r="V1400" s="241"/>
      <c r="W1400" s="241"/>
      <c r="X1400" s="243"/>
      <c r="Y1400" s="243"/>
      <c r="Z1400" s="243"/>
      <c r="AA1400" s="243"/>
      <c r="AB1400" s="243"/>
      <c r="AC1400" s="243"/>
      <c r="AD1400" s="243"/>
      <c r="AE1400" s="243"/>
      <c r="AF1400" s="243"/>
      <c r="AG1400" s="243"/>
      <c r="AH1400" s="243"/>
      <c r="AI1400" s="243"/>
      <c r="AJ1400" s="243"/>
    </row>
    <row r="1401" hidden="1">
      <c r="A1401" s="241"/>
      <c r="B1401" s="241"/>
      <c r="C1401" s="241"/>
      <c r="D1401" s="241"/>
      <c r="E1401" s="241"/>
      <c r="F1401" s="241"/>
      <c r="G1401" s="241"/>
      <c r="H1401" s="241"/>
      <c r="I1401" s="241"/>
      <c r="J1401" s="241"/>
      <c r="K1401" s="241"/>
      <c r="L1401" s="242"/>
      <c r="M1401" s="241"/>
      <c r="N1401" s="241"/>
      <c r="O1401" s="241"/>
      <c r="P1401" s="241"/>
      <c r="Q1401" s="241"/>
      <c r="R1401" s="241"/>
      <c r="S1401" s="241"/>
      <c r="T1401" s="241"/>
      <c r="U1401" s="241"/>
      <c r="V1401" s="241"/>
      <c r="W1401" s="241"/>
      <c r="X1401" s="243"/>
      <c r="Y1401" s="243"/>
      <c r="Z1401" s="243"/>
      <c r="AA1401" s="243"/>
      <c r="AB1401" s="243"/>
      <c r="AC1401" s="243"/>
      <c r="AD1401" s="243"/>
      <c r="AE1401" s="243"/>
      <c r="AF1401" s="243"/>
      <c r="AG1401" s="243"/>
      <c r="AH1401" s="243"/>
      <c r="AI1401" s="243"/>
      <c r="AJ1401" s="243"/>
    </row>
    <row r="1402" hidden="1">
      <c r="A1402" s="241"/>
      <c r="B1402" s="241"/>
      <c r="C1402" s="241"/>
      <c r="D1402" s="241"/>
      <c r="E1402" s="241"/>
      <c r="F1402" s="241"/>
      <c r="G1402" s="241"/>
      <c r="H1402" s="241"/>
      <c r="I1402" s="241"/>
      <c r="J1402" s="241"/>
      <c r="K1402" s="241"/>
      <c r="L1402" s="242"/>
      <c r="M1402" s="241"/>
      <c r="N1402" s="241"/>
      <c r="O1402" s="241"/>
      <c r="P1402" s="241"/>
      <c r="Q1402" s="241"/>
      <c r="R1402" s="241"/>
      <c r="S1402" s="241"/>
      <c r="T1402" s="241"/>
      <c r="U1402" s="241"/>
      <c r="V1402" s="241"/>
      <c r="W1402" s="241"/>
      <c r="X1402" s="243"/>
      <c r="Y1402" s="243"/>
      <c r="Z1402" s="243"/>
      <c r="AA1402" s="243"/>
      <c r="AB1402" s="243"/>
      <c r="AC1402" s="243"/>
      <c r="AD1402" s="243"/>
      <c r="AE1402" s="243"/>
      <c r="AF1402" s="243"/>
      <c r="AG1402" s="243"/>
      <c r="AH1402" s="243"/>
      <c r="AI1402" s="243"/>
      <c r="AJ1402" s="243"/>
    </row>
    <row r="1403" hidden="1">
      <c r="A1403" s="241"/>
      <c r="B1403" s="241"/>
      <c r="C1403" s="241"/>
      <c r="D1403" s="241"/>
      <c r="E1403" s="241"/>
      <c r="F1403" s="241"/>
      <c r="G1403" s="241"/>
      <c r="H1403" s="241"/>
      <c r="I1403" s="241"/>
      <c r="J1403" s="241"/>
      <c r="K1403" s="241"/>
      <c r="L1403" s="242"/>
      <c r="M1403" s="241"/>
      <c r="N1403" s="241"/>
      <c r="O1403" s="241"/>
      <c r="P1403" s="241"/>
      <c r="Q1403" s="241"/>
      <c r="R1403" s="241"/>
      <c r="S1403" s="241"/>
      <c r="T1403" s="241"/>
      <c r="U1403" s="241"/>
      <c r="V1403" s="241"/>
      <c r="W1403" s="241"/>
      <c r="X1403" s="243"/>
      <c r="Y1403" s="243"/>
      <c r="Z1403" s="243"/>
      <c r="AA1403" s="243"/>
      <c r="AB1403" s="243"/>
      <c r="AC1403" s="243"/>
      <c r="AD1403" s="243"/>
      <c r="AE1403" s="243"/>
      <c r="AF1403" s="243"/>
      <c r="AG1403" s="243"/>
      <c r="AH1403" s="243"/>
      <c r="AI1403" s="243"/>
      <c r="AJ1403" s="243"/>
    </row>
    <row r="1404" hidden="1">
      <c r="A1404" s="241"/>
      <c r="B1404" s="241"/>
      <c r="C1404" s="241"/>
      <c r="D1404" s="241"/>
      <c r="E1404" s="241"/>
      <c r="F1404" s="241"/>
      <c r="G1404" s="241"/>
      <c r="H1404" s="241"/>
      <c r="I1404" s="241"/>
      <c r="J1404" s="241"/>
      <c r="K1404" s="241"/>
      <c r="L1404" s="242"/>
      <c r="M1404" s="241"/>
      <c r="N1404" s="241"/>
      <c r="O1404" s="241"/>
      <c r="P1404" s="241"/>
      <c r="Q1404" s="241"/>
      <c r="R1404" s="241"/>
      <c r="S1404" s="241"/>
      <c r="T1404" s="241"/>
      <c r="U1404" s="241"/>
      <c r="V1404" s="241"/>
      <c r="W1404" s="241"/>
      <c r="X1404" s="243"/>
      <c r="Y1404" s="243"/>
      <c r="Z1404" s="243"/>
      <c r="AA1404" s="243"/>
      <c r="AB1404" s="243"/>
      <c r="AC1404" s="243"/>
      <c r="AD1404" s="243"/>
      <c r="AE1404" s="243"/>
      <c r="AF1404" s="243"/>
      <c r="AG1404" s="243"/>
      <c r="AH1404" s="243"/>
      <c r="AI1404" s="243"/>
      <c r="AJ1404" s="243"/>
    </row>
    <row r="1405" hidden="1">
      <c r="A1405" s="241"/>
      <c r="B1405" s="241"/>
      <c r="C1405" s="241"/>
      <c r="D1405" s="241"/>
      <c r="E1405" s="241"/>
      <c r="F1405" s="241"/>
      <c r="G1405" s="241"/>
      <c r="H1405" s="241"/>
      <c r="I1405" s="241"/>
      <c r="J1405" s="241"/>
      <c r="K1405" s="241"/>
      <c r="L1405" s="242"/>
      <c r="M1405" s="241"/>
      <c r="N1405" s="241"/>
      <c r="O1405" s="241"/>
      <c r="P1405" s="241"/>
      <c r="Q1405" s="241"/>
      <c r="R1405" s="241"/>
      <c r="S1405" s="241"/>
      <c r="T1405" s="241"/>
      <c r="U1405" s="241"/>
      <c r="V1405" s="241"/>
      <c r="W1405" s="241"/>
      <c r="X1405" s="243"/>
      <c r="Y1405" s="243"/>
      <c r="Z1405" s="243"/>
      <c r="AA1405" s="243"/>
      <c r="AB1405" s="243"/>
      <c r="AC1405" s="243"/>
      <c r="AD1405" s="243"/>
      <c r="AE1405" s="243"/>
      <c r="AF1405" s="243"/>
      <c r="AG1405" s="243"/>
      <c r="AH1405" s="243"/>
      <c r="AI1405" s="243"/>
      <c r="AJ1405" s="243"/>
    </row>
    <row r="1406" hidden="1">
      <c r="A1406" s="241"/>
      <c r="B1406" s="241"/>
      <c r="C1406" s="241"/>
      <c r="D1406" s="241"/>
      <c r="E1406" s="241"/>
      <c r="F1406" s="241"/>
      <c r="G1406" s="241"/>
      <c r="H1406" s="241"/>
      <c r="I1406" s="241"/>
      <c r="J1406" s="241"/>
      <c r="K1406" s="241"/>
      <c r="L1406" s="242"/>
      <c r="M1406" s="241"/>
      <c r="N1406" s="241"/>
      <c r="O1406" s="241"/>
      <c r="P1406" s="241"/>
      <c r="Q1406" s="241"/>
      <c r="R1406" s="241"/>
      <c r="S1406" s="241"/>
      <c r="T1406" s="241"/>
      <c r="U1406" s="241"/>
      <c r="V1406" s="241"/>
      <c r="W1406" s="241"/>
      <c r="X1406" s="243"/>
      <c r="Y1406" s="243"/>
      <c r="Z1406" s="243"/>
      <c r="AA1406" s="243"/>
      <c r="AB1406" s="243"/>
      <c r="AC1406" s="243"/>
      <c r="AD1406" s="243"/>
      <c r="AE1406" s="243"/>
      <c r="AF1406" s="243"/>
      <c r="AG1406" s="243"/>
      <c r="AH1406" s="243"/>
      <c r="AI1406" s="243"/>
      <c r="AJ1406" s="243"/>
    </row>
    <row r="1407" hidden="1">
      <c r="A1407" s="241"/>
      <c r="B1407" s="241"/>
      <c r="C1407" s="241"/>
      <c r="D1407" s="241"/>
      <c r="E1407" s="241"/>
      <c r="F1407" s="241"/>
      <c r="G1407" s="241"/>
      <c r="H1407" s="241"/>
      <c r="I1407" s="241"/>
      <c r="J1407" s="241"/>
      <c r="K1407" s="241"/>
      <c r="L1407" s="242"/>
      <c r="M1407" s="241"/>
      <c r="N1407" s="241"/>
      <c r="O1407" s="241"/>
      <c r="P1407" s="241"/>
      <c r="Q1407" s="241"/>
      <c r="R1407" s="241"/>
      <c r="S1407" s="241"/>
      <c r="T1407" s="241"/>
      <c r="U1407" s="241"/>
      <c r="V1407" s="241"/>
      <c r="W1407" s="241"/>
      <c r="X1407" s="243"/>
      <c r="Y1407" s="243"/>
      <c r="Z1407" s="243"/>
      <c r="AA1407" s="243"/>
      <c r="AB1407" s="243"/>
      <c r="AC1407" s="243"/>
      <c r="AD1407" s="243"/>
      <c r="AE1407" s="243"/>
      <c r="AF1407" s="243"/>
      <c r="AG1407" s="243"/>
      <c r="AH1407" s="243"/>
      <c r="AI1407" s="243"/>
      <c r="AJ1407" s="243"/>
    </row>
    <row r="1408" hidden="1">
      <c r="A1408" s="241"/>
      <c r="B1408" s="241"/>
      <c r="C1408" s="241"/>
      <c r="D1408" s="241"/>
      <c r="E1408" s="241"/>
      <c r="F1408" s="241"/>
      <c r="G1408" s="241"/>
      <c r="H1408" s="241"/>
      <c r="I1408" s="241"/>
      <c r="J1408" s="241"/>
      <c r="K1408" s="241"/>
      <c r="L1408" s="242"/>
      <c r="M1408" s="241"/>
      <c r="N1408" s="241"/>
      <c r="O1408" s="241"/>
      <c r="P1408" s="241"/>
      <c r="Q1408" s="241"/>
      <c r="R1408" s="241"/>
      <c r="S1408" s="241"/>
      <c r="T1408" s="241"/>
      <c r="U1408" s="241"/>
      <c r="V1408" s="241"/>
      <c r="W1408" s="241"/>
      <c r="X1408" s="243"/>
      <c r="Y1408" s="243"/>
      <c r="Z1408" s="243"/>
      <c r="AA1408" s="243"/>
      <c r="AB1408" s="243"/>
      <c r="AC1408" s="243"/>
      <c r="AD1408" s="243"/>
      <c r="AE1408" s="243"/>
      <c r="AF1408" s="243"/>
      <c r="AG1408" s="243"/>
      <c r="AH1408" s="243"/>
      <c r="AI1408" s="243"/>
      <c r="AJ1408" s="243"/>
    </row>
    <row r="1409" hidden="1">
      <c r="A1409" s="241"/>
      <c r="B1409" s="241"/>
      <c r="C1409" s="241"/>
      <c r="D1409" s="241"/>
      <c r="E1409" s="241"/>
      <c r="F1409" s="241"/>
      <c r="G1409" s="241"/>
      <c r="H1409" s="241"/>
      <c r="I1409" s="241"/>
      <c r="J1409" s="241"/>
      <c r="K1409" s="241"/>
      <c r="L1409" s="242"/>
      <c r="M1409" s="241"/>
      <c r="N1409" s="241"/>
      <c r="O1409" s="241"/>
      <c r="P1409" s="241"/>
      <c r="Q1409" s="241"/>
      <c r="R1409" s="241"/>
      <c r="S1409" s="241"/>
      <c r="T1409" s="241"/>
      <c r="U1409" s="241"/>
      <c r="V1409" s="241"/>
      <c r="W1409" s="241"/>
      <c r="X1409" s="243"/>
      <c r="Y1409" s="243"/>
      <c r="Z1409" s="243"/>
      <c r="AA1409" s="243"/>
      <c r="AB1409" s="243"/>
      <c r="AC1409" s="243"/>
      <c r="AD1409" s="243"/>
      <c r="AE1409" s="243"/>
      <c r="AF1409" s="243"/>
      <c r="AG1409" s="243"/>
      <c r="AH1409" s="243"/>
      <c r="AI1409" s="243"/>
      <c r="AJ1409" s="243"/>
    </row>
    <row r="1410" hidden="1">
      <c r="A1410" s="241"/>
      <c r="B1410" s="241"/>
      <c r="C1410" s="241"/>
      <c r="D1410" s="241"/>
      <c r="E1410" s="241"/>
      <c r="F1410" s="241"/>
      <c r="G1410" s="241"/>
      <c r="H1410" s="241"/>
      <c r="I1410" s="241"/>
      <c r="J1410" s="241"/>
      <c r="K1410" s="241"/>
      <c r="L1410" s="242"/>
      <c r="M1410" s="241"/>
      <c r="N1410" s="241"/>
      <c r="O1410" s="241"/>
      <c r="P1410" s="241"/>
      <c r="Q1410" s="241"/>
      <c r="R1410" s="241"/>
      <c r="S1410" s="241"/>
      <c r="T1410" s="241"/>
      <c r="U1410" s="241"/>
      <c r="V1410" s="241"/>
      <c r="W1410" s="241"/>
      <c r="X1410" s="243"/>
      <c r="Y1410" s="243"/>
      <c r="Z1410" s="243"/>
      <c r="AA1410" s="243"/>
      <c r="AB1410" s="243"/>
      <c r="AC1410" s="243"/>
      <c r="AD1410" s="243"/>
      <c r="AE1410" s="243"/>
      <c r="AF1410" s="243"/>
      <c r="AG1410" s="243"/>
      <c r="AH1410" s="243"/>
      <c r="AI1410" s="243"/>
      <c r="AJ1410" s="243"/>
    </row>
    <row r="1411" hidden="1">
      <c r="A1411" s="241"/>
      <c r="B1411" s="241"/>
      <c r="C1411" s="241"/>
      <c r="D1411" s="241"/>
      <c r="E1411" s="241"/>
      <c r="F1411" s="241"/>
      <c r="G1411" s="241"/>
      <c r="H1411" s="241"/>
      <c r="I1411" s="241"/>
      <c r="J1411" s="241"/>
      <c r="K1411" s="241"/>
      <c r="L1411" s="242"/>
      <c r="M1411" s="241"/>
      <c r="N1411" s="241"/>
      <c r="O1411" s="241"/>
      <c r="P1411" s="241"/>
      <c r="Q1411" s="241"/>
      <c r="R1411" s="241"/>
      <c r="S1411" s="241"/>
      <c r="T1411" s="241"/>
      <c r="U1411" s="241"/>
      <c r="V1411" s="241"/>
      <c r="W1411" s="241"/>
      <c r="X1411" s="243"/>
      <c r="Y1411" s="243"/>
      <c r="Z1411" s="243"/>
      <c r="AA1411" s="243"/>
      <c r="AB1411" s="243"/>
      <c r="AC1411" s="243"/>
      <c r="AD1411" s="243"/>
      <c r="AE1411" s="243"/>
      <c r="AF1411" s="243"/>
      <c r="AG1411" s="243"/>
      <c r="AH1411" s="243"/>
      <c r="AI1411" s="243"/>
      <c r="AJ1411" s="243"/>
    </row>
    <row r="1412" hidden="1">
      <c r="A1412" s="241"/>
      <c r="B1412" s="241"/>
      <c r="C1412" s="241"/>
      <c r="D1412" s="241"/>
      <c r="E1412" s="241"/>
      <c r="F1412" s="241"/>
      <c r="G1412" s="241"/>
      <c r="H1412" s="241"/>
      <c r="I1412" s="241"/>
      <c r="J1412" s="241"/>
      <c r="K1412" s="241"/>
      <c r="L1412" s="242"/>
      <c r="M1412" s="241"/>
      <c r="N1412" s="241"/>
      <c r="O1412" s="241"/>
      <c r="P1412" s="241"/>
      <c r="Q1412" s="241"/>
      <c r="R1412" s="241"/>
      <c r="S1412" s="241"/>
      <c r="T1412" s="241"/>
      <c r="U1412" s="241"/>
      <c r="V1412" s="241"/>
      <c r="W1412" s="241"/>
      <c r="X1412" s="243"/>
      <c r="Y1412" s="243"/>
      <c r="Z1412" s="243"/>
      <c r="AA1412" s="243"/>
      <c r="AB1412" s="243"/>
      <c r="AC1412" s="243"/>
      <c r="AD1412" s="243"/>
      <c r="AE1412" s="243"/>
      <c r="AF1412" s="243"/>
      <c r="AG1412" s="243"/>
      <c r="AH1412" s="243"/>
      <c r="AI1412" s="243"/>
      <c r="AJ1412" s="243"/>
    </row>
    <row r="1413" hidden="1">
      <c r="A1413" s="241"/>
      <c r="B1413" s="241"/>
      <c r="C1413" s="241"/>
      <c r="D1413" s="241"/>
      <c r="E1413" s="241"/>
      <c r="F1413" s="241"/>
      <c r="G1413" s="241"/>
      <c r="H1413" s="241"/>
      <c r="I1413" s="241"/>
      <c r="J1413" s="241"/>
      <c r="K1413" s="241"/>
      <c r="L1413" s="242"/>
      <c r="M1413" s="241"/>
      <c r="N1413" s="241"/>
      <c r="O1413" s="241"/>
      <c r="P1413" s="241"/>
      <c r="Q1413" s="241"/>
      <c r="R1413" s="241"/>
      <c r="S1413" s="241"/>
      <c r="T1413" s="241"/>
      <c r="U1413" s="241"/>
      <c r="V1413" s="241"/>
      <c r="W1413" s="241"/>
      <c r="X1413" s="243"/>
      <c r="Y1413" s="243"/>
      <c r="Z1413" s="243"/>
      <c r="AA1413" s="243"/>
      <c r="AB1413" s="243"/>
      <c r="AC1413" s="243"/>
      <c r="AD1413" s="243"/>
      <c r="AE1413" s="243"/>
      <c r="AF1413" s="243"/>
      <c r="AG1413" s="243"/>
      <c r="AH1413" s="243"/>
      <c r="AI1413" s="243"/>
      <c r="AJ1413" s="243"/>
    </row>
    <row r="1414" hidden="1">
      <c r="A1414" s="241"/>
      <c r="B1414" s="241"/>
      <c r="C1414" s="241"/>
      <c r="D1414" s="241"/>
      <c r="E1414" s="241"/>
      <c r="F1414" s="241"/>
      <c r="G1414" s="241"/>
      <c r="H1414" s="241"/>
      <c r="I1414" s="241"/>
      <c r="J1414" s="241"/>
      <c r="K1414" s="241"/>
      <c r="L1414" s="242"/>
      <c r="M1414" s="241"/>
      <c r="N1414" s="241"/>
      <c r="O1414" s="241"/>
      <c r="P1414" s="241"/>
      <c r="Q1414" s="241"/>
      <c r="R1414" s="241"/>
      <c r="S1414" s="241"/>
      <c r="T1414" s="241"/>
      <c r="U1414" s="241"/>
      <c r="V1414" s="241"/>
      <c r="W1414" s="241"/>
      <c r="X1414" s="243"/>
      <c r="Y1414" s="243"/>
      <c r="Z1414" s="243"/>
      <c r="AA1414" s="243"/>
      <c r="AB1414" s="243"/>
      <c r="AC1414" s="243"/>
      <c r="AD1414" s="243"/>
      <c r="AE1414" s="243"/>
      <c r="AF1414" s="243"/>
      <c r="AG1414" s="243"/>
      <c r="AH1414" s="243"/>
      <c r="AI1414" s="243"/>
      <c r="AJ1414" s="243"/>
    </row>
    <row r="1415" hidden="1">
      <c r="A1415" s="241"/>
      <c r="B1415" s="241"/>
      <c r="C1415" s="241"/>
      <c r="D1415" s="241"/>
      <c r="E1415" s="241"/>
      <c r="F1415" s="241"/>
      <c r="G1415" s="241"/>
      <c r="H1415" s="241"/>
      <c r="I1415" s="241"/>
      <c r="J1415" s="241"/>
      <c r="K1415" s="241"/>
      <c r="L1415" s="242"/>
      <c r="M1415" s="241"/>
      <c r="N1415" s="241"/>
      <c r="O1415" s="241"/>
      <c r="P1415" s="241"/>
      <c r="Q1415" s="241"/>
      <c r="R1415" s="241"/>
      <c r="S1415" s="241"/>
      <c r="T1415" s="241"/>
      <c r="U1415" s="241"/>
      <c r="V1415" s="241"/>
      <c r="W1415" s="241"/>
      <c r="X1415" s="243"/>
      <c r="Y1415" s="243"/>
      <c r="Z1415" s="243"/>
      <c r="AA1415" s="243"/>
      <c r="AB1415" s="243"/>
      <c r="AC1415" s="243"/>
      <c r="AD1415" s="243"/>
      <c r="AE1415" s="243"/>
      <c r="AF1415" s="243"/>
      <c r="AG1415" s="243"/>
      <c r="AH1415" s="243"/>
      <c r="AI1415" s="243"/>
      <c r="AJ1415" s="243"/>
    </row>
    <row r="1416" hidden="1">
      <c r="A1416" s="241"/>
      <c r="B1416" s="241"/>
      <c r="C1416" s="241"/>
      <c r="D1416" s="241"/>
      <c r="E1416" s="241"/>
      <c r="F1416" s="241"/>
      <c r="G1416" s="241"/>
      <c r="H1416" s="241"/>
      <c r="I1416" s="241"/>
      <c r="J1416" s="241"/>
      <c r="K1416" s="241"/>
      <c r="L1416" s="242"/>
      <c r="M1416" s="241"/>
      <c r="N1416" s="241"/>
      <c r="O1416" s="241"/>
      <c r="P1416" s="241"/>
      <c r="Q1416" s="241"/>
      <c r="R1416" s="241"/>
      <c r="S1416" s="241"/>
      <c r="T1416" s="241"/>
      <c r="U1416" s="241"/>
      <c r="V1416" s="241"/>
      <c r="W1416" s="241"/>
      <c r="X1416" s="243"/>
      <c r="Y1416" s="243"/>
      <c r="Z1416" s="243"/>
      <c r="AA1416" s="243"/>
      <c r="AB1416" s="243"/>
      <c r="AC1416" s="243"/>
      <c r="AD1416" s="243"/>
      <c r="AE1416" s="243"/>
      <c r="AF1416" s="243"/>
      <c r="AG1416" s="243"/>
      <c r="AH1416" s="243"/>
      <c r="AI1416" s="243"/>
      <c r="AJ1416" s="243"/>
    </row>
    <row r="1417" hidden="1">
      <c r="A1417" s="241"/>
      <c r="B1417" s="241"/>
      <c r="C1417" s="241"/>
      <c r="D1417" s="241"/>
      <c r="E1417" s="241"/>
      <c r="F1417" s="241"/>
      <c r="G1417" s="241"/>
      <c r="H1417" s="241"/>
      <c r="I1417" s="241"/>
      <c r="J1417" s="241"/>
      <c r="K1417" s="241"/>
      <c r="L1417" s="242"/>
      <c r="M1417" s="241"/>
      <c r="N1417" s="241"/>
      <c r="O1417" s="241"/>
      <c r="P1417" s="241"/>
      <c r="Q1417" s="241"/>
      <c r="R1417" s="241"/>
      <c r="S1417" s="241"/>
      <c r="T1417" s="241"/>
      <c r="U1417" s="241"/>
      <c r="V1417" s="241"/>
      <c r="W1417" s="241"/>
      <c r="X1417" s="243"/>
      <c r="Y1417" s="243"/>
      <c r="Z1417" s="243"/>
      <c r="AA1417" s="243"/>
      <c r="AB1417" s="243"/>
      <c r="AC1417" s="243"/>
      <c r="AD1417" s="243"/>
      <c r="AE1417" s="243"/>
      <c r="AF1417" s="243"/>
      <c r="AG1417" s="243"/>
      <c r="AH1417" s="243"/>
      <c r="AI1417" s="243"/>
      <c r="AJ1417" s="243"/>
    </row>
    <row r="1418" hidden="1">
      <c r="A1418" s="241"/>
      <c r="B1418" s="241"/>
      <c r="C1418" s="241"/>
      <c r="D1418" s="241"/>
      <c r="E1418" s="241"/>
      <c r="F1418" s="241"/>
      <c r="G1418" s="241"/>
      <c r="H1418" s="241"/>
      <c r="I1418" s="241"/>
      <c r="J1418" s="241"/>
      <c r="K1418" s="241"/>
      <c r="L1418" s="242"/>
      <c r="M1418" s="241"/>
      <c r="N1418" s="241"/>
      <c r="O1418" s="241"/>
      <c r="P1418" s="241"/>
      <c r="Q1418" s="241"/>
      <c r="R1418" s="241"/>
      <c r="S1418" s="241"/>
      <c r="T1418" s="241"/>
      <c r="U1418" s="241"/>
      <c r="V1418" s="241"/>
      <c r="W1418" s="241"/>
      <c r="X1418" s="243"/>
      <c r="Y1418" s="243"/>
      <c r="Z1418" s="243"/>
      <c r="AA1418" s="243"/>
      <c r="AB1418" s="243"/>
      <c r="AC1418" s="243"/>
      <c r="AD1418" s="243"/>
      <c r="AE1418" s="243"/>
      <c r="AF1418" s="243"/>
      <c r="AG1418" s="243"/>
      <c r="AH1418" s="243"/>
      <c r="AI1418" s="243"/>
      <c r="AJ1418" s="243"/>
    </row>
    <row r="1419" hidden="1">
      <c r="A1419" s="241"/>
      <c r="B1419" s="241"/>
      <c r="C1419" s="241"/>
      <c r="D1419" s="241"/>
      <c r="E1419" s="241"/>
      <c r="F1419" s="241"/>
      <c r="G1419" s="241"/>
      <c r="H1419" s="241"/>
      <c r="I1419" s="241"/>
      <c r="J1419" s="241"/>
      <c r="K1419" s="241"/>
      <c r="L1419" s="242"/>
      <c r="M1419" s="241"/>
      <c r="N1419" s="241"/>
      <c r="O1419" s="241"/>
      <c r="P1419" s="241"/>
      <c r="Q1419" s="241"/>
      <c r="R1419" s="241"/>
      <c r="S1419" s="241"/>
      <c r="T1419" s="241"/>
      <c r="U1419" s="241"/>
      <c r="V1419" s="241"/>
      <c r="W1419" s="241"/>
      <c r="X1419" s="243"/>
      <c r="Y1419" s="243"/>
      <c r="Z1419" s="243"/>
      <c r="AA1419" s="243"/>
      <c r="AB1419" s="243"/>
      <c r="AC1419" s="243"/>
      <c r="AD1419" s="243"/>
      <c r="AE1419" s="243"/>
      <c r="AF1419" s="243"/>
      <c r="AG1419" s="243"/>
      <c r="AH1419" s="243"/>
      <c r="AI1419" s="243"/>
      <c r="AJ1419" s="243"/>
    </row>
    <row r="1420" hidden="1">
      <c r="A1420" s="241"/>
      <c r="B1420" s="241"/>
      <c r="C1420" s="241"/>
      <c r="D1420" s="241"/>
      <c r="E1420" s="241"/>
      <c r="F1420" s="241"/>
      <c r="G1420" s="241"/>
      <c r="H1420" s="241"/>
      <c r="I1420" s="241"/>
      <c r="J1420" s="241"/>
      <c r="K1420" s="241"/>
      <c r="L1420" s="242"/>
      <c r="M1420" s="241"/>
      <c r="N1420" s="241"/>
      <c r="O1420" s="241"/>
      <c r="P1420" s="241"/>
      <c r="Q1420" s="241"/>
      <c r="R1420" s="241"/>
      <c r="S1420" s="241"/>
      <c r="T1420" s="241"/>
      <c r="U1420" s="241"/>
      <c r="V1420" s="241"/>
      <c r="W1420" s="241"/>
      <c r="X1420" s="243"/>
      <c r="Y1420" s="243"/>
      <c r="Z1420" s="243"/>
      <c r="AA1420" s="243"/>
      <c r="AB1420" s="243"/>
      <c r="AC1420" s="243"/>
      <c r="AD1420" s="243"/>
      <c r="AE1420" s="243"/>
      <c r="AF1420" s="243"/>
      <c r="AG1420" s="243"/>
      <c r="AH1420" s="243"/>
      <c r="AI1420" s="243"/>
      <c r="AJ1420" s="243"/>
    </row>
    <row r="1421" hidden="1">
      <c r="A1421" s="241"/>
      <c r="B1421" s="241"/>
      <c r="C1421" s="241"/>
      <c r="D1421" s="241"/>
      <c r="E1421" s="241"/>
      <c r="F1421" s="241"/>
      <c r="G1421" s="241"/>
      <c r="H1421" s="241"/>
      <c r="I1421" s="241"/>
      <c r="J1421" s="241"/>
      <c r="K1421" s="241"/>
      <c r="L1421" s="242"/>
      <c r="M1421" s="241"/>
      <c r="N1421" s="241"/>
      <c r="O1421" s="241"/>
      <c r="P1421" s="241"/>
      <c r="Q1421" s="241"/>
      <c r="R1421" s="241"/>
      <c r="S1421" s="241"/>
      <c r="T1421" s="241"/>
      <c r="U1421" s="241"/>
      <c r="V1421" s="241"/>
      <c r="W1421" s="241"/>
      <c r="X1421" s="243"/>
      <c r="Y1421" s="243"/>
      <c r="Z1421" s="243"/>
      <c r="AA1421" s="243"/>
      <c r="AB1421" s="243"/>
      <c r="AC1421" s="243"/>
      <c r="AD1421" s="243"/>
      <c r="AE1421" s="243"/>
      <c r="AF1421" s="243"/>
      <c r="AG1421" s="243"/>
      <c r="AH1421" s="243"/>
      <c r="AI1421" s="243"/>
      <c r="AJ1421" s="243"/>
    </row>
    <row r="1422" hidden="1">
      <c r="A1422" s="241"/>
      <c r="B1422" s="241"/>
      <c r="C1422" s="241"/>
      <c r="D1422" s="241"/>
      <c r="E1422" s="241"/>
      <c r="F1422" s="241"/>
      <c r="G1422" s="241"/>
      <c r="H1422" s="241"/>
      <c r="I1422" s="241"/>
      <c r="J1422" s="241"/>
      <c r="K1422" s="241"/>
      <c r="L1422" s="242"/>
      <c r="M1422" s="241"/>
      <c r="N1422" s="241"/>
      <c r="O1422" s="241"/>
      <c r="P1422" s="241"/>
      <c r="Q1422" s="241"/>
      <c r="R1422" s="241"/>
      <c r="S1422" s="241"/>
      <c r="T1422" s="241"/>
      <c r="U1422" s="241"/>
      <c r="V1422" s="241"/>
      <c r="W1422" s="241"/>
      <c r="X1422" s="243"/>
      <c r="Y1422" s="243"/>
      <c r="Z1422" s="243"/>
      <c r="AA1422" s="243"/>
      <c r="AB1422" s="243"/>
      <c r="AC1422" s="243"/>
      <c r="AD1422" s="243"/>
      <c r="AE1422" s="243"/>
      <c r="AF1422" s="243"/>
      <c r="AG1422" s="243"/>
      <c r="AH1422" s="243"/>
      <c r="AI1422" s="243"/>
      <c r="AJ1422" s="243"/>
    </row>
    <row r="1423" hidden="1">
      <c r="A1423" s="241"/>
      <c r="B1423" s="241"/>
      <c r="C1423" s="241"/>
      <c r="D1423" s="241"/>
      <c r="E1423" s="241"/>
      <c r="F1423" s="241"/>
      <c r="G1423" s="241"/>
      <c r="H1423" s="241"/>
      <c r="I1423" s="241"/>
      <c r="J1423" s="241"/>
      <c r="K1423" s="241"/>
      <c r="L1423" s="242"/>
      <c r="M1423" s="241"/>
      <c r="N1423" s="241"/>
      <c r="O1423" s="241"/>
      <c r="P1423" s="241"/>
      <c r="Q1423" s="241"/>
      <c r="R1423" s="241"/>
      <c r="S1423" s="241"/>
      <c r="T1423" s="241"/>
      <c r="U1423" s="241"/>
      <c r="V1423" s="241"/>
      <c r="W1423" s="241"/>
      <c r="X1423" s="243"/>
      <c r="Y1423" s="243"/>
      <c r="Z1423" s="243"/>
      <c r="AA1423" s="243"/>
      <c r="AB1423" s="243"/>
      <c r="AC1423" s="243"/>
      <c r="AD1423" s="243"/>
      <c r="AE1423" s="243"/>
      <c r="AF1423" s="243"/>
      <c r="AG1423" s="243"/>
      <c r="AH1423" s="243"/>
      <c r="AI1423" s="243"/>
      <c r="AJ1423" s="243"/>
    </row>
    <row r="1424" hidden="1">
      <c r="A1424" s="241"/>
      <c r="B1424" s="241"/>
      <c r="C1424" s="241"/>
      <c r="D1424" s="241"/>
      <c r="E1424" s="241"/>
      <c r="F1424" s="241"/>
      <c r="G1424" s="241"/>
      <c r="H1424" s="241"/>
      <c r="I1424" s="241"/>
      <c r="J1424" s="241"/>
      <c r="K1424" s="241"/>
      <c r="L1424" s="242"/>
      <c r="M1424" s="241"/>
      <c r="N1424" s="241"/>
      <c r="O1424" s="241"/>
      <c r="P1424" s="241"/>
      <c r="Q1424" s="241"/>
      <c r="R1424" s="241"/>
      <c r="S1424" s="241"/>
      <c r="T1424" s="241"/>
      <c r="U1424" s="241"/>
      <c r="V1424" s="241"/>
      <c r="W1424" s="241"/>
      <c r="X1424" s="243"/>
      <c r="Y1424" s="243"/>
      <c r="Z1424" s="243"/>
      <c r="AA1424" s="243"/>
      <c r="AB1424" s="243"/>
      <c r="AC1424" s="243"/>
      <c r="AD1424" s="243"/>
      <c r="AE1424" s="243"/>
      <c r="AF1424" s="243"/>
      <c r="AG1424" s="243"/>
      <c r="AH1424" s="243"/>
      <c r="AI1424" s="243"/>
      <c r="AJ1424" s="243"/>
    </row>
    <row r="1425" hidden="1">
      <c r="A1425" s="241"/>
      <c r="B1425" s="241"/>
      <c r="C1425" s="241"/>
      <c r="D1425" s="241"/>
      <c r="E1425" s="241"/>
      <c r="F1425" s="241"/>
      <c r="G1425" s="241"/>
      <c r="H1425" s="241"/>
      <c r="I1425" s="241"/>
      <c r="J1425" s="241"/>
      <c r="K1425" s="241"/>
      <c r="L1425" s="242"/>
      <c r="M1425" s="241"/>
      <c r="N1425" s="241"/>
      <c r="O1425" s="241"/>
      <c r="P1425" s="241"/>
      <c r="Q1425" s="241"/>
      <c r="R1425" s="241"/>
      <c r="S1425" s="241"/>
      <c r="T1425" s="241"/>
      <c r="U1425" s="241"/>
      <c r="V1425" s="241"/>
      <c r="W1425" s="241"/>
      <c r="X1425" s="243"/>
      <c r="Y1425" s="243"/>
      <c r="Z1425" s="243"/>
      <c r="AA1425" s="243"/>
      <c r="AB1425" s="243"/>
      <c r="AC1425" s="243"/>
      <c r="AD1425" s="243"/>
      <c r="AE1425" s="243"/>
      <c r="AF1425" s="243"/>
      <c r="AG1425" s="243"/>
      <c r="AH1425" s="243"/>
      <c r="AI1425" s="243"/>
      <c r="AJ1425" s="243"/>
    </row>
    <row r="1426" hidden="1">
      <c r="A1426" s="241"/>
      <c r="B1426" s="241"/>
      <c r="C1426" s="241"/>
      <c r="D1426" s="241"/>
      <c r="E1426" s="241"/>
      <c r="F1426" s="241"/>
      <c r="G1426" s="241"/>
      <c r="H1426" s="241"/>
      <c r="I1426" s="241"/>
      <c r="J1426" s="241"/>
      <c r="K1426" s="241"/>
      <c r="L1426" s="242"/>
      <c r="M1426" s="241"/>
      <c r="N1426" s="241"/>
      <c r="O1426" s="241"/>
      <c r="P1426" s="241"/>
      <c r="Q1426" s="241"/>
      <c r="R1426" s="241"/>
      <c r="S1426" s="241"/>
      <c r="T1426" s="241"/>
      <c r="U1426" s="241"/>
      <c r="V1426" s="241"/>
      <c r="W1426" s="241"/>
      <c r="X1426" s="243"/>
      <c r="Y1426" s="243"/>
      <c r="Z1426" s="243"/>
      <c r="AA1426" s="243"/>
      <c r="AB1426" s="243"/>
      <c r="AC1426" s="243"/>
      <c r="AD1426" s="243"/>
      <c r="AE1426" s="243"/>
      <c r="AF1426" s="243"/>
      <c r="AG1426" s="243"/>
      <c r="AH1426" s="243"/>
      <c r="AI1426" s="243"/>
      <c r="AJ1426" s="243"/>
    </row>
    <row r="1427" hidden="1">
      <c r="A1427" s="241"/>
      <c r="B1427" s="241"/>
      <c r="C1427" s="241"/>
      <c r="D1427" s="241"/>
      <c r="E1427" s="241"/>
      <c r="F1427" s="241"/>
      <c r="G1427" s="241"/>
      <c r="H1427" s="241"/>
      <c r="I1427" s="241"/>
      <c r="J1427" s="241"/>
      <c r="K1427" s="241"/>
      <c r="L1427" s="242"/>
      <c r="M1427" s="241"/>
      <c r="N1427" s="241"/>
      <c r="O1427" s="241"/>
      <c r="P1427" s="241"/>
      <c r="Q1427" s="241"/>
      <c r="R1427" s="241"/>
      <c r="S1427" s="241"/>
      <c r="T1427" s="241"/>
      <c r="U1427" s="241"/>
      <c r="V1427" s="241"/>
      <c r="W1427" s="241"/>
      <c r="X1427" s="243"/>
      <c r="Y1427" s="243"/>
      <c r="Z1427" s="243"/>
      <c r="AA1427" s="243"/>
      <c r="AB1427" s="243"/>
      <c r="AC1427" s="243"/>
      <c r="AD1427" s="243"/>
      <c r="AE1427" s="243"/>
      <c r="AF1427" s="243"/>
      <c r="AG1427" s="243"/>
      <c r="AH1427" s="243"/>
      <c r="AI1427" s="243"/>
      <c r="AJ1427" s="243"/>
    </row>
    <row r="1428" hidden="1">
      <c r="A1428" s="241"/>
      <c r="B1428" s="241"/>
      <c r="C1428" s="241"/>
      <c r="D1428" s="241"/>
      <c r="E1428" s="241"/>
      <c r="F1428" s="241"/>
      <c r="G1428" s="241"/>
      <c r="H1428" s="241"/>
      <c r="I1428" s="241"/>
      <c r="J1428" s="241"/>
      <c r="K1428" s="241"/>
      <c r="L1428" s="242"/>
      <c r="M1428" s="241"/>
      <c r="N1428" s="241"/>
      <c r="O1428" s="241"/>
      <c r="P1428" s="241"/>
      <c r="Q1428" s="241"/>
      <c r="R1428" s="241"/>
      <c r="S1428" s="241"/>
      <c r="T1428" s="241"/>
      <c r="U1428" s="241"/>
      <c r="V1428" s="241"/>
      <c r="W1428" s="241"/>
      <c r="X1428" s="243"/>
      <c r="Y1428" s="243"/>
      <c r="Z1428" s="243"/>
      <c r="AA1428" s="243"/>
      <c r="AB1428" s="243"/>
      <c r="AC1428" s="243"/>
      <c r="AD1428" s="243"/>
      <c r="AE1428" s="243"/>
      <c r="AF1428" s="243"/>
      <c r="AG1428" s="243"/>
      <c r="AH1428" s="243"/>
      <c r="AI1428" s="243"/>
      <c r="AJ1428" s="243"/>
    </row>
    <row r="1429" hidden="1">
      <c r="A1429" s="241"/>
      <c r="B1429" s="241"/>
      <c r="C1429" s="241"/>
      <c r="D1429" s="241"/>
      <c r="E1429" s="241"/>
      <c r="F1429" s="241"/>
      <c r="G1429" s="241"/>
      <c r="H1429" s="241"/>
      <c r="I1429" s="241"/>
      <c r="J1429" s="241"/>
      <c r="K1429" s="241"/>
      <c r="L1429" s="242"/>
      <c r="M1429" s="241"/>
      <c r="N1429" s="241"/>
      <c r="O1429" s="241"/>
      <c r="P1429" s="241"/>
      <c r="Q1429" s="241"/>
      <c r="R1429" s="241"/>
      <c r="S1429" s="241"/>
      <c r="T1429" s="241"/>
      <c r="U1429" s="241"/>
      <c r="V1429" s="241"/>
      <c r="W1429" s="241"/>
      <c r="X1429" s="243"/>
      <c r="Y1429" s="243"/>
      <c r="Z1429" s="243"/>
      <c r="AA1429" s="243"/>
      <c r="AB1429" s="243"/>
      <c r="AC1429" s="243"/>
      <c r="AD1429" s="243"/>
      <c r="AE1429" s="243"/>
      <c r="AF1429" s="243"/>
      <c r="AG1429" s="243"/>
      <c r="AH1429" s="243"/>
      <c r="AI1429" s="243"/>
      <c r="AJ1429" s="243"/>
    </row>
    <row r="1430" hidden="1">
      <c r="A1430" s="241"/>
      <c r="B1430" s="241"/>
      <c r="C1430" s="241"/>
      <c r="D1430" s="241"/>
      <c r="E1430" s="241"/>
      <c r="F1430" s="241"/>
      <c r="G1430" s="241"/>
      <c r="H1430" s="241"/>
      <c r="I1430" s="241"/>
      <c r="J1430" s="241"/>
      <c r="K1430" s="241"/>
      <c r="L1430" s="242"/>
      <c r="M1430" s="241"/>
      <c r="N1430" s="241"/>
      <c r="O1430" s="241"/>
      <c r="P1430" s="241"/>
      <c r="Q1430" s="241"/>
      <c r="R1430" s="241"/>
      <c r="S1430" s="241"/>
      <c r="T1430" s="241"/>
      <c r="U1430" s="241"/>
      <c r="V1430" s="241"/>
      <c r="W1430" s="241"/>
      <c r="X1430" s="243"/>
      <c r="Y1430" s="243"/>
      <c r="Z1430" s="243"/>
      <c r="AA1430" s="243"/>
      <c r="AB1430" s="243"/>
      <c r="AC1430" s="243"/>
      <c r="AD1430" s="243"/>
      <c r="AE1430" s="243"/>
      <c r="AF1430" s="243"/>
      <c r="AG1430" s="243"/>
      <c r="AH1430" s="243"/>
      <c r="AI1430" s="243"/>
      <c r="AJ1430" s="243"/>
    </row>
    <row r="1431" hidden="1">
      <c r="A1431" s="241"/>
      <c r="B1431" s="241"/>
      <c r="C1431" s="241"/>
      <c r="D1431" s="241"/>
      <c r="E1431" s="241"/>
      <c r="F1431" s="241"/>
      <c r="G1431" s="241"/>
      <c r="H1431" s="241"/>
      <c r="I1431" s="241"/>
      <c r="J1431" s="241"/>
      <c r="K1431" s="241"/>
      <c r="L1431" s="242"/>
      <c r="M1431" s="241"/>
      <c r="N1431" s="241"/>
      <c r="O1431" s="241"/>
      <c r="P1431" s="241"/>
      <c r="Q1431" s="241"/>
      <c r="R1431" s="241"/>
      <c r="S1431" s="241"/>
      <c r="T1431" s="241"/>
      <c r="U1431" s="241"/>
      <c r="V1431" s="241"/>
      <c r="W1431" s="241"/>
      <c r="X1431" s="243"/>
      <c r="Y1431" s="243"/>
      <c r="Z1431" s="243"/>
      <c r="AA1431" s="243"/>
      <c r="AB1431" s="243"/>
      <c r="AC1431" s="243"/>
      <c r="AD1431" s="243"/>
      <c r="AE1431" s="243"/>
      <c r="AF1431" s="243"/>
      <c r="AG1431" s="243"/>
      <c r="AH1431" s="243"/>
      <c r="AI1431" s="243"/>
      <c r="AJ1431" s="243"/>
    </row>
    <row r="1432" hidden="1">
      <c r="A1432" s="241"/>
      <c r="B1432" s="241"/>
      <c r="C1432" s="241"/>
      <c r="D1432" s="241"/>
      <c r="E1432" s="241"/>
      <c r="F1432" s="241"/>
      <c r="G1432" s="241"/>
      <c r="H1432" s="241"/>
      <c r="I1432" s="241"/>
      <c r="J1432" s="241"/>
      <c r="K1432" s="241"/>
      <c r="L1432" s="242"/>
      <c r="M1432" s="241"/>
      <c r="N1432" s="241"/>
      <c r="O1432" s="241"/>
      <c r="P1432" s="241"/>
      <c r="Q1432" s="241"/>
      <c r="R1432" s="241"/>
      <c r="S1432" s="241"/>
      <c r="T1432" s="241"/>
      <c r="U1432" s="241"/>
      <c r="V1432" s="241"/>
      <c r="W1432" s="241"/>
      <c r="X1432" s="243"/>
      <c r="Y1432" s="243"/>
      <c r="Z1432" s="243"/>
      <c r="AA1432" s="243"/>
      <c r="AB1432" s="243"/>
      <c r="AC1432" s="243"/>
      <c r="AD1432" s="243"/>
      <c r="AE1432" s="243"/>
      <c r="AF1432" s="243"/>
      <c r="AG1432" s="243"/>
      <c r="AH1432" s="243"/>
      <c r="AI1432" s="243"/>
      <c r="AJ1432" s="243"/>
    </row>
    <row r="1433" hidden="1">
      <c r="A1433" s="241"/>
      <c r="B1433" s="241"/>
      <c r="C1433" s="241"/>
      <c r="D1433" s="241"/>
      <c r="E1433" s="241"/>
      <c r="F1433" s="241"/>
      <c r="G1433" s="241"/>
      <c r="H1433" s="241"/>
      <c r="I1433" s="241"/>
      <c r="J1433" s="241"/>
      <c r="K1433" s="241"/>
      <c r="L1433" s="242"/>
      <c r="M1433" s="241"/>
      <c r="N1433" s="241"/>
      <c r="O1433" s="241"/>
      <c r="P1433" s="241"/>
      <c r="Q1433" s="241"/>
      <c r="R1433" s="241"/>
      <c r="S1433" s="241"/>
      <c r="T1433" s="241"/>
      <c r="U1433" s="241"/>
      <c r="V1433" s="241"/>
      <c r="W1433" s="241"/>
      <c r="X1433" s="243"/>
      <c r="Y1433" s="243"/>
      <c r="Z1433" s="243"/>
      <c r="AA1433" s="243"/>
      <c r="AB1433" s="243"/>
      <c r="AC1433" s="243"/>
      <c r="AD1433" s="243"/>
      <c r="AE1433" s="243"/>
      <c r="AF1433" s="243"/>
      <c r="AG1433" s="243"/>
      <c r="AH1433" s="243"/>
      <c r="AI1433" s="243"/>
      <c r="AJ1433" s="243"/>
    </row>
    <row r="1434" hidden="1">
      <c r="A1434" s="241"/>
      <c r="B1434" s="241"/>
      <c r="C1434" s="241"/>
      <c r="D1434" s="241"/>
      <c r="E1434" s="241"/>
      <c r="F1434" s="241"/>
      <c r="G1434" s="241"/>
      <c r="H1434" s="241"/>
      <c r="I1434" s="241"/>
      <c r="J1434" s="241"/>
      <c r="K1434" s="241"/>
      <c r="L1434" s="242"/>
      <c r="M1434" s="241"/>
      <c r="N1434" s="241"/>
      <c r="O1434" s="241"/>
      <c r="P1434" s="241"/>
      <c r="Q1434" s="241"/>
      <c r="R1434" s="241"/>
      <c r="S1434" s="241"/>
      <c r="T1434" s="241"/>
      <c r="U1434" s="241"/>
      <c r="V1434" s="241"/>
      <c r="W1434" s="241"/>
      <c r="X1434" s="243"/>
      <c r="Y1434" s="243"/>
      <c r="Z1434" s="243"/>
      <c r="AA1434" s="243"/>
      <c r="AB1434" s="243"/>
      <c r="AC1434" s="243"/>
      <c r="AD1434" s="243"/>
      <c r="AE1434" s="243"/>
      <c r="AF1434" s="243"/>
      <c r="AG1434" s="243"/>
      <c r="AH1434" s="243"/>
      <c r="AI1434" s="243"/>
      <c r="AJ1434" s="243"/>
    </row>
    <row r="1435" hidden="1">
      <c r="A1435" s="241"/>
      <c r="B1435" s="241"/>
      <c r="C1435" s="241"/>
      <c r="D1435" s="241"/>
      <c r="E1435" s="241"/>
      <c r="F1435" s="241"/>
      <c r="G1435" s="241"/>
      <c r="H1435" s="241"/>
      <c r="I1435" s="241"/>
      <c r="J1435" s="241"/>
      <c r="K1435" s="241"/>
      <c r="L1435" s="242"/>
      <c r="M1435" s="241"/>
      <c r="N1435" s="241"/>
      <c r="O1435" s="241"/>
      <c r="P1435" s="241"/>
      <c r="Q1435" s="241"/>
      <c r="R1435" s="241"/>
      <c r="S1435" s="241"/>
      <c r="T1435" s="241"/>
      <c r="U1435" s="241"/>
      <c r="V1435" s="241"/>
      <c r="W1435" s="241"/>
      <c r="X1435" s="243"/>
      <c r="Y1435" s="243"/>
      <c r="Z1435" s="243"/>
      <c r="AA1435" s="243"/>
      <c r="AB1435" s="243"/>
      <c r="AC1435" s="243"/>
      <c r="AD1435" s="243"/>
      <c r="AE1435" s="243"/>
      <c r="AF1435" s="243"/>
      <c r="AG1435" s="243"/>
      <c r="AH1435" s="243"/>
      <c r="AI1435" s="243"/>
      <c r="AJ1435" s="243"/>
    </row>
    <row r="1436" hidden="1">
      <c r="A1436" s="241"/>
      <c r="B1436" s="241"/>
      <c r="C1436" s="241"/>
      <c r="D1436" s="241"/>
      <c r="E1436" s="241"/>
      <c r="F1436" s="241"/>
      <c r="G1436" s="241"/>
      <c r="H1436" s="241"/>
      <c r="I1436" s="241"/>
      <c r="J1436" s="241"/>
      <c r="K1436" s="241"/>
      <c r="L1436" s="242"/>
      <c r="M1436" s="241"/>
      <c r="N1436" s="241"/>
      <c r="O1436" s="241"/>
      <c r="P1436" s="241"/>
      <c r="Q1436" s="241"/>
      <c r="R1436" s="241"/>
      <c r="S1436" s="241"/>
      <c r="T1436" s="241"/>
      <c r="U1436" s="241"/>
      <c r="V1436" s="241"/>
      <c r="W1436" s="241"/>
      <c r="X1436" s="243"/>
      <c r="Y1436" s="243"/>
      <c r="Z1436" s="243"/>
      <c r="AA1436" s="243"/>
      <c r="AB1436" s="243"/>
      <c r="AC1436" s="243"/>
      <c r="AD1436" s="243"/>
      <c r="AE1436" s="243"/>
      <c r="AF1436" s="243"/>
      <c r="AG1436" s="243"/>
      <c r="AH1436" s="243"/>
      <c r="AI1436" s="243"/>
      <c r="AJ1436" s="243"/>
    </row>
    <row r="1437" hidden="1">
      <c r="A1437" s="241"/>
      <c r="B1437" s="241"/>
      <c r="C1437" s="241"/>
      <c r="D1437" s="241"/>
      <c r="E1437" s="241"/>
      <c r="F1437" s="241"/>
      <c r="G1437" s="241"/>
      <c r="H1437" s="241"/>
      <c r="I1437" s="241"/>
      <c r="J1437" s="241"/>
      <c r="K1437" s="241"/>
      <c r="L1437" s="242"/>
      <c r="M1437" s="241"/>
      <c r="N1437" s="241"/>
      <c r="O1437" s="241"/>
      <c r="P1437" s="241"/>
      <c r="Q1437" s="241"/>
      <c r="R1437" s="241"/>
      <c r="S1437" s="241"/>
      <c r="T1437" s="241"/>
      <c r="U1437" s="241"/>
      <c r="V1437" s="241"/>
      <c r="W1437" s="241"/>
      <c r="X1437" s="243"/>
      <c r="Y1437" s="243"/>
      <c r="Z1437" s="243"/>
      <c r="AA1437" s="243"/>
      <c r="AB1437" s="243"/>
      <c r="AC1437" s="243"/>
      <c r="AD1437" s="243"/>
      <c r="AE1437" s="243"/>
      <c r="AF1437" s="243"/>
      <c r="AG1437" s="243"/>
      <c r="AH1437" s="243"/>
      <c r="AI1437" s="243"/>
      <c r="AJ1437" s="243"/>
    </row>
    <row r="1438" hidden="1">
      <c r="A1438" s="241"/>
      <c r="B1438" s="241"/>
      <c r="C1438" s="241"/>
      <c r="D1438" s="241"/>
      <c r="E1438" s="241"/>
      <c r="F1438" s="241"/>
      <c r="G1438" s="241"/>
      <c r="H1438" s="241"/>
      <c r="I1438" s="241"/>
      <c r="J1438" s="241"/>
      <c r="K1438" s="241"/>
      <c r="L1438" s="242"/>
      <c r="M1438" s="241"/>
      <c r="N1438" s="241"/>
      <c r="O1438" s="241"/>
      <c r="P1438" s="241"/>
      <c r="Q1438" s="241"/>
      <c r="R1438" s="241"/>
      <c r="S1438" s="241"/>
      <c r="T1438" s="241"/>
      <c r="U1438" s="241"/>
      <c r="V1438" s="241"/>
      <c r="W1438" s="241"/>
      <c r="X1438" s="243"/>
      <c r="Y1438" s="243"/>
      <c r="Z1438" s="243"/>
      <c r="AA1438" s="243"/>
      <c r="AB1438" s="243"/>
      <c r="AC1438" s="243"/>
      <c r="AD1438" s="243"/>
      <c r="AE1438" s="243"/>
      <c r="AF1438" s="243"/>
      <c r="AG1438" s="243"/>
      <c r="AH1438" s="243"/>
      <c r="AI1438" s="243"/>
      <c r="AJ1438" s="243"/>
    </row>
    <row r="1439" hidden="1">
      <c r="A1439" s="241"/>
      <c r="B1439" s="241"/>
      <c r="C1439" s="241"/>
      <c r="D1439" s="241"/>
      <c r="E1439" s="241"/>
      <c r="F1439" s="241"/>
      <c r="G1439" s="241"/>
      <c r="H1439" s="241"/>
      <c r="I1439" s="241"/>
      <c r="J1439" s="241"/>
      <c r="K1439" s="241"/>
      <c r="L1439" s="242"/>
      <c r="M1439" s="241"/>
      <c r="N1439" s="241"/>
      <c r="O1439" s="241"/>
      <c r="P1439" s="241"/>
      <c r="Q1439" s="241"/>
      <c r="R1439" s="241"/>
      <c r="S1439" s="241"/>
      <c r="T1439" s="241"/>
      <c r="U1439" s="241"/>
      <c r="V1439" s="241"/>
      <c r="W1439" s="241"/>
      <c r="X1439" s="243"/>
      <c r="Y1439" s="243"/>
      <c r="Z1439" s="243"/>
      <c r="AA1439" s="243"/>
      <c r="AB1439" s="243"/>
      <c r="AC1439" s="243"/>
      <c r="AD1439" s="243"/>
      <c r="AE1439" s="243"/>
      <c r="AF1439" s="243"/>
      <c r="AG1439" s="243"/>
      <c r="AH1439" s="243"/>
      <c r="AI1439" s="243"/>
      <c r="AJ1439" s="243"/>
    </row>
    <row r="1440" hidden="1">
      <c r="A1440" s="241"/>
      <c r="B1440" s="241"/>
      <c r="C1440" s="241"/>
      <c r="D1440" s="241"/>
      <c r="E1440" s="241"/>
      <c r="F1440" s="241"/>
      <c r="G1440" s="241"/>
      <c r="H1440" s="241"/>
      <c r="I1440" s="241"/>
      <c r="J1440" s="241"/>
      <c r="K1440" s="241"/>
      <c r="L1440" s="242"/>
      <c r="M1440" s="241"/>
      <c r="N1440" s="241"/>
      <c r="O1440" s="241"/>
      <c r="P1440" s="241"/>
      <c r="Q1440" s="241"/>
      <c r="R1440" s="241"/>
      <c r="S1440" s="241"/>
      <c r="T1440" s="241"/>
      <c r="U1440" s="241"/>
      <c r="V1440" s="241"/>
      <c r="W1440" s="241"/>
      <c r="X1440" s="243"/>
      <c r="Y1440" s="243"/>
      <c r="Z1440" s="243"/>
      <c r="AA1440" s="243"/>
      <c r="AB1440" s="243"/>
      <c r="AC1440" s="243"/>
      <c r="AD1440" s="243"/>
      <c r="AE1440" s="243"/>
      <c r="AF1440" s="243"/>
      <c r="AG1440" s="243"/>
      <c r="AH1440" s="243"/>
      <c r="AI1440" s="243"/>
      <c r="AJ1440" s="243"/>
    </row>
    <row r="1441" hidden="1">
      <c r="A1441" s="241"/>
      <c r="B1441" s="241"/>
      <c r="C1441" s="241"/>
      <c r="D1441" s="241"/>
      <c r="E1441" s="241"/>
      <c r="F1441" s="241"/>
      <c r="G1441" s="241"/>
      <c r="H1441" s="241"/>
      <c r="I1441" s="241"/>
      <c r="J1441" s="241"/>
      <c r="K1441" s="241"/>
      <c r="L1441" s="242"/>
      <c r="M1441" s="241"/>
      <c r="N1441" s="241"/>
      <c r="O1441" s="241"/>
      <c r="P1441" s="241"/>
      <c r="Q1441" s="241"/>
      <c r="R1441" s="241"/>
      <c r="S1441" s="241"/>
      <c r="T1441" s="241"/>
      <c r="U1441" s="241"/>
      <c r="V1441" s="241"/>
      <c r="W1441" s="241"/>
      <c r="X1441" s="243"/>
      <c r="Y1441" s="243"/>
      <c r="Z1441" s="243"/>
      <c r="AA1441" s="243"/>
      <c r="AB1441" s="243"/>
      <c r="AC1441" s="243"/>
      <c r="AD1441" s="243"/>
      <c r="AE1441" s="243"/>
      <c r="AF1441" s="243"/>
      <c r="AG1441" s="243"/>
      <c r="AH1441" s="243"/>
      <c r="AI1441" s="243"/>
      <c r="AJ1441" s="243"/>
    </row>
    <row r="1442" hidden="1">
      <c r="A1442" s="241"/>
      <c r="B1442" s="241"/>
      <c r="C1442" s="241"/>
      <c r="D1442" s="241"/>
      <c r="E1442" s="241"/>
      <c r="F1442" s="241"/>
      <c r="G1442" s="241"/>
      <c r="H1442" s="241"/>
      <c r="I1442" s="241"/>
      <c r="J1442" s="241"/>
      <c r="K1442" s="241"/>
      <c r="L1442" s="242"/>
      <c r="M1442" s="241"/>
      <c r="N1442" s="241"/>
      <c r="O1442" s="241"/>
      <c r="P1442" s="241"/>
      <c r="Q1442" s="241"/>
      <c r="R1442" s="241"/>
      <c r="S1442" s="241"/>
      <c r="T1442" s="241"/>
      <c r="U1442" s="241"/>
      <c r="V1442" s="241"/>
      <c r="W1442" s="241"/>
      <c r="X1442" s="243"/>
      <c r="Y1442" s="243"/>
      <c r="Z1442" s="243"/>
      <c r="AA1442" s="243"/>
      <c r="AB1442" s="243"/>
      <c r="AC1442" s="243"/>
      <c r="AD1442" s="243"/>
      <c r="AE1442" s="243"/>
      <c r="AF1442" s="243"/>
      <c r="AG1442" s="243"/>
      <c r="AH1442" s="243"/>
      <c r="AI1442" s="243"/>
      <c r="AJ1442" s="243"/>
    </row>
    <row r="1443" hidden="1">
      <c r="A1443" s="241"/>
      <c r="B1443" s="241"/>
      <c r="C1443" s="241"/>
      <c r="D1443" s="241"/>
      <c r="E1443" s="241"/>
      <c r="F1443" s="241"/>
      <c r="G1443" s="241"/>
      <c r="H1443" s="241"/>
      <c r="I1443" s="241"/>
      <c r="J1443" s="241"/>
      <c r="K1443" s="241"/>
      <c r="L1443" s="242"/>
      <c r="M1443" s="241"/>
      <c r="N1443" s="241"/>
      <c r="O1443" s="241"/>
      <c r="P1443" s="241"/>
      <c r="Q1443" s="241"/>
      <c r="R1443" s="241"/>
      <c r="S1443" s="241"/>
      <c r="T1443" s="241"/>
      <c r="U1443" s="241"/>
      <c r="V1443" s="241"/>
      <c r="W1443" s="241"/>
      <c r="X1443" s="243"/>
      <c r="Y1443" s="243"/>
      <c r="Z1443" s="243"/>
      <c r="AA1443" s="243"/>
      <c r="AB1443" s="243"/>
      <c r="AC1443" s="243"/>
      <c r="AD1443" s="243"/>
      <c r="AE1443" s="243"/>
      <c r="AF1443" s="243"/>
      <c r="AG1443" s="243"/>
      <c r="AH1443" s="243"/>
      <c r="AI1443" s="243"/>
      <c r="AJ1443" s="243"/>
    </row>
    <row r="1444" hidden="1">
      <c r="A1444" s="241"/>
      <c r="B1444" s="241"/>
      <c r="C1444" s="241"/>
      <c r="D1444" s="241"/>
      <c r="E1444" s="241"/>
      <c r="F1444" s="241"/>
      <c r="G1444" s="241"/>
      <c r="H1444" s="241"/>
      <c r="I1444" s="241"/>
      <c r="J1444" s="241"/>
      <c r="K1444" s="241"/>
      <c r="L1444" s="242"/>
      <c r="M1444" s="241"/>
      <c r="N1444" s="241"/>
      <c r="O1444" s="241"/>
      <c r="P1444" s="241"/>
      <c r="Q1444" s="241"/>
      <c r="R1444" s="241"/>
      <c r="S1444" s="241"/>
      <c r="T1444" s="241"/>
      <c r="U1444" s="241"/>
      <c r="V1444" s="241"/>
      <c r="W1444" s="241"/>
      <c r="X1444" s="243"/>
      <c r="Y1444" s="243"/>
      <c r="Z1444" s="243"/>
      <c r="AA1444" s="243"/>
      <c r="AB1444" s="243"/>
      <c r="AC1444" s="243"/>
      <c r="AD1444" s="243"/>
      <c r="AE1444" s="243"/>
      <c r="AF1444" s="243"/>
      <c r="AG1444" s="243"/>
      <c r="AH1444" s="243"/>
      <c r="AI1444" s="243"/>
      <c r="AJ1444" s="243"/>
    </row>
    <row r="1445" hidden="1">
      <c r="A1445" s="241"/>
      <c r="B1445" s="241"/>
      <c r="C1445" s="241"/>
      <c r="D1445" s="241"/>
      <c r="E1445" s="241"/>
      <c r="F1445" s="241"/>
      <c r="G1445" s="241"/>
      <c r="H1445" s="241"/>
      <c r="I1445" s="241"/>
      <c r="J1445" s="241"/>
      <c r="K1445" s="241"/>
      <c r="L1445" s="242"/>
      <c r="M1445" s="241"/>
      <c r="N1445" s="241"/>
      <c r="O1445" s="241"/>
      <c r="P1445" s="241"/>
      <c r="Q1445" s="241"/>
      <c r="R1445" s="241"/>
      <c r="S1445" s="241"/>
      <c r="T1445" s="241"/>
      <c r="U1445" s="241"/>
      <c r="V1445" s="241"/>
      <c r="W1445" s="241"/>
      <c r="X1445" s="243"/>
      <c r="Y1445" s="243"/>
      <c r="Z1445" s="243"/>
      <c r="AA1445" s="243"/>
      <c r="AB1445" s="243"/>
      <c r="AC1445" s="243"/>
      <c r="AD1445" s="243"/>
      <c r="AE1445" s="243"/>
      <c r="AF1445" s="243"/>
      <c r="AG1445" s="243"/>
      <c r="AH1445" s="243"/>
      <c r="AI1445" s="243"/>
      <c r="AJ1445" s="243"/>
    </row>
    <row r="1446" hidden="1">
      <c r="A1446" s="241"/>
      <c r="B1446" s="241"/>
      <c r="C1446" s="241"/>
      <c r="D1446" s="241"/>
      <c r="E1446" s="241"/>
      <c r="F1446" s="241"/>
      <c r="G1446" s="241"/>
      <c r="H1446" s="241"/>
      <c r="I1446" s="241"/>
      <c r="J1446" s="241"/>
      <c r="K1446" s="241"/>
      <c r="L1446" s="242"/>
      <c r="M1446" s="241"/>
      <c r="N1446" s="241"/>
      <c r="O1446" s="241"/>
      <c r="P1446" s="241"/>
      <c r="Q1446" s="241"/>
      <c r="R1446" s="241"/>
      <c r="S1446" s="241"/>
      <c r="T1446" s="241"/>
      <c r="U1446" s="241"/>
      <c r="V1446" s="241"/>
      <c r="W1446" s="241"/>
      <c r="X1446" s="243"/>
      <c r="Y1446" s="243"/>
      <c r="Z1446" s="243"/>
      <c r="AA1446" s="243"/>
      <c r="AB1446" s="243"/>
      <c r="AC1446" s="243"/>
      <c r="AD1446" s="243"/>
      <c r="AE1446" s="243"/>
      <c r="AF1446" s="243"/>
      <c r="AG1446" s="243"/>
      <c r="AH1446" s="243"/>
      <c r="AI1446" s="243"/>
      <c r="AJ1446" s="243"/>
    </row>
    <row r="1447" hidden="1">
      <c r="A1447" s="241"/>
      <c r="B1447" s="241"/>
      <c r="C1447" s="241"/>
      <c r="D1447" s="241"/>
      <c r="E1447" s="241"/>
      <c r="F1447" s="241"/>
      <c r="G1447" s="241"/>
      <c r="H1447" s="241"/>
      <c r="I1447" s="241"/>
      <c r="J1447" s="241"/>
      <c r="K1447" s="241"/>
      <c r="L1447" s="242"/>
      <c r="M1447" s="241"/>
      <c r="N1447" s="241"/>
      <c r="O1447" s="241"/>
      <c r="P1447" s="241"/>
      <c r="Q1447" s="241"/>
      <c r="R1447" s="241"/>
      <c r="S1447" s="241"/>
      <c r="T1447" s="241"/>
      <c r="U1447" s="241"/>
      <c r="V1447" s="241"/>
      <c r="W1447" s="241"/>
      <c r="X1447" s="243"/>
      <c r="Y1447" s="243"/>
      <c r="Z1447" s="243"/>
      <c r="AA1447" s="243"/>
      <c r="AB1447" s="243"/>
      <c r="AC1447" s="243"/>
      <c r="AD1447" s="243"/>
      <c r="AE1447" s="243"/>
      <c r="AF1447" s="243"/>
      <c r="AG1447" s="243"/>
      <c r="AH1447" s="243"/>
      <c r="AI1447" s="243"/>
      <c r="AJ1447" s="243"/>
    </row>
    <row r="1448" hidden="1">
      <c r="A1448" s="241"/>
      <c r="B1448" s="241"/>
      <c r="C1448" s="241"/>
      <c r="D1448" s="241"/>
      <c r="E1448" s="241"/>
      <c r="F1448" s="241"/>
      <c r="G1448" s="241"/>
      <c r="H1448" s="241"/>
      <c r="I1448" s="241"/>
      <c r="J1448" s="241"/>
      <c r="K1448" s="241"/>
      <c r="L1448" s="242"/>
      <c r="M1448" s="241"/>
      <c r="N1448" s="241"/>
      <c r="O1448" s="241"/>
      <c r="P1448" s="241"/>
      <c r="Q1448" s="241"/>
      <c r="R1448" s="241"/>
      <c r="S1448" s="241"/>
      <c r="T1448" s="241"/>
      <c r="U1448" s="241"/>
      <c r="V1448" s="241"/>
      <c r="W1448" s="241"/>
      <c r="X1448" s="243"/>
      <c r="Y1448" s="243"/>
      <c r="Z1448" s="243"/>
      <c r="AA1448" s="243"/>
      <c r="AB1448" s="243"/>
      <c r="AC1448" s="243"/>
      <c r="AD1448" s="243"/>
      <c r="AE1448" s="243"/>
      <c r="AF1448" s="243"/>
      <c r="AG1448" s="243"/>
      <c r="AH1448" s="243"/>
      <c r="AI1448" s="243"/>
      <c r="AJ1448" s="243"/>
    </row>
    <row r="1449" hidden="1">
      <c r="A1449" s="241"/>
      <c r="B1449" s="241"/>
      <c r="C1449" s="241"/>
      <c r="D1449" s="241"/>
      <c r="E1449" s="241"/>
      <c r="F1449" s="241"/>
      <c r="G1449" s="241"/>
      <c r="H1449" s="241"/>
      <c r="I1449" s="241"/>
      <c r="J1449" s="241"/>
      <c r="K1449" s="241"/>
      <c r="L1449" s="242"/>
      <c r="M1449" s="241"/>
      <c r="N1449" s="241"/>
      <c r="O1449" s="241"/>
      <c r="P1449" s="241"/>
      <c r="Q1449" s="241"/>
      <c r="R1449" s="241"/>
      <c r="S1449" s="241"/>
      <c r="T1449" s="241"/>
      <c r="U1449" s="241"/>
      <c r="V1449" s="241"/>
      <c r="W1449" s="241"/>
      <c r="X1449" s="243"/>
      <c r="Y1449" s="243"/>
      <c r="Z1449" s="243"/>
      <c r="AA1449" s="243"/>
      <c r="AB1449" s="243"/>
      <c r="AC1449" s="243"/>
      <c r="AD1449" s="243"/>
      <c r="AE1449" s="243"/>
      <c r="AF1449" s="243"/>
      <c r="AG1449" s="243"/>
      <c r="AH1449" s="243"/>
      <c r="AI1449" s="243"/>
      <c r="AJ1449" s="243"/>
    </row>
    <row r="1450" hidden="1">
      <c r="A1450" s="241"/>
      <c r="B1450" s="241"/>
      <c r="C1450" s="241"/>
      <c r="D1450" s="241"/>
      <c r="E1450" s="241"/>
      <c r="F1450" s="241"/>
      <c r="G1450" s="241"/>
      <c r="H1450" s="241"/>
      <c r="I1450" s="241"/>
      <c r="J1450" s="241"/>
      <c r="K1450" s="241"/>
      <c r="L1450" s="242"/>
      <c r="M1450" s="241"/>
      <c r="N1450" s="241"/>
      <c r="O1450" s="241"/>
      <c r="P1450" s="241"/>
      <c r="Q1450" s="241"/>
      <c r="R1450" s="241"/>
      <c r="S1450" s="241"/>
      <c r="T1450" s="241"/>
      <c r="U1450" s="241"/>
      <c r="V1450" s="241"/>
      <c r="W1450" s="241"/>
      <c r="X1450" s="243"/>
      <c r="Y1450" s="243"/>
      <c r="Z1450" s="243"/>
      <c r="AA1450" s="243"/>
      <c r="AB1450" s="243"/>
      <c r="AC1450" s="243"/>
      <c r="AD1450" s="243"/>
      <c r="AE1450" s="243"/>
      <c r="AF1450" s="243"/>
      <c r="AG1450" s="243"/>
      <c r="AH1450" s="243"/>
      <c r="AI1450" s="243"/>
      <c r="AJ1450" s="243"/>
    </row>
    <row r="1451" hidden="1">
      <c r="A1451" s="241"/>
      <c r="B1451" s="241"/>
      <c r="C1451" s="241"/>
      <c r="D1451" s="241"/>
      <c r="E1451" s="241"/>
      <c r="F1451" s="241"/>
      <c r="G1451" s="241"/>
      <c r="H1451" s="241"/>
      <c r="I1451" s="241"/>
      <c r="J1451" s="241"/>
      <c r="K1451" s="241"/>
      <c r="L1451" s="242"/>
      <c r="M1451" s="241"/>
      <c r="N1451" s="241"/>
      <c r="O1451" s="241"/>
      <c r="P1451" s="241"/>
      <c r="Q1451" s="241"/>
      <c r="R1451" s="241"/>
      <c r="S1451" s="241"/>
      <c r="T1451" s="241"/>
      <c r="U1451" s="241"/>
      <c r="V1451" s="241"/>
      <c r="W1451" s="241"/>
      <c r="X1451" s="243"/>
      <c r="Y1451" s="243"/>
      <c r="Z1451" s="243"/>
      <c r="AA1451" s="243"/>
      <c r="AB1451" s="243"/>
      <c r="AC1451" s="243"/>
      <c r="AD1451" s="243"/>
      <c r="AE1451" s="243"/>
      <c r="AF1451" s="243"/>
      <c r="AG1451" s="243"/>
      <c r="AH1451" s="243"/>
      <c r="AI1451" s="243"/>
      <c r="AJ1451" s="243"/>
    </row>
    <row r="1452" hidden="1">
      <c r="A1452" s="241"/>
      <c r="B1452" s="241"/>
      <c r="C1452" s="241"/>
      <c r="D1452" s="241"/>
      <c r="E1452" s="241"/>
      <c r="F1452" s="241"/>
      <c r="G1452" s="241"/>
      <c r="H1452" s="241"/>
      <c r="I1452" s="241"/>
      <c r="J1452" s="241"/>
      <c r="K1452" s="241"/>
      <c r="L1452" s="242"/>
      <c r="M1452" s="241"/>
      <c r="N1452" s="241"/>
      <c r="O1452" s="241"/>
      <c r="P1452" s="241"/>
      <c r="Q1452" s="241"/>
      <c r="R1452" s="241"/>
      <c r="S1452" s="241"/>
      <c r="T1452" s="241"/>
      <c r="U1452" s="241"/>
      <c r="V1452" s="241"/>
      <c r="W1452" s="241"/>
      <c r="X1452" s="243"/>
      <c r="Y1452" s="243"/>
      <c r="Z1452" s="243"/>
      <c r="AA1452" s="243"/>
      <c r="AB1452" s="243"/>
      <c r="AC1452" s="243"/>
      <c r="AD1452" s="243"/>
      <c r="AE1452" s="243"/>
      <c r="AF1452" s="243"/>
      <c r="AG1452" s="243"/>
      <c r="AH1452" s="243"/>
      <c r="AI1452" s="243"/>
      <c r="AJ1452" s="243"/>
    </row>
    <row r="1453" hidden="1">
      <c r="A1453" s="241"/>
      <c r="B1453" s="241"/>
      <c r="C1453" s="241"/>
      <c r="D1453" s="241"/>
      <c r="E1453" s="241"/>
      <c r="F1453" s="241"/>
      <c r="G1453" s="241"/>
      <c r="H1453" s="241"/>
      <c r="I1453" s="241"/>
      <c r="J1453" s="241"/>
      <c r="K1453" s="241"/>
      <c r="L1453" s="242"/>
      <c r="M1453" s="241"/>
      <c r="N1453" s="241"/>
      <c r="O1453" s="241"/>
      <c r="P1453" s="241"/>
      <c r="Q1453" s="241"/>
      <c r="R1453" s="241"/>
      <c r="S1453" s="241"/>
      <c r="T1453" s="241"/>
      <c r="U1453" s="241"/>
      <c r="V1453" s="241"/>
      <c r="W1453" s="241"/>
      <c r="X1453" s="243"/>
      <c r="Y1453" s="243"/>
      <c r="Z1453" s="243"/>
      <c r="AA1453" s="243"/>
      <c r="AB1453" s="243"/>
      <c r="AC1453" s="243"/>
      <c r="AD1453" s="243"/>
      <c r="AE1453" s="243"/>
      <c r="AF1453" s="243"/>
      <c r="AG1453" s="243"/>
      <c r="AH1453" s="243"/>
      <c r="AI1453" s="243"/>
      <c r="AJ1453" s="243"/>
    </row>
    <row r="1454" hidden="1">
      <c r="A1454" s="241"/>
      <c r="B1454" s="241"/>
      <c r="C1454" s="241"/>
      <c r="D1454" s="241"/>
      <c r="E1454" s="241"/>
      <c r="F1454" s="241"/>
      <c r="G1454" s="241"/>
      <c r="H1454" s="241"/>
      <c r="I1454" s="241"/>
      <c r="J1454" s="241"/>
      <c r="K1454" s="241"/>
      <c r="L1454" s="242"/>
      <c r="M1454" s="241"/>
      <c r="N1454" s="241"/>
      <c r="O1454" s="241"/>
      <c r="P1454" s="241"/>
      <c r="Q1454" s="241"/>
      <c r="R1454" s="241"/>
      <c r="S1454" s="241"/>
      <c r="T1454" s="241"/>
      <c r="U1454" s="241"/>
      <c r="V1454" s="241"/>
      <c r="W1454" s="241"/>
      <c r="X1454" s="243"/>
      <c r="Y1454" s="243"/>
      <c r="Z1454" s="243"/>
      <c r="AA1454" s="243"/>
      <c r="AB1454" s="243"/>
      <c r="AC1454" s="243"/>
      <c r="AD1454" s="243"/>
      <c r="AE1454" s="243"/>
      <c r="AF1454" s="243"/>
      <c r="AG1454" s="243"/>
      <c r="AH1454" s="243"/>
      <c r="AI1454" s="243"/>
      <c r="AJ1454" s="243"/>
    </row>
    <row r="1455" hidden="1">
      <c r="A1455" s="241"/>
      <c r="B1455" s="241"/>
      <c r="C1455" s="241"/>
      <c r="D1455" s="241"/>
      <c r="E1455" s="241"/>
      <c r="F1455" s="241"/>
      <c r="G1455" s="241"/>
      <c r="H1455" s="241"/>
      <c r="I1455" s="241"/>
      <c r="J1455" s="241"/>
      <c r="K1455" s="241"/>
      <c r="L1455" s="242"/>
      <c r="M1455" s="241"/>
      <c r="N1455" s="241"/>
      <c r="O1455" s="241"/>
      <c r="P1455" s="241"/>
      <c r="Q1455" s="241"/>
      <c r="R1455" s="241"/>
      <c r="S1455" s="241"/>
      <c r="T1455" s="241"/>
      <c r="U1455" s="241"/>
      <c r="V1455" s="241"/>
      <c r="W1455" s="241"/>
      <c r="X1455" s="243"/>
      <c r="Y1455" s="243"/>
      <c r="Z1455" s="243"/>
      <c r="AA1455" s="243"/>
      <c r="AB1455" s="243"/>
      <c r="AC1455" s="243"/>
      <c r="AD1455" s="243"/>
      <c r="AE1455" s="243"/>
      <c r="AF1455" s="243"/>
      <c r="AG1455" s="243"/>
      <c r="AH1455" s="243"/>
      <c r="AI1455" s="243"/>
      <c r="AJ1455" s="243"/>
    </row>
    <row r="1456" hidden="1">
      <c r="A1456" s="241"/>
      <c r="B1456" s="241"/>
      <c r="C1456" s="241"/>
      <c r="D1456" s="241"/>
      <c r="E1456" s="241"/>
      <c r="F1456" s="241"/>
      <c r="G1456" s="241"/>
      <c r="H1456" s="241"/>
      <c r="I1456" s="241"/>
      <c r="J1456" s="241"/>
      <c r="K1456" s="241"/>
      <c r="L1456" s="242"/>
      <c r="M1456" s="241"/>
      <c r="N1456" s="241"/>
      <c r="O1456" s="241"/>
      <c r="P1456" s="241"/>
      <c r="Q1456" s="241"/>
      <c r="R1456" s="241"/>
      <c r="S1456" s="241"/>
      <c r="T1456" s="241"/>
      <c r="U1456" s="241"/>
      <c r="V1456" s="241"/>
      <c r="W1456" s="241"/>
      <c r="X1456" s="243"/>
      <c r="Y1456" s="243"/>
      <c r="Z1456" s="243"/>
      <c r="AA1456" s="243"/>
      <c r="AB1456" s="243"/>
      <c r="AC1456" s="243"/>
      <c r="AD1456" s="243"/>
      <c r="AE1456" s="243"/>
      <c r="AF1456" s="243"/>
      <c r="AG1456" s="243"/>
      <c r="AH1456" s="243"/>
      <c r="AI1456" s="243"/>
      <c r="AJ1456" s="243"/>
    </row>
    <row r="1457" hidden="1">
      <c r="A1457" s="241"/>
      <c r="B1457" s="241"/>
      <c r="C1457" s="241"/>
      <c r="D1457" s="241"/>
      <c r="E1457" s="241"/>
      <c r="F1457" s="241"/>
      <c r="G1457" s="241"/>
      <c r="H1457" s="241"/>
      <c r="I1457" s="241"/>
      <c r="J1457" s="241"/>
      <c r="K1457" s="241"/>
      <c r="L1457" s="242"/>
      <c r="M1457" s="241"/>
      <c r="N1457" s="241"/>
      <c r="O1457" s="241"/>
      <c r="P1457" s="241"/>
      <c r="Q1457" s="241"/>
      <c r="R1457" s="241"/>
      <c r="S1457" s="241"/>
      <c r="T1457" s="241"/>
      <c r="U1457" s="241"/>
      <c r="V1457" s="241"/>
      <c r="W1457" s="241"/>
      <c r="X1457" s="243"/>
      <c r="Y1457" s="243"/>
      <c r="Z1457" s="243"/>
      <c r="AA1457" s="243"/>
      <c r="AB1457" s="243"/>
      <c r="AC1457" s="243"/>
      <c r="AD1457" s="243"/>
      <c r="AE1457" s="243"/>
      <c r="AF1457" s="243"/>
      <c r="AG1457" s="243"/>
      <c r="AH1457" s="243"/>
      <c r="AI1457" s="243"/>
      <c r="AJ1457" s="243"/>
    </row>
    <row r="1458" hidden="1">
      <c r="A1458" s="241"/>
      <c r="B1458" s="241"/>
      <c r="C1458" s="241"/>
      <c r="D1458" s="241"/>
      <c r="E1458" s="241"/>
      <c r="F1458" s="241"/>
      <c r="G1458" s="241"/>
      <c r="H1458" s="241"/>
      <c r="I1458" s="241"/>
      <c r="J1458" s="241"/>
      <c r="K1458" s="241"/>
      <c r="L1458" s="242"/>
      <c r="M1458" s="241"/>
      <c r="N1458" s="241"/>
      <c r="O1458" s="241"/>
      <c r="P1458" s="241"/>
      <c r="Q1458" s="241"/>
      <c r="R1458" s="241"/>
      <c r="S1458" s="241"/>
      <c r="T1458" s="241"/>
      <c r="U1458" s="241"/>
      <c r="V1458" s="241"/>
      <c r="W1458" s="241"/>
      <c r="X1458" s="243"/>
      <c r="Y1458" s="243"/>
      <c r="Z1458" s="243"/>
      <c r="AA1458" s="243"/>
      <c r="AB1458" s="243"/>
      <c r="AC1458" s="243"/>
      <c r="AD1458" s="243"/>
      <c r="AE1458" s="243"/>
      <c r="AF1458" s="243"/>
      <c r="AG1458" s="243"/>
      <c r="AH1458" s="243"/>
      <c r="AI1458" s="243"/>
      <c r="AJ1458" s="243"/>
    </row>
    <row r="1459" hidden="1">
      <c r="A1459" s="241"/>
      <c r="B1459" s="241"/>
      <c r="C1459" s="241"/>
      <c r="D1459" s="241"/>
      <c r="E1459" s="241"/>
      <c r="F1459" s="241"/>
      <c r="G1459" s="241"/>
      <c r="H1459" s="241"/>
      <c r="I1459" s="241"/>
      <c r="J1459" s="241"/>
      <c r="K1459" s="241"/>
      <c r="L1459" s="242"/>
      <c r="M1459" s="241"/>
      <c r="N1459" s="241"/>
      <c r="O1459" s="241"/>
      <c r="P1459" s="241"/>
      <c r="Q1459" s="241"/>
      <c r="R1459" s="241"/>
      <c r="S1459" s="241"/>
      <c r="T1459" s="241"/>
      <c r="U1459" s="241"/>
      <c r="V1459" s="241"/>
      <c r="W1459" s="241"/>
      <c r="X1459" s="243"/>
      <c r="Y1459" s="243"/>
      <c r="Z1459" s="243"/>
      <c r="AA1459" s="243"/>
      <c r="AB1459" s="243"/>
      <c r="AC1459" s="243"/>
      <c r="AD1459" s="243"/>
      <c r="AE1459" s="243"/>
      <c r="AF1459" s="243"/>
      <c r="AG1459" s="243"/>
      <c r="AH1459" s="243"/>
      <c r="AI1459" s="243"/>
      <c r="AJ1459" s="243"/>
    </row>
    <row r="1460" hidden="1">
      <c r="A1460" s="241"/>
      <c r="B1460" s="241"/>
      <c r="C1460" s="241"/>
      <c r="D1460" s="241"/>
      <c r="E1460" s="241"/>
      <c r="F1460" s="241"/>
      <c r="G1460" s="241"/>
      <c r="H1460" s="241"/>
      <c r="I1460" s="241"/>
      <c r="J1460" s="241"/>
      <c r="K1460" s="241"/>
      <c r="L1460" s="242"/>
      <c r="M1460" s="241"/>
      <c r="N1460" s="241"/>
      <c r="O1460" s="241"/>
      <c r="P1460" s="241"/>
      <c r="Q1460" s="241"/>
      <c r="R1460" s="241"/>
      <c r="S1460" s="241"/>
      <c r="T1460" s="241"/>
      <c r="U1460" s="241"/>
      <c r="V1460" s="241"/>
      <c r="W1460" s="241"/>
      <c r="X1460" s="243"/>
      <c r="Y1460" s="243"/>
      <c r="Z1460" s="243"/>
      <c r="AA1460" s="243"/>
      <c r="AB1460" s="243"/>
      <c r="AC1460" s="243"/>
      <c r="AD1460" s="243"/>
      <c r="AE1460" s="243"/>
      <c r="AF1460" s="243"/>
      <c r="AG1460" s="243"/>
      <c r="AH1460" s="243"/>
      <c r="AI1460" s="243"/>
      <c r="AJ1460" s="243"/>
    </row>
    <row r="1461" hidden="1">
      <c r="A1461" s="241"/>
      <c r="B1461" s="241"/>
      <c r="C1461" s="241"/>
      <c r="D1461" s="241"/>
      <c r="E1461" s="241"/>
      <c r="F1461" s="241"/>
      <c r="G1461" s="241"/>
      <c r="H1461" s="241"/>
      <c r="I1461" s="241"/>
      <c r="J1461" s="241"/>
      <c r="K1461" s="241"/>
      <c r="L1461" s="242"/>
      <c r="M1461" s="241"/>
      <c r="N1461" s="241"/>
      <c r="O1461" s="241"/>
      <c r="P1461" s="241"/>
      <c r="Q1461" s="241"/>
      <c r="R1461" s="241"/>
      <c r="S1461" s="241"/>
      <c r="T1461" s="241"/>
      <c r="U1461" s="241"/>
      <c r="V1461" s="241"/>
      <c r="W1461" s="241"/>
      <c r="X1461" s="243"/>
      <c r="Y1461" s="243"/>
      <c r="Z1461" s="243"/>
      <c r="AA1461" s="243"/>
      <c r="AB1461" s="243"/>
      <c r="AC1461" s="243"/>
      <c r="AD1461" s="243"/>
      <c r="AE1461" s="243"/>
      <c r="AF1461" s="243"/>
      <c r="AG1461" s="243"/>
      <c r="AH1461" s="243"/>
      <c r="AI1461" s="243"/>
      <c r="AJ1461" s="243"/>
    </row>
    <row r="1462" hidden="1">
      <c r="A1462" s="241"/>
      <c r="B1462" s="241"/>
      <c r="C1462" s="241"/>
      <c r="D1462" s="241"/>
      <c r="E1462" s="241"/>
      <c r="F1462" s="241"/>
      <c r="G1462" s="241"/>
      <c r="H1462" s="241"/>
      <c r="I1462" s="241"/>
      <c r="J1462" s="241"/>
      <c r="K1462" s="241"/>
      <c r="L1462" s="242"/>
      <c r="M1462" s="241"/>
      <c r="N1462" s="241"/>
      <c r="O1462" s="241"/>
      <c r="P1462" s="241"/>
      <c r="Q1462" s="241"/>
      <c r="R1462" s="241"/>
      <c r="S1462" s="241"/>
      <c r="T1462" s="241"/>
      <c r="U1462" s="241"/>
      <c r="V1462" s="241"/>
      <c r="W1462" s="241"/>
      <c r="X1462" s="243"/>
      <c r="Y1462" s="243"/>
      <c r="Z1462" s="243"/>
      <c r="AA1462" s="243"/>
      <c r="AB1462" s="243"/>
      <c r="AC1462" s="243"/>
      <c r="AD1462" s="243"/>
      <c r="AE1462" s="243"/>
      <c r="AF1462" s="243"/>
      <c r="AG1462" s="243"/>
      <c r="AH1462" s="243"/>
      <c r="AI1462" s="243"/>
      <c r="AJ1462" s="243"/>
    </row>
    <row r="1463" hidden="1">
      <c r="A1463" s="241"/>
      <c r="B1463" s="241"/>
      <c r="C1463" s="241"/>
      <c r="D1463" s="241"/>
      <c r="E1463" s="241"/>
      <c r="F1463" s="241"/>
      <c r="G1463" s="241"/>
      <c r="H1463" s="241"/>
      <c r="I1463" s="241"/>
      <c r="J1463" s="241"/>
      <c r="K1463" s="241"/>
      <c r="L1463" s="242"/>
      <c r="M1463" s="241"/>
      <c r="N1463" s="241"/>
      <c r="O1463" s="241"/>
      <c r="P1463" s="241"/>
      <c r="Q1463" s="241"/>
      <c r="R1463" s="241"/>
      <c r="S1463" s="241"/>
      <c r="T1463" s="241"/>
      <c r="U1463" s="241"/>
      <c r="V1463" s="241"/>
      <c r="W1463" s="241"/>
      <c r="X1463" s="243"/>
      <c r="Y1463" s="243"/>
      <c r="Z1463" s="243"/>
      <c r="AA1463" s="243"/>
      <c r="AB1463" s="243"/>
      <c r="AC1463" s="243"/>
      <c r="AD1463" s="243"/>
      <c r="AE1463" s="243"/>
      <c r="AF1463" s="243"/>
      <c r="AG1463" s="243"/>
      <c r="AH1463" s="243"/>
      <c r="AI1463" s="243"/>
      <c r="AJ1463" s="243"/>
    </row>
    <row r="1464" hidden="1">
      <c r="A1464" s="241"/>
      <c r="B1464" s="241"/>
      <c r="C1464" s="241"/>
      <c r="D1464" s="241"/>
      <c r="E1464" s="241"/>
      <c r="F1464" s="241"/>
      <c r="G1464" s="241"/>
      <c r="H1464" s="241"/>
      <c r="I1464" s="241"/>
      <c r="J1464" s="241"/>
      <c r="K1464" s="241"/>
      <c r="L1464" s="242"/>
      <c r="M1464" s="241"/>
      <c r="N1464" s="241"/>
      <c r="O1464" s="241"/>
      <c r="P1464" s="241"/>
      <c r="Q1464" s="241"/>
      <c r="R1464" s="241"/>
      <c r="S1464" s="241"/>
      <c r="T1464" s="241"/>
      <c r="U1464" s="241"/>
      <c r="V1464" s="241"/>
      <c r="W1464" s="241"/>
      <c r="X1464" s="243"/>
      <c r="Y1464" s="243"/>
      <c r="Z1464" s="243"/>
      <c r="AA1464" s="243"/>
      <c r="AB1464" s="243"/>
      <c r="AC1464" s="243"/>
      <c r="AD1464" s="243"/>
      <c r="AE1464" s="243"/>
      <c r="AF1464" s="243"/>
      <c r="AG1464" s="243"/>
      <c r="AH1464" s="243"/>
      <c r="AI1464" s="243"/>
      <c r="AJ1464" s="243"/>
    </row>
    <row r="1465" hidden="1">
      <c r="A1465" s="241"/>
      <c r="B1465" s="241"/>
      <c r="C1465" s="241"/>
      <c r="D1465" s="241"/>
      <c r="E1465" s="241"/>
      <c r="F1465" s="241"/>
      <c r="G1465" s="241"/>
      <c r="H1465" s="241"/>
      <c r="I1465" s="241"/>
      <c r="J1465" s="241"/>
      <c r="K1465" s="241"/>
      <c r="L1465" s="242"/>
      <c r="M1465" s="241"/>
      <c r="N1465" s="241"/>
      <c r="O1465" s="241"/>
      <c r="P1465" s="241"/>
      <c r="Q1465" s="241"/>
      <c r="R1465" s="241"/>
      <c r="S1465" s="241"/>
      <c r="T1465" s="241"/>
      <c r="U1465" s="241"/>
      <c r="V1465" s="241"/>
      <c r="W1465" s="241"/>
      <c r="X1465" s="243"/>
      <c r="Y1465" s="243"/>
      <c r="Z1465" s="243"/>
      <c r="AA1465" s="243"/>
      <c r="AB1465" s="243"/>
      <c r="AC1465" s="243"/>
      <c r="AD1465" s="243"/>
      <c r="AE1465" s="243"/>
      <c r="AF1465" s="243"/>
      <c r="AG1465" s="243"/>
      <c r="AH1465" s="243"/>
      <c r="AI1465" s="243"/>
      <c r="AJ1465" s="243"/>
    </row>
    <row r="1466" hidden="1">
      <c r="A1466" s="241"/>
      <c r="B1466" s="241"/>
      <c r="C1466" s="241"/>
      <c r="D1466" s="241"/>
      <c r="E1466" s="241"/>
      <c r="F1466" s="241"/>
      <c r="G1466" s="241"/>
      <c r="H1466" s="241"/>
      <c r="I1466" s="241"/>
      <c r="J1466" s="241"/>
      <c r="K1466" s="241"/>
      <c r="L1466" s="242"/>
      <c r="M1466" s="241"/>
      <c r="N1466" s="241"/>
      <c r="O1466" s="241"/>
      <c r="P1466" s="241"/>
      <c r="Q1466" s="241"/>
      <c r="R1466" s="241"/>
      <c r="S1466" s="241"/>
      <c r="T1466" s="241"/>
      <c r="U1466" s="241"/>
      <c r="V1466" s="241"/>
      <c r="W1466" s="241"/>
      <c r="X1466" s="243"/>
      <c r="Y1466" s="243"/>
      <c r="Z1466" s="243"/>
      <c r="AA1466" s="243"/>
      <c r="AB1466" s="243"/>
      <c r="AC1466" s="243"/>
      <c r="AD1466" s="243"/>
      <c r="AE1466" s="243"/>
      <c r="AF1466" s="243"/>
      <c r="AG1466" s="243"/>
      <c r="AH1466" s="243"/>
      <c r="AI1466" s="243"/>
      <c r="AJ1466" s="243"/>
    </row>
    <row r="1467" hidden="1">
      <c r="A1467" s="241"/>
      <c r="B1467" s="241"/>
      <c r="C1467" s="241"/>
      <c r="D1467" s="241"/>
      <c r="E1467" s="241"/>
      <c r="F1467" s="241"/>
      <c r="G1467" s="241"/>
      <c r="H1467" s="241"/>
      <c r="I1467" s="241"/>
      <c r="J1467" s="241"/>
      <c r="K1467" s="241"/>
      <c r="L1467" s="242"/>
      <c r="M1467" s="241"/>
      <c r="N1467" s="241"/>
      <c r="O1467" s="241"/>
      <c r="P1467" s="241"/>
      <c r="Q1467" s="241"/>
      <c r="R1467" s="241"/>
      <c r="S1467" s="241"/>
      <c r="T1467" s="241"/>
      <c r="U1467" s="241"/>
      <c r="V1467" s="241"/>
      <c r="W1467" s="241"/>
      <c r="X1467" s="243"/>
      <c r="Y1467" s="243"/>
      <c r="Z1467" s="243"/>
      <c r="AA1467" s="243"/>
      <c r="AB1467" s="243"/>
      <c r="AC1467" s="243"/>
      <c r="AD1467" s="243"/>
      <c r="AE1467" s="243"/>
      <c r="AF1467" s="243"/>
      <c r="AG1467" s="243"/>
      <c r="AH1467" s="243"/>
      <c r="AI1467" s="243"/>
      <c r="AJ1467" s="243"/>
    </row>
    <row r="1468" hidden="1">
      <c r="A1468" s="241"/>
      <c r="B1468" s="241"/>
      <c r="C1468" s="241"/>
      <c r="D1468" s="241"/>
      <c r="E1468" s="241"/>
      <c r="F1468" s="241"/>
      <c r="G1468" s="241"/>
      <c r="H1468" s="241"/>
      <c r="I1468" s="241"/>
      <c r="J1468" s="241"/>
      <c r="K1468" s="241"/>
      <c r="L1468" s="242"/>
      <c r="M1468" s="241"/>
      <c r="N1468" s="241"/>
      <c r="O1468" s="241"/>
      <c r="P1468" s="241"/>
      <c r="Q1468" s="241"/>
      <c r="R1468" s="241"/>
      <c r="S1468" s="241"/>
      <c r="T1468" s="241"/>
      <c r="U1468" s="241"/>
      <c r="V1468" s="241"/>
      <c r="W1468" s="241"/>
      <c r="X1468" s="243"/>
      <c r="Y1468" s="243"/>
      <c r="Z1468" s="243"/>
      <c r="AA1468" s="243"/>
      <c r="AB1468" s="243"/>
      <c r="AC1468" s="243"/>
      <c r="AD1468" s="243"/>
      <c r="AE1468" s="243"/>
      <c r="AF1468" s="243"/>
      <c r="AG1468" s="243"/>
      <c r="AH1468" s="243"/>
      <c r="AI1468" s="243"/>
      <c r="AJ1468" s="243"/>
    </row>
    <row r="1469" hidden="1">
      <c r="A1469" s="241"/>
      <c r="B1469" s="241"/>
      <c r="C1469" s="241"/>
      <c r="D1469" s="241"/>
      <c r="E1469" s="241"/>
      <c r="F1469" s="241"/>
      <c r="G1469" s="241"/>
      <c r="H1469" s="241"/>
      <c r="I1469" s="241"/>
      <c r="J1469" s="241"/>
      <c r="K1469" s="241"/>
      <c r="L1469" s="242"/>
      <c r="M1469" s="241"/>
      <c r="N1469" s="241"/>
      <c r="O1469" s="241"/>
      <c r="P1469" s="241"/>
      <c r="Q1469" s="241"/>
      <c r="R1469" s="241"/>
      <c r="S1469" s="241"/>
      <c r="T1469" s="241"/>
      <c r="U1469" s="241"/>
      <c r="V1469" s="241"/>
      <c r="W1469" s="241"/>
      <c r="X1469" s="243"/>
      <c r="Y1469" s="243"/>
      <c r="Z1469" s="243"/>
      <c r="AA1469" s="243"/>
      <c r="AB1469" s="243"/>
      <c r="AC1469" s="243"/>
      <c r="AD1469" s="243"/>
      <c r="AE1469" s="243"/>
      <c r="AF1469" s="243"/>
      <c r="AG1469" s="243"/>
      <c r="AH1469" s="243"/>
      <c r="AI1469" s="243"/>
      <c r="AJ1469" s="243"/>
    </row>
    <row r="1470" hidden="1">
      <c r="A1470" s="241"/>
      <c r="B1470" s="241"/>
      <c r="C1470" s="241"/>
      <c r="D1470" s="241"/>
      <c r="E1470" s="241"/>
      <c r="F1470" s="241"/>
      <c r="G1470" s="241"/>
      <c r="H1470" s="241"/>
      <c r="I1470" s="241"/>
      <c r="J1470" s="241"/>
      <c r="K1470" s="241"/>
      <c r="L1470" s="242"/>
      <c r="M1470" s="241"/>
      <c r="N1470" s="241"/>
      <c r="O1470" s="241"/>
      <c r="P1470" s="241"/>
      <c r="Q1470" s="241"/>
      <c r="R1470" s="241"/>
      <c r="S1470" s="241"/>
      <c r="T1470" s="241"/>
      <c r="U1470" s="241"/>
      <c r="V1470" s="241"/>
      <c r="W1470" s="241"/>
      <c r="X1470" s="243"/>
      <c r="Y1470" s="243"/>
      <c r="Z1470" s="243"/>
      <c r="AA1470" s="243"/>
      <c r="AB1470" s="243"/>
      <c r="AC1470" s="243"/>
      <c r="AD1470" s="243"/>
      <c r="AE1470" s="243"/>
      <c r="AF1470" s="243"/>
      <c r="AG1470" s="243"/>
      <c r="AH1470" s="243"/>
      <c r="AI1470" s="243"/>
      <c r="AJ1470" s="243"/>
    </row>
    <row r="1471" hidden="1">
      <c r="A1471" s="241"/>
      <c r="B1471" s="241"/>
      <c r="C1471" s="241"/>
      <c r="D1471" s="241"/>
      <c r="E1471" s="241"/>
      <c r="F1471" s="241"/>
      <c r="G1471" s="241"/>
      <c r="H1471" s="241"/>
      <c r="I1471" s="241"/>
      <c r="J1471" s="241"/>
      <c r="K1471" s="241"/>
      <c r="L1471" s="242"/>
      <c r="M1471" s="241"/>
      <c r="N1471" s="241"/>
      <c r="O1471" s="241"/>
      <c r="P1471" s="241"/>
      <c r="Q1471" s="241"/>
      <c r="R1471" s="241"/>
      <c r="S1471" s="241"/>
      <c r="T1471" s="241"/>
      <c r="U1471" s="241"/>
      <c r="V1471" s="241"/>
      <c r="W1471" s="241"/>
      <c r="X1471" s="243"/>
      <c r="Y1471" s="243"/>
      <c r="Z1471" s="243"/>
      <c r="AA1471" s="243"/>
      <c r="AB1471" s="243"/>
      <c r="AC1471" s="243"/>
      <c r="AD1471" s="243"/>
      <c r="AE1471" s="243"/>
      <c r="AF1471" s="243"/>
      <c r="AG1471" s="243"/>
      <c r="AH1471" s="243"/>
      <c r="AI1471" s="243"/>
      <c r="AJ1471" s="243"/>
    </row>
    <row r="1472" hidden="1">
      <c r="A1472" s="241"/>
      <c r="B1472" s="241"/>
      <c r="C1472" s="241"/>
      <c r="D1472" s="241"/>
      <c r="E1472" s="241"/>
      <c r="F1472" s="241"/>
      <c r="G1472" s="241"/>
      <c r="H1472" s="241"/>
      <c r="I1472" s="241"/>
      <c r="J1472" s="241"/>
      <c r="K1472" s="241"/>
      <c r="L1472" s="242"/>
      <c r="M1472" s="241"/>
      <c r="N1472" s="241"/>
      <c r="O1472" s="241"/>
      <c r="P1472" s="241"/>
      <c r="Q1472" s="241"/>
      <c r="R1472" s="241"/>
      <c r="S1472" s="241"/>
      <c r="T1472" s="241"/>
      <c r="U1472" s="241"/>
      <c r="V1472" s="241"/>
      <c r="W1472" s="241"/>
      <c r="X1472" s="243"/>
      <c r="Y1472" s="243"/>
      <c r="Z1472" s="243"/>
      <c r="AA1472" s="243"/>
      <c r="AB1472" s="243"/>
      <c r="AC1472" s="243"/>
      <c r="AD1472" s="243"/>
      <c r="AE1472" s="243"/>
      <c r="AF1472" s="243"/>
      <c r="AG1472" s="243"/>
      <c r="AH1472" s="243"/>
      <c r="AI1472" s="243"/>
      <c r="AJ1472" s="243"/>
    </row>
    <row r="1473" hidden="1">
      <c r="A1473" s="241"/>
      <c r="B1473" s="241"/>
      <c r="C1473" s="241"/>
      <c r="D1473" s="241"/>
      <c r="E1473" s="241"/>
      <c r="F1473" s="241"/>
      <c r="G1473" s="241"/>
      <c r="H1473" s="241"/>
      <c r="I1473" s="241"/>
      <c r="J1473" s="241"/>
      <c r="K1473" s="241"/>
      <c r="L1473" s="242"/>
      <c r="M1473" s="241"/>
      <c r="N1473" s="241"/>
      <c r="O1473" s="241"/>
      <c r="P1473" s="241"/>
      <c r="Q1473" s="241"/>
      <c r="R1473" s="241"/>
      <c r="S1473" s="241"/>
      <c r="T1473" s="241"/>
      <c r="U1473" s="241"/>
      <c r="V1473" s="241"/>
      <c r="W1473" s="241"/>
      <c r="X1473" s="243"/>
      <c r="Y1473" s="243"/>
      <c r="Z1473" s="243"/>
      <c r="AA1473" s="243"/>
      <c r="AB1473" s="243"/>
      <c r="AC1473" s="243"/>
      <c r="AD1473" s="243"/>
      <c r="AE1473" s="243"/>
      <c r="AF1473" s="243"/>
      <c r="AG1473" s="243"/>
      <c r="AH1473" s="243"/>
      <c r="AI1473" s="243"/>
      <c r="AJ1473" s="243"/>
    </row>
    <row r="1474" hidden="1">
      <c r="A1474" s="241"/>
      <c r="B1474" s="241"/>
      <c r="C1474" s="241"/>
      <c r="D1474" s="241"/>
      <c r="E1474" s="241"/>
      <c r="F1474" s="241"/>
      <c r="G1474" s="241"/>
      <c r="H1474" s="241"/>
      <c r="I1474" s="241"/>
      <c r="J1474" s="241"/>
      <c r="K1474" s="241"/>
      <c r="L1474" s="242"/>
      <c r="M1474" s="241"/>
      <c r="N1474" s="241"/>
      <c r="O1474" s="241"/>
      <c r="P1474" s="241"/>
      <c r="Q1474" s="241"/>
      <c r="R1474" s="241"/>
      <c r="S1474" s="241"/>
      <c r="T1474" s="241"/>
      <c r="U1474" s="241"/>
      <c r="V1474" s="241"/>
      <c r="W1474" s="241"/>
      <c r="X1474" s="243"/>
      <c r="Y1474" s="243"/>
      <c r="Z1474" s="243"/>
      <c r="AA1474" s="243"/>
      <c r="AB1474" s="243"/>
      <c r="AC1474" s="243"/>
      <c r="AD1474" s="243"/>
      <c r="AE1474" s="243"/>
      <c r="AF1474" s="243"/>
      <c r="AG1474" s="243"/>
      <c r="AH1474" s="243"/>
      <c r="AI1474" s="243"/>
      <c r="AJ1474" s="243"/>
    </row>
    <row r="1475" hidden="1">
      <c r="A1475" s="241"/>
      <c r="B1475" s="241"/>
      <c r="C1475" s="241"/>
      <c r="D1475" s="241"/>
      <c r="E1475" s="241"/>
      <c r="F1475" s="241"/>
      <c r="G1475" s="241"/>
      <c r="H1475" s="241"/>
      <c r="I1475" s="241"/>
      <c r="J1475" s="241"/>
      <c r="K1475" s="241"/>
      <c r="L1475" s="242"/>
      <c r="M1475" s="241"/>
      <c r="N1475" s="241"/>
      <c r="O1475" s="241"/>
      <c r="P1475" s="241"/>
      <c r="Q1475" s="241"/>
      <c r="R1475" s="241"/>
      <c r="S1475" s="241"/>
      <c r="T1475" s="241"/>
      <c r="U1475" s="241"/>
      <c r="V1475" s="241"/>
      <c r="W1475" s="241"/>
      <c r="X1475" s="243"/>
      <c r="Y1475" s="243"/>
      <c r="Z1475" s="243"/>
      <c r="AA1475" s="243"/>
      <c r="AB1475" s="243"/>
      <c r="AC1475" s="243"/>
      <c r="AD1475" s="243"/>
      <c r="AE1475" s="243"/>
      <c r="AF1475" s="243"/>
      <c r="AG1475" s="243"/>
      <c r="AH1475" s="243"/>
      <c r="AI1475" s="243"/>
      <c r="AJ1475" s="243"/>
    </row>
    <row r="1476" hidden="1">
      <c r="A1476" s="241"/>
      <c r="B1476" s="241"/>
      <c r="C1476" s="241"/>
      <c r="D1476" s="241"/>
      <c r="E1476" s="241"/>
      <c r="F1476" s="241"/>
      <c r="G1476" s="241"/>
      <c r="H1476" s="241"/>
      <c r="I1476" s="241"/>
      <c r="J1476" s="241"/>
      <c r="K1476" s="241"/>
      <c r="L1476" s="242"/>
      <c r="M1476" s="241"/>
      <c r="N1476" s="241"/>
      <c r="O1476" s="241"/>
      <c r="P1476" s="241"/>
      <c r="Q1476" s="241"/>
      <c r="R1476" s="241"/>
      <c r="S1476" s="241"/>
      <c r="T1476" s="241"/>
      <c r="U1476" s="241"/>
      <c r="V1476" s="241"/>
      <c r="W1476" s="241"/>
      <c r="X1476" s="243"/>
      <c r="Y1476" s="243"/>
      <c r="Z1476" s="243"/>
      <c r="AA1476" s="243"/>
      <c r="AB1476" s="243"/>
      <c r="AC1476" s="243"/>
      <c r="AD1476" s="243"/>
      <c r="AE1476" s="243"/>
      <c r="AF1476" s="243"/>
      <c r="AG1476" s="243"/>
      <c r="AH1476" s="243"/>
      <c r="AI1476" s="243"/>
      <c r="AJ1476" s="243"/>
    </row>
    <row r="1477" hidden="1">
      <c r="A1477" s="241"/>
      <c r="B1477" s="241"/>
      <c r="C1477" s="241"/>
      <c r="D1477" s="241"/>
      <c r="E1477" s="241"/>
      <c r="F1477" s="241"/>
      <c r="G1477" s="241"/>
      <c r="H1477" s="241"/>
      <c r="I1477" s="241"/>
      <c r="J1477" s="241"/>
      <c r="K1477" s="241"/>
      <c r="L1477" s="242"/>
      <c r="M1477" s="241"/>
      <c r="N1477" s="241"/>
      <c r="O1477" s="241"/>
      <c r="P1477" s="241"/>
      <c r="Q1477" s="241"/>
      <c r="R1477" s="241"/>
      <c r="S1477" s="241"/>
      <c r="T1477" s="241"/>
      <c r="U1477" s="241"/>
      <c r="V1477" s="241"/>
      <c r="W1477" s="241"/>
      <c r="X1477" s="243"/>
      <c r="Y1477" s="243"/>
      <c r="Z1477" s="243"/>
      <c r="AA1477" s="243"/>
      <c r="AB1477" s="243"/>
      <c r="AC1477" s="243"/>
      <c r="AD1477" s="243"/>
      <c r="AE1477" s="243"/>
      <c r="AF1477" s="243"/>
      <c r="AG1477" s="243"/>
      <c r="AH1477" s="243"/>
      <c r="AI1477" s="243"/>
      <c r="AJ1477" s="243"/>
    </row>
    <row r="1478" hidden="1">
      <c r="A1478" s="241"/>
      <c r="B1478" s="241"/>
      <c r="C1478" s="241"/>
      <c r="D1478" s="241"/>
      <c r="E1478" s="241"/>
      <c r="F1478" s="241"/>
      <c r="G1478" s="241"/>
      <c r="H1478" s="241"/>
      <c r="I1478" s="241"/>
      <c r="J1478" s="241"/>
      <c r="K1478" s="241"/>
      <c r="L1478" s="242"/>
      <c r="M1478" s="241"/>
      <c r="N1478" s="241"/>
      <c r="O1478" s="241"/>
      <c r="P1478" s="241"/>
      <c r="Q1478" s="241"/>
      <c r="R1478" s="241"/>
      <c r="S1478" s="241"/>
      <c r="T1478" s="241"/>
      <c r="U1478" s="241"/>
      <c r="V1478" s="241"/>
      <c r="W1478" s="241"/>
      <c r="X1478" s="243"/>
      <c r="Y1478" s="243"/>
      <c r="Z1478" s="243"/>
      <c r="AA1478" s="243"/>
      <c r="AB1478" s="243"/>
      <c r="AC1478" s="243"/>
      <c r="AD1478" s="243"/>
      <c r="AE1478" s="243"/>
      <c r="AF1478" s="243"/>
      <c r="AG1478" s="243"/>
      <c r="AH1478" s="243"/>
      <c r="AI1478" s="243"/>
      <c r="AJ1478" s="243"/>
    </row>
    <row r="1479" hidden="1">
      <c r="A1479" s="241"/>
      <c r="B1479" s="241"/>
      <c r="C1479" s="241"/>
      <c r="D1479" s="241"/>
      <c r="E1479" s="241"/>
      <c r="F1479" s="241"/>
      <c r="G1479" s="241"/>
      <c r="H1479" s="241"/>
      <c r="I1479" s="241"/>
      <c r="J1479" s="241"/>
      <c r="K1479" s="241"/>
      <c r="L1479" s="242"/>
      <c r="M1479" s="241"/>
      <c r="N1479" s="241"/>
      <c r="O1479" s="241"/>
      <c r="P1479" s="241"/>
      <c r="Q1479" s="241"/>
      <c r="R1479" s="241"/>
      <c r="S1479" s="241"/>
      <c r="T1479" s="241"/>
      <c r="U1479" s="241"/>
      <c r="V1479" s="241"/>
      <c r="W1479" s="241"/>
      <c r="X1479" s="243"/>
      <c r="Y1479" s="243"/>
      <c r="Z1479" s="243"/>
      <c r="AA1479" s="243"/>
      <c r="AB1479" s="243"/>
      <c r="AC1479" s="243"/>
      <c r="AD1479" s="243"/>
      <c r="AE1479" s="243"/>
      <c r="AF1479" s="243"/>
      <c r="AG1479" s="243"/>
      <c r="AH1479" s="243"/>
      <c r="AI1479" s="243"/>
      <c r="AJ1479" s="243"/>
    </row>
    <row r="1480" hidden="1">
      <c r="A1480" s="241"/>
      <c r="B1480" s="241"/>
      <c r="C1480" s="241"/>
      <c r="D1480" s="241"/>
      <c r="E1480" s="241"/>
      <c r="F1480" s="241"/>
      <c r="G1480" s="241"/>
      <c r="H1480" s="241"/>
      <c r="I1480" s="241"/>
      <c r="J1480" s="241"/>
      <c r="K1480" s="241"/>
      <c r="L1480" s="242"/>
      <c r="M1480" s="241"/>
      <c r="N1480" s="241"/>
      <c r="O1480" s="241"/>
      <c r="P1480" s="241"/>
      <c r="Q1480" s="241"/>
      <c r="R1480" s="241"/>
      <c r="S1480" s="241"/>
      <c r="T1480" s="241"/>
      <c r="U1480" s="241"/>
      <c r="V1480" s="241"/>
      <c r="W1480" s="241"/>
      <c r="X1480" s="243"/>
      <c r="Y1480" s="243"/>
      <c r="Z1480" s="243"/>
      <c r="AA1480" s="243"/>
      <c r="AB1480" s="243"/>
      <c r="AC1480" s="243"/>
      <c r="AD1480" s="243"/>
      <c r="AE1480" s="243"/>
      <c r="AF1480" s="243"/>
      <c r="AG1480" s="243"/>
      <c r="AH1480" s="243"/>
      <c r="AI1480" s="243"/>
      <c r="AJ1480" s="243"/>
    </row>
    <row r="1481" hidden="1">
      <c r="A1481" s="241"/>
      <c r="B1481" s="241"/>
      <c r="C1481" s="241"/>
      <c r="D1481" s="241"/>
      <c r="E1481" s="241"/>
      <c r="F1481" s="241"/>
      <c r="G1481" s="241"/>
      <c r="H1481" s="241"/>
      <c r="I1481" s="241"/>
      <c r="J1481" s="241"/>
      <c r="K1481" s="241"/>
      <c r="L1481" s="242"/>
      <c r="M1481" s="241"/>
      <c r="N1481" s="241"/>
      <c r="O1481" s="241"/>
      <c r="P1481" s="241"/>
      <c r="Q1481" s="241"/>
      <c r="R1481" s="241"/>
      <c r="S1481" s="241"/>
      <c r="T1481" s="241"/>
      <c r="U1481" s="241"/>
      <c r="V1481" s="241"/>
      <c r="W1481" s="241"/>
      <c r="X1481" s="243"/>
      <c r="Y1481" s="243"/>
      <c r="Z1481" s="243"/>
      <c r="AA1481" s="243"/>
      <c r="AB1481" s="243"/>
      <c r="AC1481" s="243"/>
      <c r="AD1481" s="243"/>
      <c r="AE1481" s="243"/>
      <c r="AF1481" s="243"/>
      <c r="AG1481" s="243"/>
      <c r="AH1481" s="243"/>
      <c r="AI1481" s="243"/>
      <c r="AJ1481" s="243"/>
    </row>
    <row r="1482" hidden="1">
      <c r="A1482" s="241"/>
      <c r="B1482" s="241"/>
      <c r="C1482" s="241"/>
      <c r="D1482" s="241"/>
      <c r="E1482" s="241"/>
      <c r="F1482" s="241"/>
      <c r="G1482" s="241"/>
      <c r="H1482" s="241"/>
      <c r="I1482" s="241"/>
      <c r="J1482" s="241"/>
      <c r="K1482" s="241"/>
      <c r="L1482" s="242"/>
      <c r="M1482" s="241"/>
      <c r="N1482" s="241"/>
      <c r="O1482" s="241"/>
      <c r="P1482" s="241"/>
      <c r="Q1482" s="241"/>
      <c r="R1482" s="241"/>
      <c r="S1482" s="241"/>
      <c r="T1482" s="241"/>
      <c r="U1482" s="241"/>
      <c r="V1482" s="241"/>
      <c r="W1482" s="241"/>
      <c r="X1482" s="243"/>
      <c r="Y1482" s="243"/>
      <c r="Z1482" s="243"/>
      <c r="AA1482" s="243"/>
      <c r="AB1482" s="243"/>
      <c r="AC1482" s="243"/>
      <c r="AD1482" s="243"/>
      <c r="AE1482" s="243"/>
      <c r="AF1482" s="243"/>
      <c r="AG1482" s="243"/>
      <c r="AH1482" s="243"/>
      <c r="AI1482" s="243"/>
      <c r="AJ1482" s="243"/>
    </row>
    <row r="1483" hidden="1">
      <c r="A1483" s="241"/>
      <c r="B1483" s="241"/>
      <c r="C1483" s="241"/>
      <c r="D1483" s="241"/>
      <c r="E1483" s="241"/>
      <c r="F1483" s="241"/>
      <c r="G1483" s="241"/>
      <c r="H1483" s="241"/>
      <c r="I1483" s="241"/>
      <c r="J1483" s="241"/>
      <c r="K1483" s="241"/>
      <c r="L1483" s="242"/>
      <c r="M1483" s="241"/>
      <c r="N1483" s="241"/>
      <c r="O1483" s="241"/>
      <c r="P1483" s="241"/>
      <c r="Q1483" s="241"/>
      <c r="R1483" s="241"/>
      <c r="S1483" s="241"/>
      <c r="T1483" s="241"/>
      <c r="U1483" s="241"/>
      <c r="V1483" s="241"/>
      <c r="W1483" s="241"/>
      <c r="X1483" s="243"/>
      <c r="Y1483" s="243"/>
      <c r="Z1483" s="243"/>
      <c r="AA1483" s="243"/>
      <c r="AB1483" s="243"/>
      <c r="AC1483" s="243"/>
      <c r="AD1483" s="243"/>
      <c r="AE1483" s="243"/>
      <c r="AF1483" s="243"/>
      <c r="AG1483" s="243"/>
      <c r="AH1483" s="243"/>
      <c r="AI1483" s="243"/>
      <c r="AJ1483" s="243"/>
    </row>
    <row r="1484" hidden="1">
      <c r="A1484" s="241"/>
      <c r="B1484" s="241"/>
      <c r="C1484" s="241"/>
      <c r="D1484" s="241"/>
      <c r="E1484" s="241"/>
      <c r="F1484" s="241"/>
      <c r="G1484" s="241"/>
      <c r="H1484" s="241"/>
      <c r="I1484" s="241"/>
      <c r="J1484" s="241"/>
      <c r="K1484" s="241"/>
      <c r="L1484" s="242"/>
      <c r="M1484" s="241"/>
      <c r="N1484" s="241"/>
      <c r="O1484" s="241"/>
      <c r="P1484" s="241"/>
      <c r="Q1484" s="241"/>
      <c r="R1484" s="241"/>
      <c r="S1484" s="241"/>
      <c r="T1484" s="241"/>
      <c r="U1484" s="241"/>
      <c r="V1484" s="241"/>
      <c r="W1484" s="241"/>
      <c r="X1484" s="243"/>
      <c r="Y1484" s="243"/>
      <c r="Z1484" s="243"/>
      <c r="AA1484" s="243"/>
      <c r="AB1484" s="243"/>
      <c r="AC1484" s="243"/>
      <c r="AD1484" s="243"/>
      <c r="AE1484" s="243"/>
      <c r="AF1484" s="243"/>
      <c r="AG1484" s="243"/>
      <c r="AH1484" s="243"/>
      <c r="AI1484" s="243"/>
      <c r="AJ1484" s="243"/>
    </row>
    <row r="1485" hidden="1">
      <c r="A1485" s="241"/>
      <c r="B1485" s="241"/>
      <c r="C1485" s="241"/>
      <c r="D1485" s="241"/>
      <c r="E1485" s="241"/>
      <c r="F1485" s="241"/>
      <c r="G1485" s="241"/>
      <c r="H1485" s="241"/>
      <c r="I1485" s="241"/>
      <c r="J1485" s="241"/>
      <c r="K1485" s="241"/>
      <c r="L1485" s="242"/>
      <c r="M1485" s="241"/>
      <c r="N1485" s="241"/>
      <c r="O1485" s="241"/>
      <c r="P1485" s="241"/>
      <c r="Q1485" s="241"/>
      <c r="R1485" s="241"/>
      <c r="S1485" s="241"/>
      <c r="T1485" s="241"/>
      <c r="U1485" s="241"/>
      <c r="V1485" s="241"/>
      <c r="W1485" s="241"/>
      <c r="X1485" s="243"/>
      <c r="Y1485" s="243"/>
      <c r="Z1485" s="243"/>
      <c r="AA1485" s="243"/>
      <c r="AB1485" s="243"/>
      <c r="AC1485" s="243"/>
      <c r="AD1485" s="243"/>
      <c r="AE1485" s="243"/>
      <c r="AF1485" s="243"/>
      <c r="AG1485" s="243"/>
      <c r="AH1485" s="243"/>
      <c r="AI1485" s="243"/>
      <c r="AJ1485" s="243"/>
    </row>
    <row r="1486" hidden="1">
      <c r="A1486" s="241"/>
      <c r="B1486" s="241"/>
      <c r="C1486" s="241"/>
      <c r="D1486" s="241"/>
      <c r="E1486" s="241"/>
      <c r="F1486" s="241"/>
      <c r="G1486" s="241"/>
      <c r="H1486" s="241"/>
      <c r="I1486" s="241"/>
      <c r="J1486" s="241"/>
      <c r="K1486" s="241"/>
      <c r="L1486" s="242"/>
      <c r="M1486" s="241"/>
      <c r="N1486" s="241"/>
      <c r="O1486" s="241"/>
      <c r="P1486" s="241"/>
      <c r="Q1486" s="241"/>
      <c r="R1486" s="241"/>
      <c r="S1486" s="241"/>
      <c r="T1486" s="241"/>
      <c r="U1486" s="241"/>
      <c r="V1486" s="241"/>
      <c r="W1486" s="241"/>
      <c r="X1486" s="243"/>
      <c r="Y1486" s="243"/>
      <c r="Z1486" s="243"/>
      <c r="AA1486" s="243"/>
      <c r="AB1486" s="243"/>
      <c r="AC1486" s="243"/>
      <c r="AD1486" s="243"/>
      <c r="AE1486" s="243"/>
      <c r="AF1486" s="243"/>
      <c r="AG1486" s="243"/>
      <c r="AH1486" s="243"/>
      <c r="AI1486" s="243"/>
      <c r="AJ1486" s="243"/>
    </row>
    <row r="1487" hidden="1">
      <c r="A1487" s="241"/>
      <c r="B1487" s="241"/>
      <c r="C1487" s="241"/>
      <c r="D1487" s="241"/>
      <c r="E1487" s="241"/>
      <c r="F1487" s="241"/>
      <c r="G1487" s="241"/>
      <c r="H1487" s="241"/>
      <c r="I1487" s="241"/>
      <c r="J1487" s="241"/>
      <c r="K1487" s="241"/>
      <c r="L1487" s="242"/>
      <c r="M1487" s="241"/>
      <c r="N1487" s="241"/>
      <c r="O1487" s="241"/>
      <c r="P1487" s="241"/>
      <c r="Q1487" s="241"/>
      <c r="R1487" s="241"/>
      <c r="S1487" s="241"/>
      <c r="T1487" s="241"/>
      <c r="U1487" s="241"/>
      <c r="V1487" s="241"/>
      <c r="W1487" s="241"/>
      <c r="X1487" s="243"/>
      <c r="Y1487" s="243"/>
      <c r="Z1487" s="243"/>
      <c r="AA1487" s="243"/>
      <c r="AB1487" s="243"/>
      <c r="AC1487" s="243"/>
      <c r="AD1487" s="243"/>
      <c r="AE1487" s="243"/>
      <c r="AF1487" s="243"/>
      <c r="AG1487" s="243"/>
      <c r="AH1487" s="243"/>
      <c r="AI1487" s="243"/>
      <c r="AJ1487" s="243"/>
    </row>
    <row r="1488" hidden="1">
      <c r="A1488" s="241"/>
      <c r="B1488" s="241"/>
      <c r="C1488" s="241"/>
      <c r="D1488" s="241"/>
      <c r="E1488" s="241"/>
      <c r="F1488" s="241"/>
      <c r="G1488" s="241"/>
      <c r="H1488" s="241"/>
      <c r="I1488" s="241"/>
      <c r="J1488" s="241"/>
      <c r="K1488" s="241"/>
      <c r="L1488" s="242"/>
      <c r="M1488" s="241"/>
      <c r="N1488" s="241"/>
      <c r="O1488" s="241"/>
      <c r="P1488" s="241"/>
      <c r="Q1488" s="241"/>
      <c r="R1488" s="241"/>
      <c r="S1488" s="241"/>
      <c r="T1488" s="241"/>
      <c r="U1488" s="241"/>
      <c r="V1488" s="241"/>
      <c r="W1488" s="241"/>
      <c r="X1488" s="243"/>
      <c r="Y1488" s="243"/>
      <c r="Z1488" s="243"/>
      <c r="AA1488" s="243"/>
      <c r="AB1488" s="243"/>
      <c r="AC1488" s="243"/>
      <c r="AD1488" s="243"/>
      <c r="AE1488" s="243"/>
      <c r="AF1488" s="243"/>
      <c r="AG1488" s="243"/>
      <c r="AH1488" s="243"/>
      <c r="AI1488" s="243"/>
      <c r="AJ1488" s="243"/>
    </row>
    <row r="1489" hidden="1">
      <c r="A1489" s="241"/>
      <c r="B1489" s="241"/>
      <c r="C1489" s="241"/>
      <c r="D1489" s="241"/>
      <c r="E1489" s="241"/>
      <c r="F1489" s="241"/>
      <c r="G1489" s="241"/>
      <c r="H1489" s="241"/>
      <c r="I1489" s="241"/>
      <c r="J1489" s="241"/>
      <c r="K1489" s="241"/>
      <c r="L1489" s="242"/>
      <c r="M1489" s="241"/>
      <c r="N1489" s="241"/>
      <c r="O1489" s="241"/>
      <c r="P1489" s="241"/>
      <c r="Q1489" s="241"/>
      <c r="R1489" s="241"/>
      <c r="S1489" s="241"/>
      <c r="T1489" s="241"/>
      <c r="U1489" s="241"/>
      <c r="V1489" s="241"/>
      <c r="W1489" s="241"/>
      <c r="X1489" s="243"/>
      <c r="Y1489" s="243"/>
      <c r="Z1489" s="243"/>
      <c r="AA1489" s="243"/>
      <c r="AB1489" s="243"/>
      <c r="AC1489" s="243"/>
      <c r="AD1489" s="243"/>
      <c r="AE1489" s="243"/>
      <c r="AF1489" s="243"/>
      <c r="AG1489" s="243"/>
      <c r="AH1489" s="243"/>
      <c r="AI1489" s="243"/>
      <c r="AJ1489" s="243"/>
    </row>
    <row r="1490" hidden="1">
      <c r="A1490" s="241"/>
      <c r="B1490" s="241"/>
      <c r="C1490" s="241"/>
      <c r="D1490" s="241"/>
      <c r="E1490" s="241"/>
      <c r="F1490" s="241"/>
      <c r="G1490" s="241"/>
      <c r="H1490" s="241"/>
      <c r="I1490" s="241"/>
      <c r="J1490" s="241"/>
      <c r="K1490" s="241"/>
      <c r="L1490" s="242"/>
      <c r="M1490" s="241"/>
      <c r="N1490" s="241"/>
      <c r="O1490" s="241"/>
      <c r="P1490" s="241"/>
      <c r="Q1490" s="241"/>
      <c r="R1490" s="241"/>
      <c r="S1490" s="241"/>
      <c r="T1490" s="241"/>
      <c r="U1490" s="241"/>
      <c r="V1490" s="241"/>
      <c r="W1490" s="241"/>
      <c r="X1490" s="243"/>
      <c r="Y1490" s="243"/>
      <c r="Z1490" s="243"/>
      <c r="AA1490" s="243"/>
      <c r="AB1490" s="243"/>
      <c r="AC1490" s="243"/>
      <c r="AD1490" s="243"/>
      <c r="AE1490" s="243"/>
      <c r="AF1490" s="243"/>
      <c r="AG1490" s="243"/>
      <c r="AH1490" s="243"/>
      <c r="AI1490" s="243"/>
      <c r="AJ1490" s="243"/>
    </row>
    <row r="1491" hidden="1">
      <c r="A1491" s="241"/>
      <c r="B1491" s="241"/>
      <c r="C1491" s="241"/>
      <c r="D1491" s="241"/>
      <c r="E1491" s="241"/>
      <c r="F1491" s="241"/>
      <c r="G1491" s="241"/>
      <c r="H1491" s="241"/>
      <c r="I1491" s="241"/>
      <c r="J1491" s="241"/>
      <c r="K1491" s="241"/>
      <c r="L1491" s="242"/>
      <c r="M1491" s="241"/>
      <c r="N1491" s="241"/>
      <c r="O1491" s="241"/>
      <c r="P1491" s="241"/>
      <c r="Q1491" s="241"/>
      <c r="R1491" s="241"/>
      <c r="S1491" s="241"/>
      <c r="T1491" s="241"/>
      <c r="U1491" s="241"/>
      <c r="V1491" s="241"/>
      <c r="W1491" s="241"/>
      <c r="X1491" s="243"/>
      <c r="Y1491" s="243"/>
      <c r="Z1491" s="243"/>
      <c r="AA1491" s="243"/>
      <c r="AB1491" s="243"/>
      <c r="AC1491" s="243"/>
      <c r="AD1491" s="243"/>
      <c r="AE1491" s="243"/>
      <c r="AF1491" s="243"/>
      <c r="AG1491" s="243"/>
      <c r="AH1491" s="243"/>
      <c r="AI1491" s="243"/>
      <c r="AJ1491" s="243"/>
    </row>
    <row r="1492" hidden="1">
      <c r="A1492" s="241"/>
      <c r="B1492" s="241"/>
      <c r="C1492" s="241"/>
      <c r="D1492" s="241"/>
      <c r="E1492" s="241"/>
      <c r="F1492" s="241"/>
      <c r="G1492" s="241"/>
      <c r="H1492" s="241"/>
      <c r="I1492" s="241"/>
      <c r="J1492" s="241"/>
      <c r="K1492" s="241"/>
      <c r="L1492" s="242"/>
      <c r="M1492" s="241"/>
      <c r="N1492" s="241"/>
      <c r="O1492" s="241"/>
      <c r="P1492" s="241"/>
      <c r="Q1492" s="241"/>
      <c r="R1492" s="241"/>
      <c r="S1492" s="241"/>
      <c r="T1492" s="241"/>
      <c r="U1492" s="241"/>
      <c r="V1492" s="241"/>
      <c r="W1492" s="241"/>
      <c r="X1492" s="243"/>
      <c r="Y1492" s="243"/>
      <c r="Z1492" s="243"/>
      <c r="AA1492" s="243"/>
      <c r="AB1492" s="243"/>
      <c r="AC1492" s="243"/>
      <c r="AD1492" s="243"/>
      <c r="AE1492" s="243"/>
      <c r="AF1492" s="243"/>
      <c r="AG1492" s="243"/>
      <c r="AH1492" s="243"/>
      <c r="AI1492" s="243"/>
      <c r="AJ1492" s="243"/>
    </row>
    <row r="1493" hidden="1">
      <c r="A1493" s="241"/>
      <c r="B1493" s="241"/>
      <c r="C1493" s="241"/>
      <c r="D1493" s="241"/>
      <c r="E1493" s="241"/>
      <c r="F1493" s="241"/>
      <c r="G1493" s="241"/>
      <c r="H1493" s="241"/>
      <c r="I1493" s="241"/>
      <c r="J1493" s="241"/>
      <c r="K1493" s="241"/>
      <c r="L1493" s="242"/>
      <c r="M1493" s="241"/>
      <c r="N1493" s="241"/>
      <c r="O1493" s="241"/>
      <c r="P1493" s="241"/>
      <c r="Q1493" s="241"/>
      <c r="R1493" s="241"/>
      <c r="S1493" s="241"/>
      <c r="T1493" s="241"/>
      <c r="U1493" s="241"/>
      <c r="V1493" s="241"/>
      <c r="W1493" s="241"/>
      <c r="X1493" s="243"/>
      <c r="Y1493" s="243"/>
      <c r="Z1493" s="243"/>
      <c r="AA1493" s="243"/>
      <c r="AB1493" s="243"/>
      <c r="AC1493" s="243"/>
      <c r="AD1493" s="243"/>
      <c r="AE1493" s="243"/>
      <c r="AF1493" s="243"/>
      <c r="AG1493" s="243"/>
      <c r="AH1493" s="243"/>
      <c r="AI1493" s="243"/>
      <c r="AJ1493" s="24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4.75"/>
    <col customWidth="1" min="4" max="4" width="4.0"/>
    <col customWidth="1" min="5" max="5" width="4.88"/>
    <col customWidth="1" min="6" max="6" width="3.38"/>
    <col customWidth="1" min="7" max="7" width="4.75"/>
    <col customWidth="1" min="8" max="8" width="4.13"/>
    <col customWidth="1" min="9" max="9" width="4.5"/>
    <col customWidth="1" min="10" max="10" width="4.13"/>
    <col customWidth="1" min="11" max="11" width="3.88"/>
    <col customWidth="1" min="12" max="12" width="4.13"/>
    <col customWidth="1" min="13" max="13" width="4.25"/>
    <col customWidth="1" min="14" max="14" width="3.63"/>
    <col customWidth="1" min="15" max="15" width="3.88"/>
    <col customWidth="1" min="16" max="16" width="3.5"/>
    <col customWidth="1" min="17" max="17" width="4.38"/>
    <col customWidth="1" min="18" max="18" width="3.25"/>
    <col customWidth="1" min="19" max="19" width="4.63"/>
    <col customWidth="1" min="20" max="20" width="3.63"/>
    <col customWidth="1" min="21" max="21" width="3.88"/>
    <col customWidth="1" min="22" max="22" width="2.88"/>
    <col customWidth="1" min="23" max="23" width="4.13"/>
    <col customWidth="1" min="24" max="24" width="3.88"/>
    <col customWidth="1" min="25" max="25" width="4.88"/>
    <col customWidth="1" min="26" max="26" width="3.88"/>
    <col customWidth="1" min="27" max="30" width="4.0"/>
    <col customWidth="1" min="31" max="31" width="3.75"/>
    <col customWidth="1" min="32" max="32" width="4.0"/>
    <col customWidth="1" min="33" max="33" width="4.13"/>
    <col customWidth="1" min="34" max="34" width="3.63"/>
    <col customWidth="1" min="35" max="35" width="3.88"/>
    <col customWidth="1" min="36" max="36" width="4.38"/>
  </cols>
  <sheetData>
    <row r="1">
      <c r="A1" s="241" t="str">
        <f>IFERROR(__xludf.DUMMYFUNCTION("if('Time 3'!C3 = ""Albert"", query(IMPORTRANGE(cd_planilha, ""Armas!B3:G""), ""Select Col1 Where Col2 = '""&amp;Personagem!$B$2&amp;""' or Col2 = '""&amp;Personagem!$B$3&amp;""' or Col2 = '""&amp;Personagem!$B$4&amp;""' or Col2 = '""&amp;Personagem!$B$5&amp;""'""),     
if('Time 3'!C3 ="&amp;" ""Alicia"", query(IMPORTRANGE(cd_planilha, ""Armas!B3:G""), ""Select Col1 Where Col2 = '""&amp;Personagem!$C$2&amp;""' or Col2 = '""&amp;Personagem!$C$3&amp;""' or Col2 = '""&amp;Personagem!$C$4&amp;""' or Col2 = '""&amp;Personagem!$C$5&amp;""'""),
if('Time 3'!C3 = ""Azula"", query(IMP"&amp;"ORTRANGE(cd_planilha, ""Armas!B3:G""), ""Select Col1 Where Col2 = '""&amp;Personagem!$D$2&amp;""' or Col2 = '""&amp;Personagem!$D$3&amp;""' or Col2 = '""&amp;Personagem!$D$4&amp;""' or Col2 = '""&amp;Personagem!$D$5&amp;""'""),
if('Time 3'!C3 = ""Charles"", query(IMPORTRANGE(cd_planilha"&amp;", ""Armas!B3:G""), ""Select Col1 Where Col2 = '""&amp;Personagem!$E$2&amp;""' or Col2 = '""&amp;Personagem!$E$3&amp;""' or Col2 = '""&amp;Personagem!$E$4&amp;""' or Col2 = '""&amp;Personagem!$E$5&amp;""'""),
if('Time 3'!C3 = ""Clovis"", query(IMPORTRANGE(cd_planilha, ""Armas!B3:G""), """&amp;"Select Col1 Where Col2 = '""&amp;Personagem!$F$2&amp;""' or Col2 = '""&amp;Personagem!$F$3&amp;""' or Col2 = '""&amp;Personagem!$F$4&amp;""' or Col2 = '""&amp;Personagem!$F$5&amp;""'""),
if('Time 3'!C3 = ""Darthos"", query(IMPORTRANGE(cd_planilha, ""Armas!B3:G""), ""Select Col1 Where Co"&amp;"l2 = '""&amp;Personagem!$G$2&amp;""' or Col2 = '""&amp;Personagem!$G$3&amp;""' or Col2 = '""&amp;Personagem!$G$4&amp;""' or Col2 = '""&amp;Personagem!$G$5&amp;""'""),
if('Time 3'!C3 = ""Edward"", query(IMPORTRANGE(cd_planilha, ""Armas!B3:G""), ""Select Col1 Where Col2 = '""&amp;Personagem!$"&amp;"H$2&amp;""' or Col2 = '""&amp;Personagem!$H$3&amp;""' or Col2 = '""&amp;Personagem!$H$4&amp;""' or Col2 = '""&amp;Personagem!$H$5&amp;""'""),
if('Time 3'!C3 = ""Fiora"", query(IMPORTRANGE(cd_planilha, ""Armas!B3:G""), ""Select Col1 Where Col2 = '""&amp;Personagem!$I$2&amp;""' or Col2 = '""&amp;"&amp;"Personagem!$I$3&amp;""' or Col2 = '""&amp;Personagem!$I$4&amp;""' or Col2 = '""&amp;Personagem!$I$5&amp;""'""),
if('Time 3'!C3 = ""Francesca"", query(IMPORTRANGE(cd_planilha, ""Armas!B3:G""), ""Select Col1 Where Col2 = '""&amp;Personagem!$J$2&amp;""' or Col2 = '""&amp;Personagem!$J$3&amp;"""&amp;"' or Col2 = '""&amp;Personagem!$J$4&amp;""' or Col2 = '""&amp;Personagem!$J$5&amp;""'""),
if('Time 3'!C3 = ""Garreth"", query(IMPORTRANGE(cd_planilha, ""Armas!B3:G""), ""Select Col1 Where Col2 = '""&amp;Personagem!$K$2&amp;""' or Col2 = '""&amp;Personagem!$K$3&amp;""' or Col2 = '""&amp;Pers"&amp;"onagem!$K$4&amp;""' or Col2 = '""&amp;Personagem!$K$5&amp;""'""),
if('Time 3'!C3 = ""Gauvin"", query(IMPORTRANGE(cd_planilha, ""Armas!B3:G""), ""Select Col1 Where Col2 = '""&amp;Personagem!$L$2&amp;""' or Col2 = '""&amp;Personagem!$L$3&amp;""' or Col2 = '""&amp;Personagem!$L$4&amp;""' or Co"&amp;"l2 = '""&amp;Personagem!$L$5&amp;""'""),
if('Time 3'!C3 = ""Irene"", query(IMPORTRANGE(cd_planilha, ""Armas!B3:G""), ""Select Col1 Where Col2 = '""&amp;Personagem!$M$2&amp;""' or Col2 = '""&amp;Personagem!$M$3&amp;""' or Col2 = '""&amp;Personagem!$M$4&amp;""' or Col2 = '""&amp;Personagem!$M"&amp;"$5&amp;""'""),
if('Time 3'!C3 = ""Karal"", query(IMPORTRANGE(cd_planilha, ""Armas!B3:G""), ""Select Col1 Where Col2 = '""&amp;Personagem!$N$2&amp;""' or Col2 = '""&amp;Personagem!$N$3&amp;""' or Col2 = '""&amp;Personagem!$N$4&amp;""' or Col2 = '""&amp;Personagem!$N$5&amp;""'""),
if('Time 3'"&amp;"!C3 = ""Kuro Shobi"", query(IMPORTRANGE(cd_planilha, ""Armas!B3:G""), ""Select Col1 Where Col2 = '""&amp;Personagem!$O$2&amp;""' or Col2 = '""&amp;Personagem!$O$3&amp;""' or Col2 = '""&amp;Personagem!$O$4&amp;""' or Col2 = '""&amp;Personagem!$O$5&amp;""'""),
if('Time 3'!C3 = ""Kurul"", "&amp;"query(IMPORTRANGE(cd_planilha, ""Armas!B3:G""), ""Select Col1 Where Col2 = '""&amp;Personagem!$P$2&amp;""' or Col2 = '""&amp;Personagem!$P$3&amp;""' or Col2 = '""&amp;Personagem!$P$4&amp;""' or Col2 = '""&amp;Personagem!$P$5&amp;""'""),
if('Time 3'!C3 = ""Lancaster"", query(IMPORTRANGE("&amp;"cd_planilha, ""Armas!B3:G""), ""Select Col1 Where Col2 = '""&amp;Personagem!$Q$2&amp;""' or Col2 = '""&amp;Personagem!$Q$3&amp;""' or Col2 = '""&amp;Personagem!$Q$4&amp;""' or Col2 = '""&amp;Personagem!$Q$5&amp;""'""),
if('Time 3'!C3 = ""Lorelei"", query(IMPORTRANGE(cd_planilha, ""Armas"&amp;"!B3:G""), ""Select Col1 Where Col2 = '""&amp;Personagem!$R$2&amp;""' or Col2 = '""&amp;Personagem!$R$3&amp;""' or Col2 = '""&amp;Personagem!$R$4&amp;""' or Col2 = '""&amp;Personagem!$R$5&amp;""'""),
if('Time 3'!C3 = ""Louca"", query(IMPORTRANGE(cd_planilha, ""Armas!B3:G""), ""Select Col"&amp;"1 Where Col2 = '""&amp;Personagem!$S$2&amp;""' or Col2 = '""&amp;Personagem!$S$3&amp;""' or Col2 = '""&amp;Personagem!$S$4&amp;""' or Col2 = '""&amp;Personagem!$S$5&amp;""'""),
if('Time 3'!C3 = ""Melina"", query(IMPORTRANGE(cd_planilha, ""Armas!B3:G""), ""Select Col1 Where Col2 = '""&amp;Pe"&amp;"rsonagem!$T$2&amp;""' or Col2 = '""&amp;Personagem!$T$3&amp;""' or Col2 = '""&amp;Personagem!$T$4&amp;""' or Col2 = '""&amp;Personagem!$T$5&amp;""'""),
if('Time 3'!C3 = ""Mila"", query(IMPORTRANGE(cd_planilha, ""Armas!B3:G""), ""Select Col1 Where Col2 = '""&amp;Personagem!$U$2&amp;""' or Co"&amp;"l2 = '""&amp;Personagem!$U$3&amp;""' or Col2 = '""&amp;Personagem!$U$4&amp;""' or Col2 = '""&amp;Personagem!$U$5&amp;""'""),
if('Time 3'!C3 = ""Minh"", query(IMPORTRANGE(cd_planilha, ""Armas!B3:G""), ""Select Col1 Where Col2 = '""&amp;Personagem!$V$2&amp;""' or Col2 = '""&amp;Personagem!$V$"&amp;"3&amp;""' or Col2 = '""&amp;Personagem!$V$4&amp;""' or Col2 = '""&amp;Personagem!$V$5&amp;""'""),
if('Time 3'!C3 = ""Mojian"", query(IMPORTRANGE(cd_planilha, ""Armas!B3:G""), ""Select Col1 Where Col2 = '""&amp;Personagem!$W$2&amp;""' or Col2 = '""&amp;Personagem!$W$3&amp;""' or Col2 = '""&amp;P"&amp;"ersonagem!$W$4&amp;""' or Col2 = '""&amp;Personagem!$W$5&amp;""'""),
if('Time 3'!C3 = ""Nya"", query(IMPORTRANGE(cd_planilha, ""Armas!B3:G""), ""Select Col1 Where Col2 = '""&amp;Personagem!$X$2&amp;""' or Col2 = '""&amp;Personagem!$X$3&amp;""' or Col2 = '""&amp;Personagem!$X$4&amp;""' or Co"&amp;"l2 = '""&amp;Personagem!$X$5&amp;""'""),
if('Time 3'!C3 = ""Odette"", query(IMPORTRANGE(cd_planilha, ""Armas!B3:G""), ""Select Col1 Where Col2 = '""&amp;Personagem!$Y$2&amp;""' or Col2 = '""&amp;Personagem!$Y$3&amp;""' or Col2 = '""&amp;Personagem!$Y$4&amp;""' or Col2 = '""&amp;Personagem!$"&amp;"Y$5&amp;""'""),
if('Time 3'!C3 = ""Oneira"", query(IMPORTRANGE(cd_planilha, ""Armas!B3:G""), ""Select Col1 Where Col2 = '""&amp;Personagem!$Z$2&amp;""' or Col2 = '""&amp;Personagem!$Z$3&amp;""' or Col2 = '""&amp;Personagem!$Z$4&amp;""' or Col2 = '""&amp;Personagem!$Z$5&amp;""'""),
if('Time "&amp;"3'!C3 = ""Palash"", query(IMPORTRANGE(cd_planilha, ""Armas!B3:G""), ""Select Col1 Where Col2 = '""&amp;Personagem!$AA$2&amp;""' or Col2 = '""&amp;Personagem!$AA$3&amp;""' or Col2 = '""&amp;Personagem!$AA$4&amp;""' or Col2 = '""&amp;Personagem!$AA$5&amp;""'""),
if('Time 3'!C3 = ""Theor"""&amp;", query(IMPORTRANGE(cd_planilha, ""Armas!B3:G""), ""Select Col1 Where Col2 = '""&amp;Personagem!$AB$2&amp;""' or Col2 = '""&amp;Personagem!$AB$3&amp;""' or Col2 = '""&amp;Personagem!$AB$4&amp;""' or Col2 = '""&amp;Personagem!$AB$5&amp;""'""),
if('Time 3'!C3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B1" s="241"/>
      <c r="C1" s="241" t="str">
        <f>IFERROR(__xludf.DUMMYFUNCTION("if('Time 3'!C4 = ""Albert"", query(IMPORTRANGE(cd_planilha, ""Armas!B3:G""), ""Select Col1 Where Col2 = '""&amp;Personagem!$B$2&amp;""' or Col2 = '""&amp;Personagem!$B$3&amp;""' or Col2 = '""&amp;Personagem!$B$4&amp;""' or Col2 = '""&amp;Personagem!$B$5&amp;""'""),     
if('Time 3'!C4 ="&amp;" ""Alicia"", query(IMPORTRANGE(cd_planilha, ""Armas!B3:G""), ""Select Col1 Where Col2 = '""&amp;Personagem!$C$2&amp;""' or Col2 = '""&amp;Personagem!$C$3&amp;""' or Col2 = '""&amp;Personagem!$C$4&amp;""' or Col2 = '""&amp;Personagem!$C$5&amp;""'""),
if('Time 3'!C4 = ""Azula"", query(IMP"&amp;"ORTRANGE(cd_planilha, ""Armas!B3:G""), ""Select Col1 Where Col2 = '""&amp;Personagem!$D$2&amp;""' or Col2 = '""&amp;Personagem!$D$3&amp;""' or Col2 = '""&amp;Personagem!$D$4&amp;""' or Col2 = '""&amp;Personagem!$D$5&amp;""'""),
if('Time 3'!C4 = ""Charles"", query(IMPORTRANGE(cd_planilha"&amp;", ""Armas!B3:G""), ""Select Col1 Where Col2 = '""&amp;Personagem!$E$2&amp;""' or Col2 = '""&amp;Personagem!$E$3&amp;""' or Col2 = '""&amp;Personagem!$E$4&amp;""' or Col2 = '""&amp;Personagem!$E$5&amp;""'""),
if('Time 3'!C4 = ""Clovis"", query(IMPORTRANGE(cd_planilha, ""Armas!B3:G""), """&amp;"Select Col1 Where Col2 = '""&amp;Personagem!$F$2&amp;""' or Col2 = '""&amp;Personagem!$F$3&amp;""' or Col2 = '""&amp;Personagem!$F$4&amp;""' or Col2 = '""&amp;Personagem!$F$5&amp;""'""),
if('Time 3'!C4 = ""Darthos"", query(IMPORTRANGE(cd_planilha, ""Armas!B3:G""), ""Select Col1 Where Co"&amp;"l2 = '""&amp;Personagem!$G$2&amp;""' or Col2 = '""&amp;Personagem!$G$3&amp;""' or Col2 = '""&amp;Personagem!$G$4&amp;""' or Col2 = '""&amp;Personagem!$G$5&amp;""'""),
if('Time 3'!C4 = ""Edward"", query(IMPORTRANGE(cd_planilha, ""Armas!B3:G""), ""Select Col1 Where Col2 = '""&amp;Personagem!$"&amp;"H$2&amp;""' or Col2 = '""&amp;Personagem!$H$3&amp;""' or Col2 = '""&amp;Personagem!$H$4&amp;""' or Col2 = '""&amp;Personagem!$H$5&amp;""'""),
if('Time 3'!C4 = ""Fiora"", query(IMPORTRANGE(cd_planilha, ""Armas!B3:G""), ""Select Col1 Where Col2 = '""&amp;Personagem!$I$2&amp;""' or Col2 = '""&amp;"&amp;"Personagem!$I$3&amp;""' or Col2 = '""&amp;Personagem!$I$4&amp;""' or Col2 = '""&amp;Personagem!$I$5&amp;""'""),
if('Time 3'!C4 = ""Francesca"", query(IMPORTRANGE(cd_planilha, ""Armas!B3:G""), ""Select Col1 Where Col2 = '""&amp;Personagem!$J$2&amp;""' or Col2 = '""&amp;Personagem!$J$3&amp;"""&amp;"' or Col2 = '""&amp;Personagem!$J$4&amp;""' or Col2 = '""&amp;Personagem!$J$5&amp;""'""),
if('Time 3'!C4 = ""Garreth"", query(IMPORTRANGE(cd_planilha, ""Armas!B3:G""), ""Select Col1 Where Col2 = '""&amp;Personagem!$K$2&amp;""' or Col2 = '""&amp;Personagem!$K$3&amp;""' or Col2 = '""&amp;Pers"&amp;"onagem!$K$4&amp;""' or Col2 = '""&amp;Personagem!$K$5&amp;""'""),
if('Time 3'!C4 = ""Gauvin"", query(IMPORTRANGE(cd_planilha, ""Armas!B3:G""), ""Select Col1 Where Col2 = '""&amp;Personagem!$L$2&amp;""' or Col2 = '""&amp;Personagem!$L$3&amp;""' or Col2 = '""&amp;Personagem!$L$4&amp;""' or Co"&amp;"l2 = '""&amp;Personagem!$L$5&amp;""'""),
if('Time 3'!C4 = ""Irene"", query(IMPORTRANGE(cd_planilha, ""Armas!B3:G""), ""Select Col1 Where Col2 = '""&amp;Personagem!$M$2&amp;""' or Col2 = '""&amp;Personagem!$M$3&amp;""' or Col2 = '""&amp;Personagem!$M$4&amp;""' or Col2 = '""&amp;Personagem!$M"&amp;"$5&amp;""'""),
if('Time 3'!C4 = ""Karal"", query(IMPORTRANGE(cd_planilha, ""Armas!B3:G""), ""Select Col1 Where Col2 = '""&amp;Personagem!$N$2&amp;""' or Col2 = '""&amp;Personagem!$N$3&amp;""' or Col2 = '""&amp;Personagem!$N$4&amp;""' or Col2 = '""&amp;Personagem!$N$5&amp;""'""),
if('Time 3'"&amp;"!C4 = ""Kuro Shobi"", query(IMPORTRANGE(cd_planilha, ""Armas!B3:G""), ""Select Col1 Where Col2 = '""&amp;Personagem!$O$2&amp;""' or Col2 = '""&amp;Personagem!$O$3&amp;""' or Col2 = '""&amp;Personagem!$O$4&amp;""' or Col2 = '""&amp;Personagem!$O$5&amp;""'""),
if('Time 3'!C4 = ""Kurul"", "&amp;"query(IMPORTRANGE(cd_planilha, ""Armas!B3:G""), ""Select Col1 Where Col2 = '""&amp;Personagem!$P$2&amp;""' or Col2 = '""&amp;Personagem!$P$3&amp;""' or Col2 = '""&amp;Personagem!$P$4&amp;""' or Col2 = '""&amp;Personagem!$P$5&amp;""'""),
if('Time 3'!C4 = ""Lancaster"", query(IMPORTRANGE("&amp;"cd_planilha, ""Armas!B3:G""), ""Select Col1 Where Col2 = '""&amp;Personagem!$Q$2&amp;""' or Col2 = '""&amp;Personagem!$Q$3&amp;""' or Col2 = '""&amp;Personagem!$Q$4&amp;""' or Col2 = '""&amp;Personagem!$Q$5&amp;""'""),
if('Time 3'!C4 = ""Lorelei"", query(IMPORTRANGE(cd_planilha, ""Armas"&amp;"!B3:G""), ""Select Col1 Where Col2 = '""&amp;Personagem!$R$2&amp;""' or Col2 = '""&amp;Personagem!$R$3&amp;""' or Col2 = '""&amp;Personagem!$R$4&amp;""' or Col2 = '""&amp;Personagem!$R$5&amp;""'""),
if('Time 3'!C4 = ""Louca"", query(IMPORTRANGE(cd_planilha, ""Armas!B3:G""), ""Select Col"&amp;"1 Where Col2 = '""&amp;Personagem!$S$2&amp;""' or Col2 = '""&amp;Personagem!$S$3&amp;""' or Col2 = '""&amp;Personagem!$S$4&amp;""' or Col2 = '""&amp;Personagem!$S$5&amp;""'""),
if('Time 3'!C4 = ""Melina"", query(IMPORTRANGE(cd_planilha, ""Armas!B3:G""), ""Select Col1 Where Col2 = '""&amp;Pe"&amp;"rsonagem!$T$2&amp;""' or Col2 = '""&amp;Personagem!$T$3&amp;""' or Col2 = '""&amp;Personagem!$T$4&amp;""' or Col2 = '""&amp;Personagem!$T$5&amp;""'""),
if('Time 3'!C4 = ""Mila"", query(IMPORTRANGE(cd_planilha, ""Armas!B3:G""), ""Select Col1 Where Col2 = '""&amp;Personagem!$U$2&amp;""' or Co"&amp;"l2 = '""&amp;Personagem!$U$3&amp;""' or Col2 = '""&amp;Personagem!$U$4&amp;""' or Col2 = '""&amp;Personagem!$U$5&amp;""'""),
if('Time 3'!C4 = ""Minh"", query(IMPORTRANGE(cd_planilha, ""Armas!B3:G""), ""Select Col1 Where Col2 = '""&amp;Personagem!$V$2&amp;""' or Col2 = '""&amp;Personagem!$V$"&amp;"3&amp;""' or Col2 = '""&amp;Personagem!$V$4&amp;""' or Col2 = '""&amp;Personagem!$V$5&amp;""'""),
if('Time 3'!C4 = ""Mojian"", query(IMPORTRANGE(cd_planilha, ""Armas!B3:G""), ""Select Col1 Where Col2 = '""&amp;Personagem!$W$2&amp;""' or Col2 = '""&amp;Personagem!$W$3&amp;""' or Col2 = '""&amp;P"&amp;"ersonagem!$W$4&amp;""' or Col2 = '""&amp;Personagem!$W$5&amp;""'""),
if('Time 3'!C4 = ""Nya"", query(IMPORTRANGE(cd_planilha, ""Armas!B3:G""), ""Select Col1 Where Col2 = '""&amp;Personagem!$X$2&amp;""' or Col2 = '""&amp;Personagem!$X$3&amp;""' or Col2 = '""&amp;Personagem!$X$4&amp;""' or Co"&amp;"l2 = '""&amp;Personagem!$X$5&amp;""'""),
if('Time 3'!C4 = ""Odette"", query(IMPORTRANGE(cd_planilha, ""Armas!B3:G""), ""Select Col1 Where Col2 = '""&amp;Personagem!$Y$2&amp;""' or Col2 = '""&amp;Personagem!$Y$3&amp;""' or Col2 = '""&amp;Personagem!$Y$4&amp;""' or Col2 = '""&amp;Personagem!$"&amp;"Y$5&amp;""'""),
if('Time 3'!C4 = ""Oneira"", query(IMPORTRANGE(cd_planilha, ""Armas!B3:G""), ""Select Col1 Where Col2 = '""&amp;Personagem!$Z$2&amp;""' or Col2 = '""&amp;Personagem!$Z$3&amp;""' or Col2 = '""&amp;Personagem!$Z$4&amp;""' or Col2 = '""&amp;Personagem!$Z$5&amp;""'""),
if('Time "&amp;"3'!C4 = ""Palash"", query(IMPORTRANGE(cd_planilha, ""Armas!B3:G""), ""Select Col1 Where Col2 = '""&amp;Personagem!$AA$2&amp;""' or Col2 = '""&amp;Personagem!$AA$3&amp;""' or Col2 = '""&amp;Personagem!$AA$4&amp;""' or Col2 = '""&amp;Personagem!$AA$5&amp;""'""),
if('Time 3'!C4 = ""Theor"""&amp;", query(IMPORTRANGE(cd_planilha, ""Armas!B3:G""), ""Select Col1 Where Col2 = '""&amp;Personagem!$AB$2&amp;""' or Col2 = '""&amp;Personagem!$AB$3&amp;""' or Col2 = '""&amp;Personagem!$AB$4&amp;""' or Col2 = '""&amp;Personagem!$AB$5&amp;""'""),
if('Time 3'!C4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D1" s="241"/>
      <c r="E1" s="241" t="str">
        <f>IFERROR(__xludf.DUMMYFUNCTION("if('Time 3'!C5 = ""Albert"", query(IMPORTRANGE(cd_planilha, ""Armas!B3:G""), ""Select Col1 Where Col2 = '""&amp;Personagem!$B$2&amp;""' or Col2 = '""&amp;Personagem!$B$3&amp;""' or Col2 = '""&amp;Personagem!$B$4&amp;""' or Col2 = '""&amp;Personagem!$B$5&amp;""'""),     
if('Time 3'!C5 ="&amp;" ""Alicia"", query(IMPORTRANGE(cd_planilha, ""Armas!B3:G""), ""Select Col1 Where Col2 = '""&amp;Personagem!$C$2&amp;""' or Col2 = '""&amp;Personagem!$C$3&amp;""' or Col2 = '""&amp;Personagem!$C$4&amp;""' or Col2 = '""&amp;Personagem!$C$5&amp;""'""),
if('Time 3'!C5 = ""Azula"", query(IMP"&amp;"ORTRANGE(cd_planilha, ""Armas!B3:G""), ""Select Col1 Where Col2 = '""&amp;Personagem!$D$2&amp;""' or Col2 = '""&amp;Personagem!$D$3&amp;""' or Col2 = '""&amp;Personagem!$D$4&amp;""' or Col2 = '""&amp;Personagem!$D$5&amp;""'""),
if('Time 3'!C5 = ""Charles"", query(IMPORTRANGE(cd_planilha"&amp;", ""Armas!B3:G""), ""Select Col1 Where Col2 = '""&amp;Personagem!$E$2&amp;""' or Col2 = '""&amp;Personagem!$E$3&amp;""' or Col2 = '""&amp;Personagem!$E$4&amp;""' or Col2 = '""&amp;Personagem!$E$5&amp;""'""),
if('Time 3'!C5 = ""Clovis"", query(IMPORTRANGE(cd_planilha, ""Armas!B3:G""), """&amp;"Select Col1 Where Col2 = '""&amp;Personagem!$F$2&amp;""' or Col2 = '""&amp;Personagem!$F$3&amp;""' or Col2 = '""&amp;Personagem!$F$4&amp;""' or Col2 = '""&amp;Personagem!$F$5&amp;""'""),
if('Time 3'!C5 = ""Darthos"", query(IMPORTRANGE(cd_planilha, ""Armas!B3:G""), ""Select Col1 Where Co"&amp;"l2 = '""&amp;Personagem!$G$2&amp;""' or Col2 = '""&amp;Personagem!$G$3&amp;""' or Col2 = '""&amp;Personagem!$G$4&amp;""' or Col2 = '""&amp;Personagem!$G$5&amp;""'""),
if('Time 3'!C5 = ""Edward"", query(IMPORTRANGE(cd_planilha, ""Armas!B3:G""), ""Select Col1 Where Col2 = '""&amp;Personagem!$"&amp;"H$2&amp;""' or Col2 = '""&amp;Personagem!$H$3&amp;""' or Col2 = '""&amp;Personagem!$H$4&amp;""' or Col2 = '""&amp;Personagem!$H$5&amp;""'""),
if('Time 3'!C5 = ""Fiora"", query(IMPORTRANGE(cd_planilha, ""Armas!B3:G""), ""Select Col1 Where Col2 = '""&amp;Personagem!$I$2&amp;""' or Col2 = '""&amp;"&amp;"Personagem!$I$3&amp;""' or Col2 = '""&amp;Personagem!$I$4&amp;""' or Col2 = '""&amp;Personagem!$I$5&amp;""'""),
if('Time 3'!C5 = ""Francesca"", query(IMPORTRANGE(cd_planilha, ""Armas!B3:G""), ""Select Col1 Where Col2 = '""&amp;Personagem!$J$2&amp;""' or Col2 = '""&amp;Personagem!$J$3&amp;"""&amp;"' or Col2 = '""&amp;Personagem!$J$4&amp;""' or Col2 = '""&amp;Personagem!$J$5&amp;""'""),
if('Time 3'!C5 = ""Garreth"", query(IMPORTRANGE(cd_planilha, ""Armas!B3:G""), ""Select Col1 Where Col2 = '""&amp;Personagem!$K$2&amp;""' or Col2 = '""&amp;Personagem!$K$3&amp;""' or Col2 = '""&amp;Pers"&amp;"onagem!$K$4&amp;""' or Col2 = '""&amp;Personagem!$K$5&amp;""'""),
if('Time 3'!C5 = ""Gauvin"", query(IMPORTRANGE(cd_planilha, ""Armas!B3:G""), ""Select Col1 Where Col2 = '""&amp;Personagem!$L$2&amp;""' or Col2 = '""&amp;Personagem!$L$3&amp;""' or Col2 = '""&amp;Personagem!$L$4&amp;""' or Co"&amp;"l2 = '""&amp;Personagem!$L$5&amp;""'""),
if('Time 3'!C5 = ""Irene"", query(IMPORTRANGE(cd_planilha, ""Armas!B3:G""), ""Select Col1 Where Col2 = '""&amp;Personagem!$M$2&amp;""' or Col2 = '""&amp;Personagem!$M$3&amp;""' or Col2 = '""&amp;Personagem!$M$4&amp;""' or Col2 = '""&amp;Personagem!$M"&amp;"$5&amp;""'""),
if('Time 3'!C5 = ""Karal"", query(IMPORTRANGE(cd_planilha, ""Armas!B3:G""), ""Select Col1 Where Col2 = '""&amp;Personagem!$N$2&amp;""' or Col2 = '""&amp;Personagem!$N$3&amp;""' or Col2 = '""&amp;Personagem!$N$4&amp;""' or Col2 = '""&amp;Personagem!$N$5&amp;""'""),
if('Time 3'"&amp;"!C5 = ""Kuro Shobi"", query(IMPORTRANGE(cd_planilha, ""Armas!B3:G""), ""Select Col1 Where Col2 = '""&amp;Personagem!$O$2&amp;""' or Col2 = '""&amp;Personagem!$O$3&amp;""' or Col2 = '""&amp;Personagem!$O$4&amp;""' or Col2 = '""&amp;Personagem!$O$5&amp;""'""),
if('Time 3'!C5 = ""Kurul"", "&amp;"query(IMPORTRANGE(cd_planilha, ""Armas!B3:G""), ""Select Col1 Where Col2 = '""&amp;Personagem!$P$2&amp;""' or Col2 = '""&amp;Personagem!$P$3&amp;""' or Col2 = '""&amp;Personagem!$P$4&amp;""' or Col2 = '""&amp;Personagem!$P$5&amp;""'""),
if('Time 3'!C5 = ""Lancaster"", query(IMPORTRANGE("&amp;"cd_planilha, ""Armas!B3:G""), ""Select Col1 Where Col2 = '""&amp;Personagem!$Q$2&amp;""' or Col2 = '""&amp;Personagem!$Q$3&amp;""' or Col2 = '""&amp;Personagem!$Q$4&amp;""' or Col2 = '""&amp;Personagem!$Q$5&amp;""'""),
if('Time 3'!C5 = ""Lorelei"", query(IMPORTRANGE(cd_planilha, ""Armas"&amp;"!B3:G""), ""Select Col1 Where Col2 = '""&amp;Personagem!$R$2&amp;""' or Col2 = '""&amp;Personagem!$R$3&amp;""' or Col2 = '""&amp;Personagem!$R$4&amp;""' or Col2 = '""&amp;Personagem!$R$5&amp;""'""),
if('Time 3'!C5 = ""Louca"", query(IMPORTRANGE(cd_planilha, ""Armas!B3:G""), ""Select Col"&amp;"1 Where Col2 = '""&amp;Personagem!$S$2&amp;""' or Col2 = '""&amp;Personagem!$S$3&amp;""' or Col2 = '""&amp;Personagem!$S$4&amp;""' or Col2 = '""&amp;Personagem!$S$5&amp;""'""),
if('Time 3'!C5 = ""Melina"", query(IMPORTRANGE(cd_planilha, ""Armas!B3:G""), ""Select Col1 Where Col2 = '""&amp;Pe"&amp;"rsonagem!$T$2&amp;""' or Col2 = '""&amp;Personagem!$T$3&amp;""' or Col2 = '""&amp;Personagem!$T$4&amp;""' or Col2 = '""&amp;Personagem!$T$5&amp;""'""),
if('Time 3'!C5 = ""Mila"", query(IMPORTRANGE(cd_planilha, ""Armas!B3:G""), ""Select Col1 Where Col2 = '""&amp;Personagem!$U$2&amp;""' or Co"&amp;"l2 = '""&amp;Personagem!$U$3&amp;""' or Col2 = '""&amp;Personagem!$U$4&amp;""' or Col2 = '""&amp;Personagem!$U$5&amp;""'""),
if('Time 3'!C5 = ""Minh"", query(IMPORTRANGE(cd_planilha, ""Armas!B3:G""), ""Select Col1 Where Col2 = '""&amp;Personagem!$V$2&amp;""' or Col2 = '""&amp;Personagem!$V$"&amp;"3&amp;""' or Col2 = '""&amp;Personagem!$V$4&amp;""' or Col2 = '""&amp;Personagem!$V$5&amp;""'""),
if('Time 3'!C5 = ""Mojian"", query(IMPORTRANGE(cd_planilha, ""Armas!B3:G""), ""Select Col1 Where Col2 = '""&amp;Personagem!$W$2&amp;""' or Col2 = '""&amp;Personagem!$W$3&amp;""' or Col2 = '""&amp;P"&amp;"ersonagem!$W$4&amp;""' or Col2 = '""&amp;Personagem!$W$5&amp;""'""),
if('Time 3'!C5 = ""Nya"", query(IMPORTRANGE(cd_planilha, ""Armas!B3:G""), ""Select Col1 Where Col2 = '""&amp;Personagem!$X$2&amp;""' or Col2 = '""&amp;Personagem!$X$3&amp;""' or Col2 = '""&amp;Personagem!$X$4&amp;""' or Co"&amp;"l2 = '""&amp;Personagem!$X$5&amp;""'""),
if('Time 3'!C5 = ""Odette"", query(IMPORTRANGE(cd_planilha, ""Armas!B3:G""), ""Select Col1 Where Col2 = '""&amp;Personagem!$Y$2&amp;""' or Col2 = '""&amp;Personagem!$Y$3&amp;""' or Col2 = '""&amp;Personagem!$Y$4&amp;""' or Col2 = '""&amp;Personagem!$"&amp;"Y$5&amp;""'""),
if('Time 3'!C5 = ""Oneira"", query(IMPORTRANGE(cd_planilha, ""Armas!B3:G""), ""Select Col1 Where Col2 = '""&amp;Personagem!$Z$2&amp;""' or Col2 = '""&amp;Personagem!$Z$3&amp;""' or Col2 = '""&amp;Personagem!$Z$4&amp;""' or Col2 = '""&amp;Personagem!$Z$5&amp;""'""),
if('Time "&amp;"3'!C5 = ""Palash"", query(IMPORTRANGE(cd_planilha, ""Armas!B3:G""), ""Select Col1 Where Col2 = '""&amp;Personagem!$AA$2&amp;""' or Col2 = '""&amp;Personagem!$AA$3&amp;""' or Col2 = '""&amp;Personagem!$AA$4&amp;""' or Col2 = '""&amp;Personagem!$AA$5&amp;""'""),
if('Time 3'!C5 = ""Theor"""&amp;", query(IMPORTRANGE(cd_planilha, ""Armas!B3:G""), ""Select Col1 Where Col2 = '""&amp;Personagem!$AB$2&amp;""' or Col2 = '""&amp;Personagem!$AB$3&amp;""' or Col2 = '""&amp;Personagem!$AB$4&amp;""' or Col2 = '""&amp;Personagem!$AB$5&amp;""'""),
if('Time 3'!C5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F1" s="241"/>
      <c r="G1" s="241" t="str">
        <f>IFERROR(__xludf.DUMMYFUNCTION("if('Time 3'!C6 = ""Albert"", query(IMPORTRANGE(cd_planilha, ""Armas!B3:G""), ""Select Col1 Where Col2 = '""&amp;Personagem!$B$2&amp;""' or Col2 = '""&amp;Personagem!$B$3&amp;""' or Col2 = '""&amp;Personagem!$B$4&amp;""' or Col2 = '""&amp;Personagem!$B$5&amp;""'""),     
if('Time 3'!C6 ="&amp;" ""Alicia"", query(IMPORTRANGE(cd_planilha, ""Armas!B3:G""), ""Select Col1 Where Col2 = '""&amp;Personagem!$C$2&amp;""' or Col2 = '""&amp;Personagem!$C$3&amp;""' or Col2 = '""&amp;Personagem!$C$4&amp;""' or Col2 = '""&amp;Personagem!$C$5&amp;""'""),
if('Time 3'!C6 = ""Azula"", query(IMP"&amp;"ORTRANGE(cd_planilha, ""Armas!B3:G""), ""Select Col1 Where Col2 = '""&amp;Personagem!$D$2&amp;""' or Col2 = '""&amp;Personagem!$D$3&amp;""' or Col2 = '""&amp;Personagem!$D$4&amp;""' or Col2 = '""&amp;Personagem!$D$5&amp;""'""),
if('Time 3'!C6 = ""Charles"", query(IMPORTRANGE(cd_planilha"&amp;", ""Armas!B3:G""), ""Select Col1 Where Col2 = '""&amp;Personagem!$E$2&amp;""' or Col2 = '""&amp;Personagem!$E$3&amp;""' or Col2 = '""&amp;Personagem!$E$4&amp;""' or Col2 = '""&amp;Personagem!$E$5&amp;""'""),
if('Time 3'!C6 = ""Clovis"", query(IMPORTRANGE(cd_planilha, ""Armas!B3:G""), """&amp;"Select Col1 Where Col2 = '""&amp;Personagem!$F$2&amp;""' or Col2 = '""&amp;Personagem!$F$3&amp;""' or Col2 = '""&amp;Personagem!$F$4&amp;""' or Col2 = '""&amp;Personagem!$F$5&amp;""'""),
if('Time 3'!C6 = ""Darthos"", query(IMPORTRANGE(cd_planilha, ""Armas!B3:G""), ""Select Col1 Where Co"&amp;"l2 = '""&amp;Personagem!$G$2&amp;""' or Col2 = '""&amp;Personagem!$G$3&amp;""' or Col2 = '""&amp;Personagem!$G$4&amp;""' or Col2 = '""&amp;Personagem!$G$5&amp;""'""),
if('Time 3'!C6 = ""Edward"", query(IMPORTRANGE(cd_planilha, ""Armas!B3:G""), ""Select Col1 Where Col2 = '""&amp;Personagem!$"&amp;"H$2&amp;""' or Col2 = '""&amp;Personagem!$H$3&amp;""' or Col2 = '""&amp;Personagem!$H$4&amp;""' or Col2 = '""&amp;Personagem!$H$5&amp;""'""),
if('Time 3'!C6 = ""Fiora"", query(IMPORTRANGE(cd_planilha, ""Armas!B3:G""), ""Select Col1 Where Col2 = '""&amp;Personagem!$I$2&amp;""' or Col2 = '""&amp;"&amp;"Personagem!$I$3&amp;""' or Col2 = '""&amp;Personagem!$I$4&amp;""' or Col2 = '""&amp;Personagem!$I$5&amp;""'""),
if('Time 3'!C6 = ""Francesca"", query(IMPORTRANGE(cd_planilha, ""Armas!B3:G""), ""Select Col1 Where Col2 = '""&amp;Personagem!$J$2&amp;""' or Col2 = '""&amp;Personagem!$J$3&amp;"""&amp;"' or Col2 = '""&amp;Personagem!$J$4&amp;""' or Col2 = '""&amp;Personagem!$J$5&amp;""'""),
if('Time 3'!C6 = ""Garreth"", query(IMPORTRANGE(cd_planilha, ""Armas!B3:G""), ""Select Col1 Where Col2 = '""&amp;Personagem!$K$2&amp;""' or Col2 = '""&amp;Personagem!$K$3&amp;""' or Col2 = '""&amp;Pers"&amp;"onagem!$K$4&amp;""' or Col2 = '""&amp;Personagem!$K$5&amp;""'""),
if('Time 3'!C6 = ""Gauvin"", query(IMPORTRANGE(cd_planilha, ""Armas!B3:G""), ""Select Col1 Where Col2 = '""&amp;Personagem!$L$2&amp;""' or Col2 = '""&amp;Personagem!$L$3&amp;""' or Col2 = '""&amp;Personagem!$L$4&amp;""' or Co"&amp;"l2 = '""&amp;Personagem!$L$5&amp;""'""),
if('Time 3'!C6 = ""Irene"", query(IMPORTRANGE(cd_planilha, ""Armas!B3:G""), ""Select Col1 Where Col2 = '""&amp;Personagem!$M$2&amp;""' or Col2 = '""&amp;Personagem!$M$3&amp;""' or Col2 = '""&amp;Personagem!$M$4&amp;""' or Col2 = '""&amp;Personagem!$M"&amp;"$5&amp;""'""),
if('Time 3'!C6 = ""Karal"", query(IMPORTRANGE(cd_planilha, ""Armas!B3:G""), ""Select Col1 Where Col2 = '""&amp;Personagem!$N$2&amp;""' or Col2 = '""&amp;Personagem!$N$3&amp;""' or Col2 = '""&amp;Personagem!$N$4&amp;""' or Col2 = '""&amp;Personagem!$N$5&amp;""'""),
if('Time 3'"&amp;"!C6 = ""Kuro Shobi"", query(IMPORTRANGE(cd_planilha, ""Armas!B3:G""), ""Select Col1 Where Col2 = '""&amp;Personagem!$O$2&amp;""' or Col2 = '""&amp;Personagem!$O$3&amp;""' or Col2 = '""&amp;Personagem!$O$4&amp;""' or Col2 = '""&amp;Personagem!$O$5&amp;""'""),
if('Time 3'!C6 = ""Kurul"", "&amp;"query(IMPORTRANGE(cd_planilha, ""Armas!B3:G""), ""Select Col1 Where Col2 = '""&amp;Personagem!$P$2&amp;""' or Col2 = '""&amp;Personagem!$P$3&amp;""' or Col2 = '""&amp;Personagem!$P$4&amp;""' or Col2 = '""&amp;Personagem!$P$5&amp;""'""),
if('Time 3'!C6 = ""Lancaster"", query(IMPORTRANGE("&amp;"cd_planilha, ""Armas!B3:G""), ""Select Col1 Where Col2 = '""&amp;Personagem!$Q$2&amp;""' or Col2 = '""&amp;Personagem!$Q$3&amp;""' or Col2 = '""&amp;Personagem!$Q$4&amp;""' or Col2 = '""&amp;Personagem!$Q$5&amp;""'""),
if('Time 3'!C6 = ""Lorelei"", query(IMPORTRANGE(cd_planilha, ""Armas"&amp;"!B3:G""), ""Select Col1 Where Col2 = '""&amp;Personagem!$R$2&amp;""' or Col2 = '""&amp;Personagem!$R$3&amp;""' or Col2 = '""&amp;Personagem!$R$4&amp;""' or Col2 = '""&amp;Personagem!$R$5&amp;""'""),
if('Time 3'!C6 = ""Louca"", query(IMPORTRANGE(cd_planilha, ""Armas!B3:G""), ""Select Col"&amp;"1 Where Col2 = '""&amp;Personagem!$S$2&amp;""' or Col2 = '""&amp;Personagem!$S$3&amp;""' or Col2 = '""&amp;Personagem!$S$4&amp;""' or Col2 = '""&amp;Personagem!$S$5&amp;""'""),
if('Time 3'!C6 = ""Melina"", query(IMPORTRANGE(cd_planilha, ""Armas!B3:G""), ""Select Col1 Where Col2 = '""&amp;Pe"&amp;"rsonagem!$T$2&amp;""' or Col2 = '""&amp;Personagem!$T$3&amp;""' or Col2 = '""&amp;Personagem!$T$4&amp;""' or Col2 = '""&amp;Personagem!$T$5&amp;""'""),
if('Time 3'!C6 = ""Mila"", query(IMPORTRANGE(cd_planilha, ""Armas!B3:G""), ""Select Col1 Where Col2 = '""&amp;Personagem!$U$2&amp;""' or Co"&amp;"l2 = '""&amp;Personagem!$U$3&amp;""' or Col2 = '""&amp;Personagem!$U$4&amp;""' or Col2 = '""&amp;Personagem!$U$5&amp;""'""),
if('Time 3'!C6 = ""Minh"", query(IMPORTRANGE(cd_planilha, ""Armas!B3:G""), ""Select Col1 Where Col2 = '""&amp;Personagem!$V$2&amp;""' or Col2 = '""&amp;Personagem!$V$"&amp;"3&amp;""' or Col2 = '""&amp;Personagem!$V$4&amp;""' or Col2 = '""&amp;Personagem!$V$5&amp;""'""),
if('Time 3'!C6 = ""Mojian"", query(IMPORTRANGE(cd_planilha, ""Armas!B3:G""), ""Select Col1 Where Col2 = '""&amp;Personagem!$W$2&amp;""' or Col2 = '""&amp;Personagem!$W$3&amp;""' or Col2 = '""&amp;P"&amp;"ersonagem!$W$4&amp;""' or Col2 = '""&amp;Personagem!$W$5&amp;""'""),
if('Time 3'!C6 = ""Nya"", query(IMPORTRANGE(cd_planilha, ""Armas!B3:G""), ""Select Col1 Where Col2 = '""&amp;Personagem!$X$2&amp;""' or Col2 = '""&amp;Personagem!$X$3&amp;""' or Col2 = '""&amp;Personagem!$X$4&amp;""' or Co"&amp;"l2 = '""&amp;Personagem!$X$5&amp;""'""),
if('Time 3'!C6 = ""Odette"", query(IMPORTRANGE(cd_planilha, ""Armas!B3:G""), ""Select Col1 Where Col2 = '""&amp;Personagem!$Y$2&amp;""' or Col2 = '""&amp;Personagem!$Y$3&amp;""' or Col2 = '""&amp;Personagem!$Y$4&amp;""' or Col2 = '""&amp;Personagem!$"&amp;"Y$5&amp;""'""),
if('Time 3'!C6 = ""Oneira"", query(IMPORTRANGE(cd_planilha, ""Armas!B3:G""), ""Select Col1 Where Col2 = '""&amp;Personagem!$Z$2&amp;""' or Col2 = '""&amp;Personagem!$Z$3&amp;""' or Col2 = '""&amp;Personagem!$Z$4&amp;""' or Col2 = '""&amp;Personagem!$Z$5&amp;""'""),
if('Time "&amp;"3'!C6 = ""Palash"", query(IMPORTRANGE(cd_planilha, ""Armas!B3:G""), ""Select Col1 Where Col2 = '""&amp;Personagem!$AA$2&amp;""' or Col2 = '""&amp;Personagem!$AA$3&amp;""' or Col2 = '""&amp;Personagem!$AA$4&amp;""' or Col2 = '""&amp;Personagem!$AA$5&amp;""'""),
if('Time 3'!C6 = ""Theor"""&amp;", query(IMPORTRANGE(cd_planilha, ""Armas!B3:G""), ""Select Col1 Where Col2 = '""&amp;Personagem!$AB$2&amp;""' or Col2 = '""&amp;Personagem!$AB$3&amp;""' or Col2 = '""&amp;Personagem!$AB$4&amp;""' or Col2 = '""&amp;Personagem!$AB$5&amp;""'""),
if('Time 3'!C6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H1" s="241"/>
      <c r="I1" s="241" t="str">
        <f>IFERROR(__xludf.DUMMYFUNCTION("if('Time 3'!C7 = ""Albert"", query(IMPORTRANGE(cd_planilha, ""Armas!B3:G""), ""Select Col1 Where Col2 = '""&amp;Personagem!$B$2&amp;""' or Col2 = '""&amp;Personagem!$B$3&amp;""' or Col2 = '""&amp;Personagem!$B$4&amp;""' or Col2 = '""&amp;Personagem!$B$5&amp;""'""),     
if('Time 3'!C7 ="&amp;" ""Alicia"", query(IMPORTRANGE(cd_planilha, ""Armas!B3:G""), ""Select Col1 Where Col2 = '""&amp;Personagem!$C$2&amp;""' or Col2 = '""&amp;Personagem!$C$3&amp;""' or Col2 = '""&amp;Personagem!$C$4&amp;""' or Col2 = '""&amp;Personagem!$C$5&amp;""'""),
if('Time 3'!C7 = ""Azula"", query(IMP"&amp;"ORTRANGE(cd_planilha, ""Armas!B3:G""), ""Select Col1 Where Col2 = '""&amp;Personagem!$D$2&amp;""' or Col2 = '""&amp;Personagem!$D$3&amp;""' or Col2 = '""&amp;Personagem!$D$4&amp;""' or Col2 = '""&amp;Personagem!$D$5&amp;""'""),
if('Time 3'!C7 = ""Charles"", query(IMPORTRANGE(cd_planilha"&amp;", ""Armas!B3:G""), ""Select Col1 Where Col2 = '""&amp;Personagem!$E$2&amp;""' or Col2 = '""&amp;Personagem!$E$3&amp;""' or Col2 = '""&amp;Personagem!$E$4&amp;""' or Col2 = '""&amp;Personagem!$E$5&amp;""'""),
if('Time 3'!C7 = ""Clovis"", query(IMPORTRANGE(cd_planilha, ""Armas!B3:G""), """&amp;"Select Col1 Where Col2 = '""&amp;Personagem!$F$2&amp;""' or Col2 = '""&amp;Personagem!$F$3&amp;""' or Col2 = '""&amp;Personagem!$F$4&amp;""' or Col2 = '""&amp;Personagem!$F$5&amp;""'""),
if('Time 3'!C7 = ""Darthos"", query(IMPORTRANGE(cd_planilha, ""Armas!B3:G""), ""Select Col1 Where Co"&amp;"l2 = '""&amp;Personagem!$G$2&amp;""' or Col2 = '""&amp;Personagem!$G$3&amp;""' or Col2 = '""&amp;Personagem!$G$4&amp;""' or Col2 = '""&amp;Personagem!$G$5&amp;""'""),
if('Time 3'!C7 = ""Edward"", query(IMPORTRANGE(cd_planilha, ""Armas!B3:G""), ""Select Col1 Where Col2 = '""&amp;Personagem!$"&amp;"H$2&amp;""' or Col2 = '""&amp;Personagem!$H$3&amp;""' or Col2 = '""&amp;Personagem!$H$4&amp;""' or Col2 = '""&amp;Personagem!$H$5&amp;""'""),
if('Time 3'!C7 = ""Fiora"", query(IMPORTRANGE(cd_planilha, ""Armas!B3:G""), ""Select Col1 Where Col2 = '""&amp;Personagem!$I$2&amp;""' or Col2 = '""&amp;"&amp;"Personagem!$I$3&amp;""' or Col2 = '""&amp;Personagem!$I$4&amp;""' or Col2 = '""&amp;Personagem!$I$5&amp;""'""),
if('Time 3'!C7 = ""Francesca"", query(IMPORTRANGE(cd_planilha, ""Armas!B3:G""), ""Select Col1 Where Col2 = '""&amp;Personagem!$J$2&amp;""' or Col2 = '""&amp;Personagem!$J$3&amp;"""&amp;"' or Col2 = '""&amp;Personagem!$J$4&amp;""' or Col2 = '""&amp;Personagem!$J$5&amp;""'""),
if('Time 3'!C7 = ""Garreth"", query(IMPORTRANGE(cd_planilha, ""Armas!B3:G""), ""Select Col1 Where Col2 = '""&amp;Personagem!$K$2&amp;""' or Col2 = '""&amp;Personagem!$K$3&amp;""' or Col2 = '""&amp;Pers"&amp;"onagem!$K$4&amp;""' or Col2 = '""&amp;Personagem!$K$5&amp;""'""),
if('Time 3'!C7 = ""Gauvin"", query(IMPORTRANGE(cd_planilha, ""Armas!B3:G""), ""Select Col1 Where Col2 = '""&amp;Personagem!$L$2&amp;""' or Col2 = '""&amp;Personagem!$L$3&amp;""' or Col2 = '""&amp;Personagem!$L$4&amp;""' or Co"&amp;"l2 = '""&amp;Personagem!$L$5&amp;""'""),
if('Time 3'!C7 = ""Irene"", query(IMPORTRANGE(cd_planilha, ""Armas!B3:G""), ""Select Col1 Where Col2 = '""&amp;Personagem!$M$2&amp;""' or Col2 = '""&amp;Personagem!$M$3&amp;""' or Col2 = '""&amp;Personagem!$M$4&amp;""' or Col2 = '""&amp;Personagem!$M"&amp;"$5&amp;""'""),
if('Time 3'!C7 = ""Karal"", query(IMPORTRANGE(cd_planilha, ""Armas!B3:G""), ""Select Col1 Where Col2 = '""&amp;Personagem!$N$2&amp;""' or Col2 = '""&amp;Personagem!$N$3&amp;""' or Col2 = '""&amp;Personagem!$N$4&amp;""' or Col2 = '""&amp;Personagem!$N$5&amp;""'""),
if('Time 3'"&amp;"!C7 = ""Kuro Shobi"", query(IMPORTRANGE(cd_planilha, ""Armas!B3:G""), ""Select Col1 Where Col2 = '""&amp;Personagem!$O$2&amp;""' or Col2 = '""&amp;Personagem!$O$3&amp;""' or Col2 = '""&amp;Personagem!$O$4&amp;""' or Col2 = '""&amp;Personagem!$O$5&amp;""'""),
if('Time 3'!C7 = ""Kurul"", "&amp;"query(IMPORTRANGE(cd_planilha, ""Armas!B3:G""), ""Select Col1 Where Col2 = '""&amp;Personagem!$P$2&amp;""' or Col2 = '""&amp;Personagem!$P$3&amp;""' or Col2 = '""&amp;Personagem!$P$4&amp;""' or Col2 = '""&amp;Personagem!$P$5&amp;""'""),
if('Time 3'!C7 = ""Lancaster"", query(IMPORTRANGE("&amp;"cd_planilha, ""Armas!B3:G""), ""Select Col1 Where Col2 = '""&amp;Personagem!$Q$2&amp;""' or Col2 = '""&amp;Personagem!$Q$3&amp;""' or Col2 = '""&amp;Personagem!$Q$4&amp;""' or Col2 = '""&amp;Personagem!$Q$5&amp;""'""),
if('Time 3'!C7 = ""Lorelei"", query(IMPORTRANGE(cd_planilha, ""Armas"&amp;"!B3:G""), ""Select Col1 Where Col2 = '""&amp;Personagem!$R$2&amp;""' or Col2 = '""&amp;Personagem!$R$3&amp;""' or Col2 = '""&amp;Personagem!$R$4&amp;""' or Col2 = '""&amp;Personagem!$R$5&amp;""'""),
if('Time 3'!C7 = ""Louca"", query(IMPORTRANGE(cd_planilha, ""Armas!B3:G""), ""Select Col"&amp;"1 Where Col2 = '""&amp;Personagem!$S$2&amp;""' or Col2 = '""&amp;Personagem!$S$3&amp;""' or Col2 = '""&amp;Personagem!$S$4&amp;""' or Col2 = '""&amp;Personagem!$S$5&amp;""'""),
if('Time 3'!C7 = ""Melina"", query(IMPORTRANGE(cd_planilha, ""Armas!B3:G""), ""Select Col1 Where Col2 = '""&amp;Pe"&amp;"rsonagem!$T$2&amp;""' or Col2 = '""&amp;Personagem!$T$3&amp;""' or Col2 = '""&amp;Personagem!$T$4&amp;""' or Col2 = '""&amp;Personagem!$T$5&amp;""'""),
if('Time 3'!C7 = ""Mila"", query(IMPORTRANGE(cd_planilha, ""Armas!B3:G""), ""Select Col1 Where Col2 = '""&amp;Personagem!$U$2&amp;""' or Co"&amp;"l2 = '""&amp;Personagem!$U$3&amp;""' or Col2 = '""&amp;Personagem!$U$4&amp;""' or Col2 = '""&amp;Personagem!$U$5&amp;""'""),
if('Time 3'!C7 = ""Minh"", query(IMPORTRANGE(cd_planilha, ""Armas!B3:G""), ""Select Col1 Where Col2 = '""&amp;Personagem!$V$2&amp;""' or Col2 = '""&amp;Personagem!$V$"&amp;"3&amp;""' or Col2 = '""&amp;Personagem!$V$4&amp;""' or Col2 = '""&amp;Personagem!$V$5&amp;""'""),
if('Time 3'!C7 = ""Mojian"", query(IMPORTRANGE(cd_planilha, ""Armas!B3:G""), ""Select Col1 Where Col2 = '""&amp;Personagem!$W$2&amp;""' or Col2 = '""&amp;Personagem!$W$3&amp;""' or Col2 = '""&amp;P"&amp;"ersonagem!$W$4&amp;""' or Col2 = '""&amp;Personagem!$W$5&amp;""'""),
if('Time 3'!C7 = ""Nya"", query(IMPORTRANGE(cd_planilha, ""Armas!B3:G""), ""Select Col1 Where Col2 = '""&amp;Personagem!$X$2&amp;""' or Col2 = '""&amp;Personagem!$X$3&amp;""' or Col2 = '""&amp;Personagem!$X$4&amp;""' or Co"&amp;"l2 = '""&amp;Personagem!$X$5&amp;""'""),
if('Time 3'!C7 = ""Odette"", query(IMPORTRANGE(cd_planilha, ""Armas!B3:G""), ""Select Col1 Where Col2 = '""&amp;Personagem!$Y$2&amp;""' or Col2 = '""&amp;Personagem!$Y$3&amp;""' or Col2 = '""&amp;Personagem!$Y$4&amp;""' or Col2 = '""&amp;Personagem!$"&amp;"Y$5&amp;""'""),
if('Time 3'!C7 = ""Oneira"", query(IMPORTRANGE(cd_planilha, ""Armas!B3:G""), ""Select Col1 Where Col2 = '""&amp;Personagem!$Z$2&amp;""' or Col2 = '""&amp;Personagem!$Z$3&amp;""' or Col2 = '""&amp;Personagem!$Z$4&amp;""' or Col2 = '""&amp;Personagem!$Z$5&amp;""'""),
if('Time "&amp;"3'!C7 = ""Palash"", query(IMPORTRANGE(cd_planilha, ""Armas!B3:G""), ""Select Col1 Where Col2 = '""&amp;Personagem!$AA$2&amp;""' or Col2 = '""&amp;Personagem!$AA$3&amp;""' or Col2 = '""&amp;Personagem!$AA$4&amp;""' or Col2 = '""&amp;Personagem!$AA$5&amp;""'""),
if('Time 3'!C7 = ""Theor"""&amp;", query(IMPORTRANGE(cd_planilha, ""Armas!B3:G""), ""Select Col1 Where Col2 = '""&amp;Personagem!$AB$2&amp;""' or Col2 = '""&amp;Personagem!$AB$3&amp;""' or Col2 = '""&amp;Personagem!$AB$4&amp;""' or Col2 = '""&amp;Personagem!$AB$5&amp;""'""),
if('Time 3'!C7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J1" s="241"/>
      <c r="K1" s="241" t="str">
        <f>IFERROR(__xludf.DUMMYFUNCTION("if('Time 3'!C8 = ""Albert"", query(IMPORTRANGE(cd_planilha, ""Armas!B3:G""), ""Select Col1 Where Col2 = '""&amp;Personagem!$B$2&amp;""' or Col2 = '""&amp;Personagem!$B$3&amp;""' or Col2 = '""&amp;Personagem!$B$4&amp;""' or Col2 = '""&amp;Personagem!$B$5&amp;""'""),     
if('Time 3'!C8 ="&amp;" ""Alicia"", query(IMPORTRANGE(cd_planilha, ""Armas!B3:G""), ""Select Col1 Where Col2 = '""&amp;Personagem!$C$2&amp;""' or Col2 = '""&amp;Personagem!$C$3&amp;""' or Col2 = '""&amp;Personagem!$C$4&amp;""' or Col2 = '""&amp;Personagem!$C$5&amp;""'""),
if('Time 3'!C8 = ""Azula"", query(IMP"&amp;"ORTRANGE(cd_planilha, ""Armas!B3:G""), ""Select Col1 Where Col2 = '""&amp;Personagem!$D$2&amp;""' or Col2 = '""&amp;Personagem!$D$3&amp;""' or Col2 = '""&amp;Personagem!$D$4&amp;""' or Col2 = '""&amp;Personagem!$D$5&amp;""'""),
if('Time 3'!C8 = ""Charles"", query(IMPORTRANGE(cd_planilha"&amp;", ""Armas!B3:G""), ""Select Col1 Where Col2 = '""&amp;Personagem!$E$2&amp;""' or Col2 = '""&amp;Personagem!$E$3&amp;""' or Col2 = '""&amp;Personagem!$E$4&amp;""' or Col2 = '""&amp;Personagem!$E$5&amp;""'""),
if('Time 3'!C8 = ""Clovis"", query(IMPORTRANGE(cd_planilha, ""Armas!B3:G""), """&amp;"Select Col1 Where Col2 = '""&amp;Personagem!$F$2&amp;""' or Col2 = '""&amp;Personagem!$F$3&amp;""' or Col2 = '""&amp;Personagem!$F$4&amp;""' or Col2 = '""&amp;Personagem!$F$5&amp;""'""),
if('Time 3'!C8 = ""Darthos"", query(IMPORTRANGE(cd_planilha, ""Armas!B3:G""), ""Select Col1 Where Co"&amp;"l2 = '""&amp;Personagem!$G$2&amp;""' or Col2 = '""&amp;Personagem!$G$3&amp;""' or Col2 = '""&amp;Personagem!$G$4&amp;""' or Col2 = '""&amp;Personagem!$G$5&amp;""'""),
if('Time 3'!C8 = ""Edward"", query(IMPORTRANGE(cd_planilha, ""Armas!B3:G""), ""Select Col1 Where Col2 = '""&amp;Personagem!$"&amp;"H$2&amp;""' or Col2 = '""&amp;Personagem!$H$3&amp;""' or Col2 = '""&amp;Personagem!$H$4&amp;""' or Col2 = '""&amp;Personagem!$H$5&amp;""'""),
if('Time 3'!C8 = ""Fiora"", query(IMPORTRANGE(cd_planilha, ""Armas!B3:G""), ""Select Col1 Where Col2 = '""&amp;Personagem!$I$2&amp;""' or Col2 = '""&amp;"&amp;"Personagem!$I$3&amp;""' or Col2 = '""&amp;Personagem!$I$4&amp;""' or Col2 = '""&amp;Personagem!$I$5&amp;""'""),
if('Time 3'!C8 = ""Francesca"", query(IMPORTRANGE(cd_planilha, ""Armas!B3:G""), ""Select Col1 Where Col2 = '""&amp;Personagem!$J$2&amp;""' or Col2 = '""&amp;Personagem!$J$3&amp;"""&amp;"' or Col2 = '""&amp;Personagem!$J$4&amp;""' or Col2 = '""&amp;Personagem!$J$5&amp;""'""),
if('Time 3'!C8 = ""Garreth"", query(IMPORTRANGE(cd_planilha, ""Armas!B3:G""), ""Select Col1 Where Col2 = '""&amp;Personagem!$K$2&amp;""' or Col2 = '""&amp;Personagem!$K$3&amp;""' or Col2 = '""&amp;Pers"&amp;"onagem!$K$4&amp;""' or Col2 = '""&amp;Personagem!$K$5&amp;""'""),
if('Time 3'!C8 = ""Gauvin"", query(IMPORTRANGE(cd_planilha, ""Armas!B3:G""), ""Select Col1 Where Col2 = '""&amp;Personagem!$L$2&amp;""' or Col2 = '""&amp;Personagem!$L$3&amp;""' or Col2 = '""&amp;Personagem!$L$4&amp;""' or Co"&amp;"l2 = '""&amp;Personagem!$L$5&amp;""'""),
if('Time 3'!C8 = ""Irene"", query(IMPORTRANGE(cd_planilha, ""Armas!B3:G""), ""Select Col1 Where Col2 = '""&amp;Personagem!$M$2&amp;""' or Col2 = '""&amp;Personagem!$M$3&amp;""' or Col2 = '""&amp;Personagem!$M$4&amp;""' or Col2 = '""&amp;Personagem!$M"&amp;"$5&amp;""'""),
if('Time 3'!C8 = ""Karal"", query(IMPORTRANGE(cd_planilha, ""Armas!B3:G""), ""Select Col1 Where Col2 = '""&amp;Personagem!$N$2&amp;""' or Col2 = '""&amp;Personagem!$N$3&amp;""' or Col2 = '""&amp;Personagem!$N$4&amp;""' or Col2 = '""&amp;Personagem!$N$5&amp;""'""),
if('Time 3'"&amp;"!C8 = ""Kuro Shobi"", query(IMPORTRANGE(cd_planilha, ""Armas!B3:G""), ""Select Col1 Where Col2 = '""&amp;Personagem!$O$2&amp;""' or Col2 = '""&amp;Personagem!$O$3&amp;""' or Col2 = '""&amp;Personagem!$O$4&amp;""' or Col2 = '""&amp;Personagem!$O$5&amp;""'""),
if('Time 3'!C8 = ""Kurul"", "&amp;"query(IMPORTRANGE(cd_planilha, ""Armas!B3:G""), ""Select Col1 Where Col2 = '""&amp;Personagem!$P$2&amp;""' or Col2 = '""&amp;Personagem!$P$3&amp;""' or Col2 = '""&amp;Personagem!$P$4&amp;""' or Col2 = '""&amp;Personagem!$P$5&amp;""'""),
if('Time 3'!C8 = ""Lancaster"", query(IMPORTRANGE("&amp;"cd_planilha, ""Armas!B3:G""), ""Select Col1 Where Col2 = '""&amp;Personagem!$Q$2&amp;""' or Col2 = '""&amp;Personagem!$Q$3&amp;""' or Col2 = '""&amp;Personagem!$Q$4&amp;""' or Col2 = '""&amp;Personagem!$Q$5&amp;""'""),
if('Time 3'!C8 = ""Lorelei"", query(IMPORTRANGE(cd_planilha, ""Armas"&amp;"!B3:G""), ""Select Col1 Where Col2 = '""&amp;Personagem!$R$2&amp;""' or Col2 = '""&amp;Personagem!$R$3&amp;""' or Col2 = '""&amp;Personagem!$R$4&amp;""' or Col2 = '""&amp;Personagem!$R$5&amp;""'""),
if('Time 3'!C8 = ""Louca"", query(IMPORTRANGE(cd_planilha, ""Armas!B3:G""), ""Select Col"&amp;"1 Where Col2 = '""&amp;Personagem!$S$2&amp;""' or Col2 = '""&amp;Personagem!$S$3&amp;""' or Col2 = '""&amp;Personagem!$S$4&amp;""' or Col2 = '""&amp;Personagem!$S$5&amp;""'""),
if('Time 3'!C8 = ""Melina"", query(IMPORTRANGE(cd_planilha, ""Armas!B3:G""), ""Select Col1 Where Col2 = '""&amp;Pe"&amp;"rsonagem!$T$2&amp;""' or Col2 = '""&amp;Personagem!$T$3&amp;""' or Col2 = '""&amp;Personagem!$T$4&amp;""' or Col2 = '""&amp;Personagem!$T$5&amp;""'""),
if('Time 3'!C8 = ""Mila"", query(IMPORTRANGE(cd_planilha, ""Armas!B3:G""), ""Select Col1 Where Col2 = '""&amp;Personagem!$U$2&amp;""' or Co"&amp;"l2 = '""&amp;Personagem!$U$3&amp;""' or Col2 = '""&amp;Personagem!$U$4&amp;""' or Col2 = '""&amp;Personagem!$U$5&amp;""'""),
if('Time 3'!C8 = ""Minh"", query(IMPORTRANGE(cd_planilha, ""Armas!B3:G""), ""Select Col1 Where Col2 = '""&amp;Personagem!$V$2&amp;""' or Col2 = '""&amp;Personagem!$V$"&amp;"3&amp;""' or Col2 = '""&amp;Personagem!$V$4&amp;""' or Col2 = '""&amp;Personagem!$V$5&amp;""'""),
if('Time 3'!C8 = ""Mojian"", query(IMPORTRANGE(cd_planilha, ""Armas!B3:G""), ""Select Col1 Where Col2 = '""&amp;Personagem!$W$2&amp;""' or Col2 = '""&amp;Personagem!$W$3&amp;""' or Col2 = '""&amp;P"&amp;"ersonagem!$W$4&amp;""' or Col2 = '""&amp;Personagem!$W$5&amp;""'""),
if('Time 3'!C8 = ""Nya"", query(IMPORTRANGE(cd_planilha, ""Armas!B3:G""), ""Select Col1 Where Col2 = '""&amp;Personagem!$X$2&amp;""' or Col2 = '""&amp;Personagem!$X$3&amp;""' or Col2 = '""&amp;Personagem!$X$4&amp;""' or Co"&amp;"l2 = '""&amp;Personagem!$X$5&amp;""'""),
if('Time 3'!C8 = ""Odette"", query(IMPORTRANGE(cd_planilha, ""Armas!B3:G""), ""Select Col1 Where Col2 = '""&amp;Personagem!$Y$2&amp;""' or Col2 = '""&amp;Personagem!$Y$3&amp;""' or Col2 = '""&amp;Personagem!$Y$4&amp;""' or Col2 = '""&amp;Personagem!$"&amp;"Y$5&amp;""'""),
if('Time 3'!C8 = ""Oneira"", query(IMPORTRANGE(cd_planilha, ""Armas!B3:G""), ""Select Col1 Where Col2 = '""&amp;Personagem!$Z$2&amp;""' or Col2 = '""&amp;Personagem!$Z$3&amp;""' or Col2 = '""&amp;Personagem!$Z$4&amp;""' or Col2 = '""&amp;Personagem!$Z$5&amp;""'""),
if('Time "&amp;"3'!C8 = ""Palash"", query(IMPORTRANGE(cd_planilha, ""Armas!B3:G""), ""Select Col1 Where Col2 = '""&amp;Personagem!$AA$2&amp;""' or Col2 = '""&amp;Personagem!$AA$3&amp;""' or Col2 = '""&amp;Personagem!$AA$4&amp;""' or Col2 = '""&amp;Personagem!$AA$5&amp;""'""),
if('Time 3'!C8 = ""Theor"""&amp;", query(IMPORTRANGE(cd_planilha, ""Armas!B3:G""), ""Select Col1 Where Col2 = '""&amp;Personagem!$AB$2&amp;""' or Col2 = '""&amp;Personagem!$AB$3&amp;""' or Col2 = '""&amp;Personagem!$AB$4&amp;""' or Col2 = '""&amp;Personagem!$AB$5&amp;""'""),
if('Time 3'!C8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L1" s="242"/>
      <c r="M1" s="241" t="str">
        <f>IFERROR(__xludf.DUMMYFUNCTION("if('Time 3'!C3 = ""Albert"", query(IMPORTRANGE(cd_planilha, ""Armas!B3:G""), ""Select Col1 Where Col2 = '""&amp;Personagem!$B$6&amp;""' or Col2 = '""&amp;Personagem!$B$7&amp;""'""),     
if('Time 3'!C3 = ""Alicia"", query(IMPORTRANGE(cd_planilha, ""Armas!B3:G""), ""Selec"&amp;"t Col1 Where Col2 = '""&amp;Personagem!$C$6&amp;""' or Col2 = '""&amp;Personagem!$C$7&amp;""'""),
if('Time 3'!C3 = ""Azula"", query(IMPORTRANGE(cd_planilha, ""Armas!B3:G""), ""Select Col1 Where Col2 = '""&amp;Personagem!$D$6&amp;""' or Col2 = '""&amp;Personagem!$D$7&amp;""' ""),
if('Tim"&amp;"e 3'!C3 = ""Charles"", query(IMPORTRANGE(cd_planilha, ""Armas!B3:G""), ""Select Col1 Where Col2 = '""&amp;Personagem!$E$6&amp;""' or Col2 = '""&amp;Personagem!$E$7&amp;""'""),
if('Time 3'!C3 = ""Clovis"", query(IMPORTRANGE(cd_planilha, ""Armas!B3:G""), ""Select Col1 Wher"&amp;"e Col2 = '""&amp;Personagem!$F$6&amp;""' or Col2 = '""&amp;Personagem!$F$7&amp;""' ""),
if('Time 3'!C3 = ""Darthos"", query(IMPORTRANGE(cd_planilha, ""Armas!B3:G""), ""Select Col1 Where Col2 = '""&amp;Personagem!$G$6&amp;""' or Col2 = '""&amp;Personagem!$G$7&amp;""'""),
if('Time 3'!C3 ="&amp;" ""Edward"", query(IMPORTRANGE(cd_planilha, ""Armas!B3:G""), ""Select Col1 Where Col2 = '""&amp;Personagem!$H$6&amp;""' or Col2 = '""&amp;Personagem!$H$7&amp;""' ""),
if('Time 3'!C3 = ""Fiora"", query(IMPORTRANGE(cd_planilha, ""Armas!B3:G""), ""Select Col1 Where Col2 = '"&amp;"""&amp;Personagem!$I$6&amp;""' or Col2 = '""&amp;Personagem!$I$7&amp;""' ""),
if('Time 3'!C3 = ""Francesca"", query(IMPORTRANGE(cd_planilha, ""Armas!B3:G""), ""Select Col1 Where Col2 = '""&amp;Personagem!$J$6&amp;""' or Col2 = '""&amp;Personagem!$J$7&amp;""'""),
if('Time 3'!C3 = ""Garre"&amp;"th"", query(IMPORTRANGE(cd_planilha, ""Armas!B3:G""), ""Select Col1 Where Col2 = '""&amp;Personagem!$K$6&amp;""' or Col2 = '""&amp;Personagem!$K$7&amp;""'""),
if('Time 3'!C3 = ""Gauvin"", query(IMPORTRANGE(cd_planilha, ""Armas!B3:G""), ""Select Col1 Where Col2 = '""&amp;Pers"&amp;"onagem!$L$6&amp;""' or Col2 = '""&amp;Personagem!$L$7&amp;""' ""),
if('Time 3'!C3 = ""Irene"", query(IMPORTRANGE(cd_planilha, ""Armas!B3:G""), ""Select Col1 Where Col2 = '""&amp;Personagem!$M$6&amp;""' or Col2 = '""&amp;Personagem!$M$7&amp;""' ""),
if('Time 3'!C3 = ""Karal"", query("&amp;"IMPORTRANGE(cd_planilha, ""Armas!B3:G""), ""Select Col1 Where Col2 = '""&amp;Personagem!$N$6&amp;""' or Col2 = '""&amp;Personagem!$N$7&amp;""' ""),
if('Time 3'!C3 = ""Kuro Shobi"", query(IMPORTRANGE(cd_planilha, ""Armas!B3:G""), ""Select Col1 Where Col2 = '""&amp;Personagem!"&amp;"$O$6&amp;""' or Col2 = '""&amp;Personagem!$O$7&amp;""'""),
if('Time 3'!C3 = ""Kurul"", query(IMPORTRANGE(cd_planilha, ""Armas!B3:G""), ""Select Col1 Where Col2 = '""&amp;Personagem!$P$6&amp;""' or Col2 = '""&amp;Personagem!$P$7&amp;""' ""),
if('Time 3'!C3 = ""Lancaster"", query(IMPO"&amp;"RTRANGE(cd_planilha, ""Armas!B3:G""), ""Select Col1 Where Col2 = '""&amp;Personagem!$Q$6&amp;""' or Col2 = '""&amp;Personagem!$Q$7&amp;""'""),
if('Time 3'!C3 = ""Lorelei"", query(IMPORTRANGE(cd_planilha, ""Armas!B3:G""), ""Select Col1 Where Col2 = '""&amp;Personagem!$R$6&amp;""'"&amp;" or Col2 = '""&amp;Personagem!$R$7&amp;""' ""),
if('Time 3'!C3 = ""Louca"", query(IMPORTRANGE(cd_planilha, ""Armas!B3:G""), ""Select Col1 Where Col2 = '""&amp;Personagem!$S$6&amp;""' or Col2 = '""&amp;Personagem!$S$7&amp;""' ""),
if('Time 3'!C3 = ""Melina"", query(IMPORTRANGE(cd"&amp;"_planilha, ""Armas!B3:G""), ""Select Col1 Where Col2 = '""&amp;Personagem!$T$6&amp;""' or Col2 = '""&amp;Personagem!$T$7&amp;""'""),
if('Time 3'!C3 = ""Mila"", query(IMPORTRANGE(cd_planilha, ""Armas!B3:G""), ""Select Col1 Where Col2 = '""&amp;Personagem!$U$6&amp;""' or Col2 = '"&amp;"""&amp;Personagem!$U$7&amp;""' ""),
if('Time 3'!C3 = ""Minh"", query(IMPORTRANGE(cd_planilha, ""Armas!B3:G""), ""Select Col1 Where Col2 = '""&amp;Personagem!$V$6&amp;""' or Col2 = '""&amp;Personagem!$V$7&amp;""' ""),
if('Time 3'!C3 = ""Mojian"", query(IMPORTRANGE(cd_planilha, """&amp;"Armas!B3:G""), ""Select Col1 Where Col2 = '""&amp;Personagem!$W$6&amp;""' or Col2 = '""&amp;Personagem!$W$7&amp;""'""),
if('Time 3'!C3 = ""Nya"", query(IMPORTRANGE(cd_planilha, ""Armas!B3:G""), ""Select Col1 Where Col2 = '""&amp;Personagem!$X$6&amp;""' or Col2 = '""&amp;Personagem!$"&amp;"X$7&amp;""' ""),
if('Time 3'!C3 = ""Odette"", query(IMPORTRANGE(cd_planilha, ""Armas!B3:G""), ""Select Col1 Where Col2 = '""&amp;Personagem!$Y$6&amp;""' or Col2 = '""&amp;Personagem!$Y$7&amp;""'""),
if('Time 3'!C3 = ""Oneira"", query(IMPORTRANGE(cd_planilha, ""Armas!B3:G""),"&amp;" ""Select Col1 Where Col2 = '""&amp;Personagem!$Z$6&amp;""' or Col2 = '""&amp;Personagem!$Z$7&amp;""' ""),
if('Time 3'!C3 = ""Palash"", query(IMPORTRANGE(cd_planilha, ""Armas!B3:G""), ""Select Col1 Where Col2 = '""&amp;Personagem!$AA$6&amp;""' or Col2 = '""&amp;Personagem!$AA$7&amp;""'"&amp;"""),
if('Time 3'!C3 = ""Theor"", query(IMPORTRANGE(cd_planilha, ""Armas!B3:G""), ""Select Col1 Where Col2 = '""&amp;Personagem!$AB$6&amp;""' or Col2 = '""&amp;Personagem!$AB$7&amp;""' ""),
if('Time 3'!C3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N1" s="241"/>
      <c r="O1" s="241" t="str">
        <f>IFERROR(__xludf.DUMMYFUNCTION("if('Time 3'!C4 = ""Albert"", query(IMPORTRANGE(cd_planilha, ""Armas!B3:G""), ""Select Col1 Where Col2 = '""&amp;Personagem!$B$6&amp;""' or Col2 = '""&amp;Personagem!$B$7&amp;""'""),     
if('Time 3'!C4 = ""Alicia"", query(IMPORTRANGE(cd_planilha, ""Armas!B3:G""), ""Selec"&amp;"t Col1 Where Col2 = '""&amp;Personagem!$C$6&amp;""' or Col2 = '""&amp;Personagem!$C$7&amp;""'""),
if('Time 3'!C4 = ""Azula"", query(IMPORTRANGE(cd_planilha, ""Armas!B3:G""), ""Select Col1 Where Col2 = '""&amp;Personagem!$D$6&amp;""' or Col2 = '""&amp;Personagem!$D$7&amp;""' ""),
if('Tim"&amp;"e 3'!C4 = ""Charles"", query(IMPORTRANGE(cd_planilha, ""Armas!B3:G""), ""Select Col1 Where Col2 = '""&amp;Personagem!$E$6&amp;""' or Col2 = '""&amp;Personagem!$E$7&amp;""'""),
if('Time 3'!C4 = ""Clovis"", query(IMPORTRANGE(cd_planilha, ""Armas!B3:G""), ""Select Col1 Wher"&amp;"e Col2 = '""&amp;Personagem!$F$6&amp;""' or Col2 = '""&amp;Personagem!$F$7&amp;""' ""),
if('Time 3'!C4 = ""Darthos"", query(IMPORTRANGE(cd_planilha, ""Armas!B3:G""), ""Select Col1 Where Col2 = '""&amp;Personagem!$G$6&amp;""' or Col2 = '""&amp;Personagem!$G$7&amp;""'""),
if('Time 3'!C4 ="&amp;" ""Edward"", query(IMPORTRANGE(cd_planilha, ""Armas!B3:G""), ""Select Col1 Where Col2 = '""&amp;Personagem!$H$6&amp;""' or Col2 = '""&amp;Personagem!$H$7&amp;""' ""),
if('Time 3'!C4 = ""Fiora"", query(IMPORTRANGE(cd_planilha, ""Armas!B3:G""), ""Select Col1 Where Col2 = '"&amp;"""&amp;Personagem!$I$6&amp;""' or Col2 = '""&amp;Personagem!$I$7&amp;""' ""),
if('Time 3'!C4 = ""Francesca"", query(IMPORTRANGE(cd_planilha, ""Armas!B3:G""), ""Select Col1 Where Col2 = '""&amp;Personagem!$J$6&amp;""' or Col2 = '""&amp;Personagem!$J$7&amp;""'""),
if('Time 3'!C4 = ""Garre"&amp;"th"", query(IMPORTRANGE(cd_planilha, ""Armas!B3:G""), ""Select Col1 Where Col2 = '""&amp;Personagem!$K$6&amp;""' or Col2 = '""&amp;Personagem!$K$7&amp;""'""),
if('Time 3'!C4 = ""Gauvin"", query(IMPORTRANGE(cd_planilha, ""Armas!B3:G""), ""Select Col1 Where Col2 = '""&amp;Pers"&amp;"onagem!$L$6&amp;""' or Col2 = '""&amp;Personagem!$L$7&amp;""' ""),
if('Time 3'!C4 = ""Irene"", query(IMPORTRANGE(cd_planilha, ""Armas!B3:G""), ""Select Col1 Where Col2 = '""&amp;Personagem!$M$6&amp;""' or Col2 = '""&amp;Personagem!$M$7&amp;""' ""),
if('Time 3'!C4 = ""Karal"", query("&amp;"IMPORTRANGE(cd_planilha, ""Armas!B3:G""), ""Select Col1 Where Col2 = '""&amp;Personagem!$N$6&amp;""' or Col2 = '""&amp;Personagem!$N$7&amp;""' ""),
if('Time 3'!C4 = ""Kuro Shobi"", query(IMPORTRANGE(cd_planilha, ""Armas!B3:G""), ""Select Col1 Where Col2 = '""&amp;Personagem!"&amp;"$O$6&amp;""' or Col2 = '""&amp;Personagem!$O$7&amp;""'""),
if('Time 3'!C4 = ""Kurul"", query(IMPORTRANGE(cd_planilha, ""Armas!B3:G""), ""Select Col1 Where Col2 = '""&amp;Personagem!$P$6&amp;""' or Col2 = '""&amp;Personagem!$P$7&amp;""' ""),
if('Time 3'!C4 = ""Lancaster"", query(IMPO"&amp;"RTRANGE(cd_planilha, ""Armas!B3:G""), ""Select Col1 Where Col2 = '""&amp;Personagem!$Q$6&amp;""' or Col2 = '""&amp;Personagem!$Q$7&amp;""'""),
if('Time 3'!C4 = ""Lorelei"", query(IMPORTRANGE(cd_planilha, ""Armas!B3:G""), ""Select Col1 Where Col2 = '""&amp;Personagem!$R$6&amp;""'"&amp;" or Col2 = '""&amp;Personagem!$R$7&amp;""' ""),
if('Time 3'!C4 = ""Louca"", query(IMPORTRANGE(cd_planilha, ""Armas!B3:G""), ""Select Col1 Where Col2 = '""&amp;Personagem!$S$6&amp;""' or Col2 = '""&amp;Personagem!$S$7&amp;""' ""),
if('Time 3'!C4 = ""Melina"", query(IMPORTRANGE(cd"&amp;"_planilha, ""Armas!B3:G""), ""Select Col1 Where Col2 = '""&amp;Personagem!$T$6&amp;""' or Col2 = '""&amp;Personagem!$T$7&amp;""'""),
if('Time 3'!C4 = ""Mila"", query(IMPORTRANGE(cd_planilha, ""Armas!B3:G""), ""Select Col1 Where Col2 = '""&amp;Personagem!$U$6&amp;""' or Col2 = '"&amp;"""&amp;Personagem!$U$7&amp;""' ""),
if('Time 3'!C4 = ""Minh"", query(IMPORTRANGE(cd_planilha, ""Armas!B3:G""), ""Select Col1 Where Col2 = '""&amp;Personagem!$V$6&amp;""' or Col2 = '""&amp;Personagem!$V$7&amp;""' ""),
if('Time 3'!C4 = ""Mojian"", query(IMPORTRANGE(cd_planilha, """&amp;"Armas!B3:G""), ""Select Col1 Where Col2 = '""&amp;Personagem!$W$6&amp;""' or Col2 = '""&amp;Personagem!$W$7&amp;""'""),
if('Time 3'!C4 = ""Nya"", query(IMPORTRANGE(cd_planilha, ""Armas!B3:G""), ""Select Col1 Where Col2 = '""&amp;Personagem!$X$6&amp;""' or Col2 = '""&amp;Personagem!$"&amp;"X$7&amp;""' ""),
if('Time 3'!C4 = ""Odette"", query(IMPORTRANGE(cd_planilha, ""Armas!B3:G""), ""Select Col1 Where Col2 = '""&amp;Personagem!$Y$6&amp;""' or Col2 = '""&amp;Personagem!$Y$7&amp;""'""),
if('Time 3'!C4 = ""Oneira"", query(IMPORTRANGE(cd_planilha, ""Armas!B3:G""),"&amp;" ""Select Col1 Where Col2 = '""&amp;Personagem!$Z$6&amp;""' or Col2 = '""&amp;Personagem!$Z$7&amp;""' ""),
if('Time 3'!C4 = ""Palash"", query(IMPORTRANGE(cd_planilha, ""Armas!B3:G""), ""Select Col1 Where Col2 = '""&amp;Personagem!$AA$6&amp;""' or Col2 = '""&amp;Personagem!$AA$7&amp;""'"&amp;"""),
if('Time 3'!C4 = ""Theor"", query(IMPORTRANGE(cd_planilha, ""Armas!B3:G""), ""Select Col1 Where Col2 = '""&amp;Personagem!$AB$6&amp;""' or Col2 = '""&amp;Personagem!$AB$7&amp;""' ""),
if('Time 3'!C4 = ""Yue"", query(IMPORTRANGE(cd_planilha, ""Armas!B3:G""), ""Select"&amp;" Col1 Where Col2 = '""&amp;Personagem!$AC$6&amp;""' or Col2 = '""&amp;Personagem!$AC$7&amp;""'""
)))))))))))))))))))))))))))))"),"Capa do Gelo")</f>
        <v>Capa do Gelo</v>
      </c>
      <c r="P1" s="241"/>
      <c r="Q1" s="241" t="str">
        <f>IFERROR(__xludf.DUMMYFUNCTION("if('Time 3'!C5 = ""Albert"", query(IMPORTRANGE(cd_planilha, ""Armas!B3:G""), ""Select Col1 Where Col2 = '""&amp;Personagem!$B$6&amp;""' or Col2 = '""&amp;Personagem!$B$7&amp;""'""),     
if('Time 3'!C5 = ""Alicia"", query(IMPORTRANGE(cd_planilha, ""Armas!B3:G""), ""Selec"&amp;"t Col1 Where Col2 = '""&amp;Personagem!$C$6&amp;""' or Col2 = '""&amp;Personagem!$C$7&amp;""'""),
if('Time 3'!C5 = ""Azula"", query(IMPORTRANGE(cd_planilha, ""Armas!B3:G""), ""Select Col1 Where Col2 = '""&amp;Personagem!$D$6&amp;""' or Col2 = '""&amp;Personagem!$D$7&amp;""' ""),
if('Tim"&amp;"e 3'!C5 = ""Charles"", query(IMPORTRANGE(cd_planilha, ""Armas!B3:G""), ""Select Col1 Where Col2 = '""&amp;Personagem!$E$6&amp;""' or Col2 = '""&amp;Personagem!$E$7&amp;""'""),
if('Time 3'!C5 = ""Clovis"", query(IMPORTRANGE(cd_planilha, ""Armas!B3:G""), ""Select Col1 Wher"&amp;"e Col2 = '""&amp;Personagem!$F$6&amp;""' or Col2 = '""&amp;Personagem!$F$7&amp;""' ""),
if('Time 3'!C5 = ""Darthos"", query(IMPORTRANGE(cd_planilha, ""Armas!B3:G""), ""Select Col1 Where Col2 = '""&amp;Personagem!$G$6&amp;""' or Col2 = '""&amp;Personagem!$G$7&amp;""'""),
if('Time 3'!C5 ="&amp;" ""Edward"", query(IMPORTRANGE(cd_planilha, ""Armas!B3:G""), ""Select Col1 Where Col2 = '""&amp;Personagem!$H$6&amp;""' or Col2 = '""&amp;Personagem!$H$7&amp;""' ""),
if('Time 3'!C5 = ""Fiora"", query(IMPORTRANGE(cd_planilha, ""Armas!B3:G""), ""Select Col1 Where Col2 = '"&amp;"""&amp;Personagem!$I$6&amp;""' or Col2 = '""&amp;Personagem!$I$7&amp;""' ""),
if('Time 3'!C5 = ""Francesca"", query(IMPORTRANGE(cd_planilha, ""Armas!B3:G""), ""Select Col1 Where Col2 = '""&amp;Personagem!$J$6&amp;""' or Col2 = '""&amp;Personagem!$J$7&amp;""'""),
if('Time 3'!C5 = ""Garre"&amp;"th"", query(IMPORTRANGE(cd_planilha, ""Armas!B3:G""), ""Select Col1 Where Col2 = '""&amp;Personagem!$K$6&amp;""' or Col2 = '""&amp;Personagem!$K$7&amp;""'""),
if('Time 3'!C5 = ""Gauvin"", query(IMPORTRANGE(cd_planilha, ""Armas!B3:G""), ""Select Col1 Where Col2 = '""&amp;Pers"&amp;"onagem!$L$6&amp;""' or Col2 = '""&amp;Personagem!$L$7&amp;""' ""),
if('Time 3'!C5 = ""Irene"", query(IMPORTRANGE(cd_planilha, ""Armas!B3:G""), ""Select Col1 Where Col2 = '""&amp;Personagem!$M$6&amp;""' or Col2 = '""&amp;Personagem!$M$7&amp;""' ""),
if('Time 3'!C5 = ""Karal"", query("&amp;"IMPORTRANGE(cd_planilha, ""Armas!B3:G""), ""Select Col1 Where Col2 = '""&amp;Personagem!$N$6&amp;""' or Col2 = '""&amp;Personagem!$N$7&amp;""' ""),
if('Time 3'!C5 = ""Kuro Shobi"", query(IMPORTRANGE(cd_planilha, ""Armas!B3:G""), ""Select Col1 Where Col2 = '""&amp;Personagem!"&amp;"$O$6&amp;""' or Col2 = '""&amp;Personagem!$O$7&amp;""'""),
if('Time 3'!C5 = ""Kurul"", query(IMPORTRANGE(cd_planilha, ""Armas!B3:G""), ""Select Col1 Where Col2 = '""&amp;Personagem!$P$6&amp;""' or Col2 = '""&amp;Personagem!$P$7&amp;""' ""),
if('Time 3'!C5 = ""Lancaster"", query(IMPO"&amp;"RTRANGE(cd_planilha, ""Armas!B3:G""), ""Select Col1 Where Col2 = '""&amp;Personagem!$Q$6&amp;""' or Col2 = '""&amp;Personagem!$Q$7&amp;""'""),
if('Time 3'!C5 = ""Lorelei"", query(IMPORTRANGE(cd_planilha, ""Armas!B3:G""), ""Select Col1 Where Col2 = '""&amp;Personagem!$R$6&amp;""'"&amp;" or Col2 = '""&amp;Personagem!$R$7&amp;""' ""),
if('Time 3'!C5 = ""Louca"", query(IMPORTRANGE(cd_planilha, ""Armas!B3:G""), ""Select Col1 Where Col2 = '""&amp;Personagem!$S$6&amp;""' or Col2 = '""&amp;Personagem!$S$7&amp;""' ""),
if('Time 3'!C5 = ""Melina"", query(IMPORTRANGE(cd"&amp;"_planilha, ""Armas!B3:G""), ""Select Col1 Where Col2 = '""&amp;Personagem!$T$6&amp;""' or Col2 = '""&amp;Personagem!$T$7&amp;""'""),
if('Time 3'!C5 = ""Mila"", query(IMPORTRANGE(cd_planilha, ""Armas!B3:G""), ""Select Col1 Where Col2 = '""&amp;Personagem!$U$6&amp;""' or Col2 = '"&amp;"""&amp;Personagem!$U$7&amp;""' ""),
if('Time 3'!C5 = ""Minh"", query(IMPORTRANGE(cd_planilha, ""Armas!B3:G""), ""Select Col1 Where Col2 = '""&amp;Personagem!$V$6&amp;""' or Col2 = '""&amp;Personagem!$V$7&amp;""' ""),
if('Time 3'!C5 = ""Mojian"", query(IMPORTRANGE(cd_planilha, """&amp;"Armas!B3:G""), ""Select Col1 Where Col2 = '""&amp;Personagem!$W$6&amp;""' or Col2 = '""&amp;Personagem!$W$7&amp;""'""),
if('Time 3'!C5 = ""Nya"", query(IMPORTRANGE(cd_planilha, ""Armas!B3:G""), ""Select Col1 Where Col2 = '""&amp;Personagem!$X$6&amp;""' or Col2 = '""&amp;Personagem!$"&amp;"X$7&amp;""' ""),
if('Time 3'!C5 = ""Odette"", query(IMPORTRANGE(cd_planilha, ""Armas!B3:G""), ""Select Col1 Where Col2 = '""&amp;Personagem!$Y$6&amp;""' or Col2 = '""&amp;Personagem!$Y$7&amp;""'""),
if('Time 3'!C5 = ""Oneira"", query(IMPORTRANGE(cd_planilha, ""Armas!B3:G""),"&amp;" ""Select Col1 Where Col2 = '""&amp;Personagem!$Z$6&amp;""' or Col2 = '""&amp;Personagem!$Z$7&amp;""' ""),
if('Time 3'!C5 = ""Palash"", query(IMPORTRANGE(cd_planilha, ""Armas!B3:G""), ""Select Col1 Where Col2 = '""&amp;Personagem!$AA$6&amp;""' or Col2 = '""&amp;Personagem!$AA$7&amp;""'"&amp;"""),
if('Time 3'!C5 = ""Theor"", query(IMPORTRANGE(cd_planilha, ""Armas!B3:G""), ""Select Col1 Where Col2 = '""&amp;Personagem!$AB$6&amp;""' or Col2 = '""&amp;Personagem!$AB$7&amp;""' ""),
if('Time 3'!C5 = ""Yue"", query(IMPORTRANGE(cd_planilha, ""Armas!B3:G""), ""Select"&amp;" Col1 Where Col2 = '""&amp;Personagem!$AC$6&amp;""' or Col2 = '""&amp;Personagem!$AC$7&amp;""'""
)))))))))))))))))))))))))))))"),"Armadura Lunar")</f>
        <v>Armadura Lunar</v>
      </c>
      <c r="R1" s="241"/>
      <c r="S1" s="241" t="str">
        <f>IFERROR(__xludf.DUMMYFUNCTION("if('Time 3'!C6 = ""Albert"", query(IMPORTRANGE(cd_planilha, ""Armas!B3:G""), ""Select Col1 Where Col2 = '""&amp;Personagem!$B$6&amp;""' or Col2 = '""&amp;Personagem!$B$7&amp;""'""),     
if('Time 3'!C6 = ""Alicia"", query(IMPORTRANGE(cd_planilha, ""Armas!B3:G""), ""Selec"&amp;"t Col1 Where Col2 = '""&amp;Personagem!$C$6&amp;""' or Col2 = '""&amp;Personagem!$C$7&amp;""'""),
if('Time 3'!C6 = ""Azula"", query(IMPORTRANGE(cd_planilha, ""Armas!B3:G""), ""Select Col1 Where Col2 = '""&amp;Personagem!$D$6&amp;""' or Col2 = '""&amp;Personagem!$D$7&amp;""' ""),
if('Tim"&amp;"e 3'!C6 = ""Charles"", query(IMPORTRANGE(cd_planilha, ""Armas!B3:G""), ""Select Col1 Where Col2 = '""&amp;Personagem!$E$6&amp;""' or Col2 = '""&amp;Personagem!$E$7&amp;""'""),
if('Time 3'!C6 = ""Clovis"", query(IMPORTRANGE(cd_planilha, ""Armas!B3:G""), ""Select Col1 Wher"&amp;"e Col2 = '""&amp;Personagem!$F$6&amp;""' or Col2 = '""&amp;Personagem!$F$7&amp;""' ""),
if('Time 3'!C6 = ""Darthos"", query(IMPORTRANGE(cd_planilha, ""Armas!B3:G""), ""Select Col1 Where Col2 = '""&amp;Personagem!$G$6&amp;""' or Col2 = '""&amp;Personagem!$G$7&amp;""'""),
if('Time 3'!C6 ="&amp;" ""Edward"", query(IMPORTRANGE(cd_planilha, ""Armas!B3:G""), ""Select Col1 Where Col2 = '""&amp;Personagem!$H$6&amp;""' or Col2 = '""&amp;Personagem!$H$7&amp;""' ""),
if('Time 3'!C6 = ""Fiora"", query(IMPORTRANGE(cd_planilha, ""Armas!B3:G""), ""Select Col1 Where Col2 = '"&amp;"""&amp;Personagem!$I$6&amp;""' or Col2 = '""&amp;Personagem!$I$7&amp;""' ""),
if('Time 3'!C6 = ""Francesca"", query(IMPORTRANGE(cd_planilha, ""Armas!B3:G""), ""Select Col1 Where Col2 = '""&amp;Personagem!$J$6&amp;""' or Col2 = '""&amp;Personagem!$J$7&amp;""'""),
if('Time 3'!C6 = ""Garre"&amp;"th"", query(IMPORTRANGE(cd_planilha, ""Armas!B3:G""), ""Select Col1 Where Col2 = '""&amp;Personagem!$K$6&amp;""' or Col2 = '""&amp;Personagem!$K$7&amp;""'""),
if('Time 3'!C6 = ""Gauvin"", query(IMPORTRANGE(cd_planilha, ""Armas!B3:G""), ""Select Col1 Where Col2 = '""&amp;Pers"&amp;"onagem!$L$6&amp;""' or Col2 = '""&amp;Personagem!$L$7&amp;""' ""),
if('Time 3'!C6 = ""Irene"", query(IMPORTRANGE(cd_planilha, ""Armas!B3:G""), ""Select Col1 Where Col2 = '""&amp;Personagem!$M$6&amp;""' or Col2 = '""&amp;Personagem!$M$7&amp;""' ""),
if('Time 3'!C6 = ""Karal"", query("&amp;"IMPORTRANGE(cd_planilha, ""Armas!B3:G""), ""Select Col1 Where Col2 = '""&amp;Personagem!$N$6&amp;""' or Col2 = '""&amp;Personagem!$N$7&amp;""' ""),
if('Time 3'!C6 = ""Kuro Shobi"", query(IMPORTRANGE(cd_planilha, ""Armas!B3:G""), ""Select Col1 Where Col2 = '""&amp;Personagem!"&amp;"$O$6&amp;""' or Col2 = '""&amp;Personagem!$O$7&amp;""'""),
if('Time 3'!C6 = ""Kurul"", query(IMPORTRANGE(cd_planilha, ""Armas!B3:G""), ""Select Col1 Where Col2 = '""&amp;Personagem!$P$6&amp;""' or Col2 = '""&amp;Personagem!$P$7&amp;""' ""),
if('Time 3'!C6 = ""Lancaster"", query(IMPO"&amp;"RTRANGE(cd_planilha, ""Armas!B3:G""), ""Select Col1 Where Col2 = '""&amp;Personagem!$Q$6&amp;""' or Col2 = '""&amp;Personagem!$Q$7&amp;""'""),
if('Time 3'!C6 = ""Lorelei"", query(IMPORTRANGE(cd_planilha, ""Armas!B3:G""), ""Select Col1 Where Col2 = '""&amp;Personagem!$R$6&amp;""'"&amp;" or Col2 = '""&amp;Personagem!$R$7&amp;""' ""),
if('Time 3'!C6 = ""Louca"", query(IMPORTRANGE(cd_planilha, ""Armas!B3:G""), ""Select Col1 Where Col2 = '""&amp;Personagem!$S$6&amp;""' or Col2 = '""&amp;Personagem!$S$7&amp;""' ""),
if('Time 3'!C6 = ""Melina"", query(IMPORTRANGE(cd"&amp;"_planilha, ""Armas!B3:G""), ""Select Col1 Where Col2 = '""&amp;Personagem!$T$6&amp;""' or Col2 = '""&amp;Personagem!$T$7&amp;""'""),
if('Time 3'!C6 = ""Mila"", query(IMPORTRANGE(cd_planilha, ""Armas!B3:G""), ""Select Col1 Where Col2 = '""&amp;Personagem!$U$6&amp;""' or Col2 = '"&amp;"""&amp;Personagem!$U$7&amp;""' ""),
if('Time 3'!C6 = ""Minh"", query(IMPORTRANGE(cd_planilha, ""Armas!B3:G""), ""Select Col1 Where Col2 = '""&amp;Personagem!$V$6&amp;""' or Col2 = '""&amp;Personagem!$V$7&amp;""' ""),
if('Time 3'!C6 = ""Mojian"", query(IMPORTRANGE(cd_planilha, """&amp;"Armas!B3:G""), ""Select Col1 Where Col2 = '""&amp;Personagem!$W$6&amp;""' or Col2 = '""&amp;Personagem!$W$7&amp;""'""),
if('Time 3'!C6 = ""Nya"", query(IMPORTRANGE(cd_planilha, ""Armas!B3:G""), ""Select Col1 Where Col2 = '""&amp;Personagem!$X$6&amp;""' or Col2 = '""&amp;Personagem!$"&amp;"X$7&amp;""' ""),
if('Time 3'!C6 = ""Odette"", query(IMPORTRANGE(cd_planilha, ""Armas!B3:G""), ""Select Col1 Where Col2 = '""&amp;Personagem!$Y$6&amp;""' or Col2 = '""&amp;Personagem!$Y$7&amp;""'""),
if('Time 3'!C6 = ""Oneira"", query(IMPORTRANGE(cd_planilha, ""Armas!B3:G""),"&amp;" ""Select Col1 Where Col2 = '""&amp;Personagem!$Z$6&amp;""' or Col2 = '""&amp;Personagem!$Z$7&amp;""' ""),
if('Time 3'!C6 = ""Palash"", query(IMPORTRANGE(cd_planilha, ""Armas!B3:G""), ""Select Col1 Where Col2 = '""&amp;Personagem!$AA$6&amp;""' or Col2 = '""&amp;Personagem!$AA$7&amp;""'"&amp;"""),
if('Time 3'!C6 = ""Theor"", query(IMPORTRANGE(cd_planilha, ""Armas!B3:G""), ""Select Col1 Where Col2 = '""&amp;Personagem!$AB$6&amp;""' or Col2 = '""&amp;Personagem!$AB$7&amp;""' ""),
if('Time 3'!C6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T1" s="241"/>
      <c r="U1" s="241" t="str">
        <f>IFERROR(__xludf.DUMMYFUNCTION("if('Time 3'!C7 = ""Albert"", query(IMPORTRANGE(cd_planilha, ""Armas!B3:G""), ""Select Col1 Where Col2 = '""&amp;Personagem!$B$6&amp;""' or Col2 = '""&amp;Personagem!$B$7&amp;""'""),     
if('Time 3'!C7 = ""Alicia"", query(IMPORTRANGE(cd_planilha, ""Armas!B3:G""), ""Selec"&amp;"t Col1 Where Col2 = '""&amp;Personagem!$C$6&amp;""' or Col2 = '""&amp;Personagem!$C$7&amp;""'""),
if('Time 3'!C7 = ""Azula"", query(IMPORTRANGE(cd_planilha, ""Armas!B3:G""), ""Select Col1 Where Col2 = '""&amp;Personagem!$D$6&amp;""' or Col2 = '""&amp;Personagem!$D$7&amp;""' ""),
if('Tim"&amp;"e 3'!C7 = ""Charles"", query(IMPORTRANGE(cd_planilha, ""Armas!B3:G""), ""Select Col1 Where Col2 = '""&amp;Personagem!$E$6&amp;""' or Col2 = '""&amp;Personagem!$E$7&amp;""'""),
if('Time 3'!C7 = ""Clovis"", query(IMPORTRANGE(cd_planilha, ""Armas!B3:G""), ""Select Col1 Wher"&amp;"e Col2 = '""&amp;Personagem!$F$6&amp;""' or Col2 = '""&amp;Personagem!$F$7&amp;""' ""),
if('Time 3'!C7 = ""Darthos"", query(IMPORTRANGE(cd_planilha, ""Armas!B3:G""), ""Select Col1 Where Col2 = '""&amp;Personagem!$G$6&amp;""' or Col2 = '""&amp;Personagem!$G$7&amp;""'""),
if('Time 3'!C7 ="&amp;" ""Edward"", query(IMPORTRANGE(cd_planilha, ""Armas!B3:G""), ""Select Col1 Where Col2 = '""&amp;Personagem!$H$6&amp;""' or Col2 = '""&amp;Personagem!$H$7&amp;""' ""),
if('Time 3'!C7 = ""Fiora"", query(IMPORTRANGE(cd_planilha, ""Armas!B3:G""), ""Select Col1 Where Col2 = '"&amp;"""&amp;Personagem!$I$6&amp;""' or Col2 = '""&amp;Personagem!$I$7&amp;""' ""),
if('Time 3'!C7 = ""Francesca"", query(IMPORTRANGE(cd_planilha, ""Armas!B3:G""), ""Select Col1 Where Col2 = '""&amp;Personagem!$J$6&amp;""' or Col2 = '""&amp;Personagem!$J$7&amp;""'""),
if('Time 3'!C7 = ""Garre"&amp;"th"", query(IMPORTRANGE(cd_planilha, ""Armas!B3:G""), ""Select Col1 Where Col2 = '""&amp;Personagem!$K$6&amp;""' or Col2 = '""&amp;Personagem!$K$7&amp;""'""),
if('Time 3'!C7 = ""Gauvin"", query(IMPORTRANGE(cd_planilha, ""Armas!B3:G""), ""Select Col1 Where Col2 = '""&amp;Pers"&amp;"onagem!$L$6&amp;""' or Col2 = '""&amp;Personagem!$L$7&amp;""' ""),
if('Time 3'!C7 = ""Irene"", query(IMPORTRANGE(cd_planilha, ""Armas!B3:G""), ""Select Col1 Where Col2 = '""&amp;Personagem!$M$6&amp;""' or Col2 = '""&amp;Personagem!$M$7&amp;""' ""),
if('Time 3'!C7 = ""Karal"", query("&amp;"IMPORTRANGE(cd_planilha, ""Armas!B3:G""), ""Select Col1 Where Col2 = '""&amp;Personagem!$N$6&amp;""' or Col2 = '""&amp;Personagem!$N$7&amp;""' ""),
if('Time 3'!C7 = ""Kuro Shobi"", query(IMPORTRANGE(cd_planilha, ""Armas!B3:G""), ""Select Col1 Where Col2 = '""&amp;Personagem!"&amp;"$O$6&amp;""' or Col2 = '""&amp;Personagem!$O$7&amp;""'""),
if('Time 3'!C7 = ""Kurul"", query(IMPORTRANGE(cd_planilha, ""Armas!B3:G""), ""Select Col1 Where Col2 = '""&amp;Personagem!$P$6&amp;""' or Col2 = '""&amp;Personagem!$P$7&amp;""' ""),
if('Time 3'!C7 = ""Lancaster"", query(IMPO"&amp;"RTRANGE(cd_planilha, ""Armas!B3:G""), ""Select Col1 Where Col2 = '""&amp;Personagem!$Q$6&amp;""' or Col2 = '""&amp;Personagem!$Q$7&amp;""'""),
if('Time 3'!C7 = ""Lorelei"", query(IMPORTRANGE(cd_planilha, ""Armas!B3:G""), ""Select Col1 Where Col2 = '""&amp;Personagem!$R$6&amp;""'"&amp;" or Col2 = '""&amp;Personagem!$R$7&amp;""' ""),
if('Time 3'!C7 = ""Louca"", query(IMPORTRANGE(cd_planilha, ""Armas!B3:G""), ""Select Col1 Where Col2 = '""&amp;Personagem!$S$6&amp;""' or Col2 = '""&amp;Personagem!$S$7&amp;""' ""),
if('Time 3'!C7 = ""Melina"", query(IMPORTRANGE(cd"&amp;"_planilha, ""Armas!B3:G""), ""Select Col1 Where Col2 = '""&amp;Personagem!$T$6&amp;""' or Col2 = '""&amp;Personagem!$T$7&amp;""'""),
if('Time 3'!C7 = ""Mila"", query(IMPORTRANGE(cd_planilha, ""Armas!B3:G""), ""Select Col1 Where Col2 = '""&amp;Personagem!$U$6&amp;""' or Col2 = '"&amp;"""&amp;Personagem!$U$7&amp;""' ""),
if('Time 3'!C7 = ""Minh"", query(IMPORTRANGE(cd_planilha, ""Armas!B3:G""), ""Select Col1 Where Col2 = '""&amp;Personagem!$V$6&amp;""' or Col2 = '""&amp;Personagem!$V$7&amp;""' ""),
if('Time 3'!C7 = ""Mojian"", query(IMPORTRANGE(cd_planilha, """&amp;"Armas!B3:G""), ""Select Col1 Where Col2 = '""&amp;Personagem!$W$6&amp;""' or Col2 = '""&amp;Personagem!$W$7&amp;""'""),
if('Time 3'!C7 = ""Nya"", query(IMPORTRANGE(cd_planilha, ""Armas!B3:G""), ""Select Col1 Where Col2 = '""&amp;Personagem!$X$6&amp;""' or Col2 = '""&amp;Personagem!$"&amp;"X$7&amp;""' ""),
if('Time 3'!C7 = ""Odette"", query(IMPORTRANGE(cd_planilha, ""Armas!B3:G""), ""Select Col1 Where Col2 = '""&amp;Personagem!$Y$6&amp;""' or Col2 = '""&amp;Personagem!$Y$7&amp;""'""),
if('Time 3'!C7 = ""Oneira"", query(IMPORTRANGE(cd_planilha, ""Armas!B3:G""),"&amp;" ""Select Col1 Where Col2 = '""&amp;Personagem!$Z$6&amp;""' or Col2 = '""&amp;Personagem!$Z$7&amp;""' ""),
if('Time 3'!C7 = ""Palash"", query(IMPORTRANGE(cd_planilha, ""Armas!B3:G""), ""Select Col1 Where Col2 = '""&amp;Personagem!$AA$6&amp;""' or Col2 = '""&amp;Personagem!$AA$7&amp;""'"&amp;"""),
if('Time 3'!C7 = ""Theor"", query(IMPORTRANGE(cd_planilha, ""Armas!B3:G""), ""Select Col1 Where Col2 = '""&amp;Personagem!$AB$6&amp;""' or Col2 = '""&amp;Personagem!$AB$7&amp;""' ""),
if('Time 3'!C7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V1" s="241"/>
      <c r="W1" s="241" t="str">
        <f>IFERROR(__xludf.DUMMYFUNCTION("if('Time 3'!C8 = ""Albert"", query(IMPORTRANGE(cd_planilha, ""Armas!B3:G""), ""Select Col1 Where Col2 = '""&amp;Personagem!$B$6&amp;""' or Col2 = '""&amp;Personagem!$B$7&amp;""'""),     
if('Time 3'!C8 = ""Alicia"", query(IMPORTRANGE(cd_planilha, ""Armas!B3:G""), ""Selec"&amp;"t Col1 Where Col2 = '""&amp;Personagem!$C$6&amp;""' or Col2 = '""&amp;Personagem!$C$7&amp;""'""),
if('Time 3'!C8 = ""Azula"", query(IMPORTRANGE(cd_planilha, ""Armas!B3:G""), ""Select Col1 Where Col2 = '""&amp;Personagem!$D$6&amp;""' or Col2 = '""&amp;Personagem!$D$7&amp;""' ""),
if('Tim"&amp;"e 3'!C8 = ""Charles"", query(IMPORTRANGE(cd_planilha, ""Armas!B3:G""), ""Select Col1 Where Col2 = '""&amp;Personagem!$E$6&amp;""' or Col2 = '""&amp;Personagem!$E$7&amp;""'""),
if('Time 3'!C8 = ""Clovis"", query(IMPORTRANGE(cd_planilha, ""Armas!B3:G""), ""Select Col1 Wher"&amp;"e Col2 = '""&amp;Personagem!$F$6&amp;""' or Col2 = '""&amp;Personagem!$F$7&amp;""' ""),
if('Time 3'!C8 = ""Darthos"", query(IMPORTRANGE(cd_planilha, ""Armas!B3:G""), ""Select Col1 Where Col2 = '""&amp;Personagem!$G$6&amp;""' or Col2 = '""&amp;Personagem!$G$7&amp;""'""),
if('Time 3'!C8 ="&amp;" ""Edward"", query(IMPORTRANGE(cd_planilha, ""Armas!B3:G""), ""Select Col1 Where Col2 = '""&amp;Personagem!$H$6&amp;""' or Col2 = '""&amp;Personagem!$H$7&amp;""' ""),
if('Time 3'!C8 = ""Fiora"", query(IMPORTRANGE(cd_planilha, ""Armas!B3:G""), ""Select Col1 Where Col2 = '"&amp;"""&amp;Personagem!$I$6&amp;""' or Col2 = '""&amp;Personagem!$I$7&amp;""' ""),
if('Time 3'!C8 = ""Francesca"", query(IMPORTRANGE(cd_planilha, ""Armas!B3:G""), ""Select Col1 Where Col2 = '""&amp;Personagem!$J$6&amp;""' or Col2 = '""&amp;Personagem!$J$7&amp;""'""),
if('Time 3'!C8 = ""Garre"&amp;"th"", query(IMPORTRANGE(cd_planilha, ""Armas!B3:G""), ""Select Col1 Where Col2 = '""&amp;Personagem!$K$6&amp;""' or Col2 = '""&amp;Personagem!$K$7&amp;""'""),
if('Time 3'!C8 = ""Gauvin"", query(IMPORTRANGE(cd_planilha, ""Armas!B3:G""), ""Select Col1 Where Col2 = '""&amp;Pers"&amp;"onagem!$L$6&amp;""' or Col2 = '""&amp;Personagem!$L$7&amp;""' ""),
if('Time 3'!C8 = ""Irene"", query(IMPORTRANGE(cd_planilha, ""Armas!B3:G""), ""Select Col1 Where Col2 = '""&amp;Personagem!$M$6&amp;""' or Col2 = '""&amp;Personagem!$M$7&amp;""' ""),
if('Time 3'!C8 = ""Karal"", query("&amp;"IMPORTRANGE(cd_planilha, ""Armas!B3:G""), ""Select Col1 Where Col2 = '""&amp;Personagem!$N$6&amp;""' or Col2 = '""&amp;Personagem!$N$7&amp;""' ""),
if('Time 3'!C8 = ""Kuro Shobi"", query(IMPORTRANGE(cd_planilha, ""Armas!B3:G""), ""Select Col1 Where Col2 = '""&amp;Personagem!"&amp;"$O$6&amp;""' or Col2 = '""&amp;Personagem!$O$7&amp;""'""),
if('Time 3'!C8 = ""Kurul"", query(IMPORTRANGE(cd_planilha, ""Armas!B3:G""), ""Select Col1 Where Col2 = '""&amp;Personagem!$P$6&amp;""' or Col2 = '""&amp;Personagem!$P$7&amp;""' ""),
if('Time 3'!C8 = ""Lancaster"", query(IMPO"&amp;"RTRANGE(cd_planilha, ""Armas!B3:G""), ""Select Col1 Where Col2 = '""&amp;Personagem!$Q$6&amp;""' or Col2 = '""&amp;Personagem!$Q$7&amp;""'""),
if('Time 3'!C8 = ""Lorelei"", query(IMPORTRANGE(cd_planilha, ""Armas!B3:G""), ""Select Col1 Where Col2 = '""&amp;Personagem!$R$6&amp;""'"&amp;" or Col2 = '""&amp;Personagem!$R$7&amp;""' ""),
if('Time 3'!C8 = ""Louca"", query(IMPORTRANGE(cd_planilha, ""Armas!B3:G""), ""Select Col1 Where Col2 = '""&amp;Personagem!$S$6&amp;""' or Col2 = '""&amp;Personagem!$S$7&amp;""' ""),
if('Time 3'!C8 = ""Melina"", query(IMPORTRANGE(cd"&amp;"_planilha, ""Armas!B3:G""), ""Select Col1 Where Col2 = '""&amp;Personagem!$T$6&amp;""' or Col2 = '""&amp;Personagem!$T$7&amp;""'""),
if('Time 3'!C8 = ""Mila"", query(IMPORTRANGE(cd_planilha, ""Armas!B3:G""), ""Select Col1 Where Col2 = '""&amp;Personagem!$U$6&amp;""' or Col2 = '"&amp;"""&amp;Personagem!$U$7&amp;""' ""),
if('Time 3'!C8 = ""Minh"", query(IMPORTRANGE(cd_planilha, ""Armas!B3:G""), ""Select Col1 Where Col2 = '""&amp;Personagem!$V$6&amp;""' or Col2 = '""&amp;Personagem!$V$7&amp;""' ""),
if('Time 3'!C8 = ""Mojian"", query(IMPORTRANGE(cd_planilha, """&amp;"Armas!B3:G""), ""Select Col1 Where Col2 = '""&amp;Personagem!$W$6&amp;""' or Col2 = '""&amp;Personagem!$W$7&amp;""'""),
if('Time 3'!C8 = ""Nya"", query(IMPORTRANGE(cd_planilha, ""Armas!B3:G""), ""Select Col1 Where Col2 = '""&amp;Personagem!$X$6&amp;""' or Col2 = '""&amp;Personagem!$"&amp;"X$7&amp;""' ""),
if('Time 3'!C8 = ""Odette"", query(IMPORTRANGE(cd_planilha, ""Armas!B3:G""), ""Select Col1 Where Col2 = '""&amp;Personagem!$Y$6&amp;""' or Col2 = '""&amp;Personagem!$Y$7&amp;""'""),
if('Time 3'!C8 = ""Oneira"", query(IMPORTRANGE(cd_planilha, ""Armas!B3:G""),"&amp;" ""Select Col1 Where Col2 = '""&amp;Personagem!$Z$6&amp;""' or Col2 = '""&amp;Personagem!$Z$7&amp;""' ""),
if('Time 3'!C8 = ""Palash"", query(IMPORTRANGE(cd_planilha, ""Armas!B3:G""), ""Select Col1 Where Col2 = '""&amp;Personagem!$AA$6&amp;""' or Col2 = '""&amp;Personagem!$AA$7&amp;""'"&amp;"""),
if('Time 3'!C8 = ""Theor"", query(IMPORTRANGE(cd_planilha, ""Armas!B3:G""), ""Select Col1 Where Col2 = '""&amp;Personagem!$AB$6&amp;""' or Col2 = '""&amp;Personagem!$AB$7&amp;""' ""),
if('Time 3'!C8 = ""Yue"", query(IMPORTRANGE(cd_planilha, ""Armas!B3:G""), ""Select"&amp;" Col1 Where Col2 = '""&amp;Personagem!$AC$6&amp;""' or Col2 = '""&amp;Personagem!$AC$7&amp;""'""
)))))))))))))))))))))))))))))"),"Capa do Gelo")</f>
        <v>Capa do Gelo</v>
      </c>
      <c r="X1" s="242"/>
      <c r="Y1" s="241" t="str">
        <f>IFERROR(__xludf.DUMMYFUNCTION("if('Time 3'!C3 = ""Albert"", query(IMPORTRANGE(cd_planilha, ""Armas!B3:G""), ""Select Col1 Where Col2 = '""&amp;Personagem!$B$8&amp;""' or Col2 = '""&amp;Personagem!$B$9&amp;""'""),     
if('Time 3'!C3 = ""Alicia"", query(IMPORTRANGE(cd_planilha, ""Armas!B3:G""), ""Selec"&amp;"t Col1 Where Col2 = '""&amp;Personagem!$C$8&amp;""' or Col2 = '""&amp;Personagem!$C$9&amp;""'""),
if('Time 3'!C3 = ""Azula"", query(IMPORTRANGE(cd_planilha, ""Armas!B3:G""), ""Select Col1 Where Col2 = '""&amp;Personagem!$D$8&amp;""' or Col2 = '""&amp;Personagem!$D$9&amp;""' ""),
if('Tim"&amp;"e 3'!C3 = ""Charles"", query(IMPORTRANGE(cd_planilha, ""Armas!B3:G""), ""Select Col1 Where Col2 = '""&amp;Personagem!$E$8&amp;""' or Col2 = '""&amp;Personagem!$E$9&amp;""'""),
if('Time 3'!C3 = ""Clovis"", query(IMPORTRANGE(cd_planilha, ""Armas!B3:G""), ""Select Col1 Wher"&amp;"e Col2 = '""&amp;Personagem!$F$8&amp;""' or Col2 = '""&amp;Personagem!$F$9&amp;""' ""),
if('Time 3'!C3 = ""Darthos"", query(IMPORTRANGE(cd_planilha, ""Armas!B3:G""), ""Select Col1 Where Col2 = '""&amp;Personagem!$G$8&amp;""' or Col2 = '""&amp;Personagem!$G$9&amp;""'""),
if('Time 3'!C3 ="&amp;" ""Edward"", query(IMPORTRANGE(cd_planilha, ""Armas!B3:G""), ""Select Col1 Where Col2 = '""&amp;Personagem!$H$8&amp;""' or Col2 = '""&amp;Personagem!$H$9&amp;""' ""),
if('Time 3'!C3 = ""Fiora"", query(IMPORTRANGE(cd_planilha, ""Armas!B3:G""), ""Select Col1 Where Col2 = '"&amp;"""&amp;Personagem!$I$8&amp;""' or Col2 = '""&amp;Personagem!$I$9&amp;""' ""),
if('Time 3'!C3 = ""Francesca"", query(IMPORTRANGE(cd_planilha, ""Armas!B3:G""), ""Select Col1 Where Col2 = '""&amp;Personagem!$J$8&amp;""' or Col2 = '""&amp;Personagem!$J$9&amp;""'""),
if('Time 3'!C3 = ""Garre"&amp;"th"", query(IMPORTRANGE(cd_planilha, ""Armas!B3:G""), ""Select Col1 Where Col2 = '""&amp;Personagem!$K$8&amp;""' or Col2 = '""&amp;Personagem!$K$9&amp;""'""),
if('Time 3'!C3 = ""Gauvin"", query(IMPORTRANGE(cd_planilha, ""Armas!B3:G""), ""Select Col1 Where Col2 = '""&amp;Pers"&amp;"onagem!$L$8&amp;""' or Col2 = '""&amp;Personagem!$L$9&amp;""' ""),
if('Time 3'!C3 = ""Irene"", query(IMPORTRANGE(cd_planilha, ""Armas!B3:G""), ""Select Col1 Where Col2 = '""&amp;Personagem!$M$8&amp;""' or Col2 = '""&amp;Personagem!$M$9&amp;""' ""),
if('Time 3'!C3 = ""Karal"", query("&amp;"IMPORTRANGE(cd_planilha, ""Armas!B3:G""), ""Select Col1 Where Col2 = '""&amp;Personagem!$N$8&amp;""' or Col2 = '""&amp;Personagem!$N$9&amp;""' ""),
if('Time 3'!C3 = ""Kuro Shobi"", query(IMPORTRANGE(cd_planilha, ""Armas!B3:G""), ""Select Col1 Where Col2 = '""&amp;Personagem!"&amp;"$O$8&amp;""' or Col2 = '""&amp;Personagem!$O$9&amp;""'""),
if('Time 3'!C3 = ""Kurul"", query(IMPORTRANGE(cd_planilha, ""Armas!B3:G""), ""Select Col1 Where Col2 = '""&amp;Personagem!$P$8&amp;""' or Col2 = '""&amp;Personagem!$P$9&amp;""' ""),
if('Time 3'!C3 = ""Lancaster"", query(IMPO"&amp;"RTRANGE(cd_planilha, ""Armas!B3:G""), ""Select Col1 Where Col2 = '""&amp;Personagem!$Q$8&amp;""' or Col2 = '""&amp;Personagem!$Q$9&amp;""'""),
if('Time 3'!C3 = ""Lorelei"", query(IMPORTRANGE(cd_planilha, ""Armas!B3:G""), ""Select Col1 Where Col2 = '""&amp;Personagem!$R$8&amp;""'"&amp;" or Col2 = '""&amp;Personagem!$R$9&amp;""' ""),
if('Time 3'!C3 = ""Louca"", query(IMPORTRANGE(cd_planilha, ""Armas!B3:G""), ""Select Col1 Where Col2 = '""&amp;Personagem!$S$8&amp;""' or Col2 = '""&amp;Personagem!$S$9&amp;""' ""),
if('Time 3'!C3 = ""Melina"", query(IMPORTRANGE(cd"&amp;"_planilha, ""Armas!B3:G""), ""Select Col1 Where Col2 = '""&amp;Personagem!$T$8&amp;""' or Col2 = '""&amp;Personagem!$T$9&amp;""'""),
if('Time 3'!C3 = ""Mila"", query(IMPORTRANGE(cd_planilha, ""Armas!B3:G""), ""Select Col1 Where Col2 = '""&amp;Personagem!$U$8&amp;""' or Col2 = '"&amp;"""&amp;Personagem!$U$9&amp;""' ""),
if('Time 3'!C3 = ""Minh"", query(IMPORTRANGE(cd_planilha, ""Armas!B3:G""), ""Select Col1 Where Col2 = '""&amp;Personagem!$V$8&amp;""' or Col2 = '""&amp;Personagem!$V$9&amp;""' ""),
if('Time 3'!C3 = ""Mojian"", query(IMPORTRANGE(cd_planilha, """&amp;"Armas!B3:G""), ""Select Col1 Where Col2 = '""&amp;Personagem!$W$8&amp;""' or Col2 = '""&amp;Personagem!$W$9&amp;""'""),
if('Time 3'!C3 = ""Nya"", query(IMPORTRANGE(cd_planilha, ""Armas!B3:G""), ""Select Col1 Where Col2 = '""&amp;Personagem!$X$8&amp;""' or Col2 = '""&amp;Personagem!$"&amp;"X$9&amp;""' ""),
if('Time 3'!C3 = ""Odette"", query(IMPORTRANGE(cd_planilha, ""Armas!B3:G""), ""Select Col1 Where Col2 = '""&amp;Personagem!$Y$8&amp;""' or Col2 = '""&amp;Personagem!$Y$9&amp;""'""),
if('Time 3'!C3 = ""Oneira"", query(IMPORTRANGE(cd_planilha, ""Armas!B3:G""),"&amp;" ""Select Col1 Where Col2 = '""&amp;Personagem!$Z$8&amp;""' or Col2 = '""&amp;Personagem!$Z$9&amp;""' ""),
if('Time 3'!C3 = ""Palash"", query(IMPORTRANGE(cd_planilha, ""Armas!B3:G""), ""Select Col1 Where Col2 = '""&amp;Personagem!$AA$8&amp;""' or Col2 = '""&amp;Personagem!$AA$9&amp;""'"&amp;"""),
if('Time 3'!C3 = ""Theor"", query(IMPORTRANGE(cd_planilha, ""Armas!B3:G""), ""Select Col1 Where Col2 = '""&amp;Personagem!$AB$8&amp;""' or Col2 = '""&amp;Personagem!$AB$9&amp;""' ""),
if('Time 3'!C3 = ""Yue"", query(IMPORTRANGE(cd_planilha, ""Armas!B3:G""), ""Select"&amp;" Col1 Where Col2 = '""&amp;Personagem!$AC$8&amp;""' or Col2 = '""&amp;Personagem!$AC$9&amp;""'""
)))))))))))))))))))))))))))))"),"Capuz de Robin")</f>
        <v>Capuz de Robin</v>
      </c>
      <c r="Z1" s="241"/>
      <c r="AA1" s="241" t="str">
        <f>IFERROR(__xludf.DUMMYFUNCTION("if('Time 3'!C4 = ""Albert"", query(IMPORTRANGE(cd_planilha, ""Armas!B3:G""), ""Select Col1 Where Col2 = '""&amp;Personagem!$B$8&amp;""' or Col2 = '""&amp;Personagem!$B$9&amp;""'""),     
if('Time 3'!C4 = ""Alicia"", query(IMPORTRANGE(cd_planilha, ""Armas!B3:G""), ""Selec"&amp;"t Col1 Where Col2 = '""&amp;Personagem!$C$8&amp;""' or Col2 = '""&amp;Personagem!$C$9&amp;""'""),
if('Time 3'!C4 = ""Azula"", query(IMPORTRANGE(cd_planilha, ""Armas!B3:G""), ""Select Col1 Where Col2 = '""&amp;Personagem!$D$8&amp;""' or Col2 = '""&amp;Personagem!$D$9&amp;""' ""),
if('Tim"&amp;"e 3'!C4 = ""Charles"", query(IMPORTRANGE(cd_planilha, ""Armas!B3:G""), ""Select Col1 Where Col2 = '""&amp;Personagem!$E$8&amp;""' or Col2 = '""&amp;Personagem!$E$9&amp;""'""),
if('Time 3'!C4 = ""Clovis"", query(IMPORTRANGE(cd_planilha, ""Armas!B3:G""), ""Select Col1 Wher"&amp;"e Col2 = '""&amp;Personagem!$F$8&amp;""' or Col2 = '""&amp;Personagem!$F$9&amp;""' ""),
if('Time 3'!C4 = ""Darthos"", query(IMPORTRANGE(cd_planilha, ""Armas!B3:G""), ""Select Col1 Where Col2 = '""&amp;Personagem!$G$8&amp;""' or Col2 = '""&amp;Personagem!$G$9&amp;""'""),
if('Time 3'!C4 ="&amp;" ""Edward"", query(IMPORTRANGE(cd_planilha, ""Armas!B3:G""), ""Select Col1 Where Col2 = '""&amp;Personagem!$H$8&amp;""' or Col2 = '""&amp;Personagem!$H$9&amp;""' ""),
if('Time 3'!C4 = ""Fiora"", query(IMPORTRANGE(cd_planilha, ""Armas!B3:G""), ""Select Col1 Where Col2 = '"&amp;"""&amp;Personagem!$I$8&amp;""' or Col2 = '""&amp;Personagem!$I$9&amp;""' ""),
if('Time 3'!C4 = ""Francesca"", query(IMPORTRANGE(cd_planilha, ""Armas!B3:G""), ""Select Col1 Where Col2 = '""&amp;Personagem!$J$8&amp;""' or Col2 = '""&amp;Personagem!$J$9&amp;""'""),
if('Time 3'!C4 = ""Garre"&amp;"th"", query(IMPORTRANGE(cd_planilha, ""Armas!B3:G""), ""Select Col1 Where Col2 = '""&amp;Personagem!$K$8&amp;""' or Col2 = '""&amp;Personagem!$K$9&amp;""'""),
if('Time 3'!C4 = ""Gauvin"", query(IMPORTRANGE(cd_planilha, ""Armas!B3:G""), ""Select Col1 Where Col2 = '""&amp;Pers"&amp;"onagem!$L$8&amp;""' or Col2 = '""&amp;Personagem!$L$9&amp;""' ""),
if('Time 3'!C4 = ""Irene"", query(IMPORTRANGE(cd_planilha, ""Armas!B3:G""), ""Select Col1 Where Col2 = '""&amp;Personagem!$M$8&amp;""' or Col2 = '""&amp;Personagem!$M$9&amp;""' ""),
if('Time 3'!C4 = ""Karal"", query("&amp;"IMPORTRANGE(cd_planilha, ""Armas!B3:G""), ""Select Col1 Where Col2 = '""&amp;Personagem!$N$8&amp;""' or Col2 = '""&amp;Personagem!$N$9&amp;""' ""),
if('Time 3'!C4 = ""Kuro Shobi"", query(IMPORTRANGE(cd_planilha, ""Armas!B3:G""), ""Select Col1 Where Col2 = '""&amp;Personagem!"&amp;"$O$8&amp;""' or Col2 = '""&amp;Personagem!$O$9&amp;""'""),
if('Time 3'!C4 = ""Kurul"", query(IMPORTRANGE(cd_planilha, ""Armas!B3:G""), ""Select Col1 Where Col2 = '""&amp;Personagem!$P$8&amp;""' or Col2 = '""&amp;Personagem!$P$9&amp;""' ""),
if('Time 3'!C4 = ""Lancaster"", query(IMPO"&amp;"RTRANGE(cd_planilha, ""Armas!B3:G""), ""Select Col1 Where Col2 = '""&amp;Personagem!$Q$8&amp;""' or Col2 = '""&amp;Personagem!$Q$9&amp;""'""),
if('Time 3'!C4 = ""Lorelei"", query(IMPORTRANGE(cd_planilha, ""Armas!B3:G""), ""Select Col1 Where Col2 = '""&amp;Personagem!$R$8&amp;""'"&amp;" or Col2 = '""&amp;Personagem!$R$9&amp;""' ""),
if('Time 3'!C4 = ""Louca"", query(IMPORTRANGE(cd_planilha, ""Armas!B3:G""), ""Select Col1 Where Col2 = '""&amp;Personagem!$S$8&amp;""' or Col2 = '""&amp;Personagem!$S$9&amp;""' ""),
if('Time 3'!C4 = ""Melina"", query(IMPORTRANGE(cd"&amp;"_planilha, ""Armas!B3:G""), ""Select Col1 Where Col2 = '""&amp;Personagem!$T$8&amp;""' or Col2 = '""&amp;Personagem!$T$9&amp;""'""),
if('Time 3'!C4 = ""Mila"", query(IMPORTRANGE(cd_planilha, ""Armas!B3:G""), ""Select Col1 Where Col2 = '""&amp;Personagem!$U$8&amp;""' or Col2 = '"&amp;"""&amp;Personagem!$U$9&amp;""' ""),
if('Time 3'!C4 = ""Minh"", query(IMPORTRANGE(cd_planilha, ""Armas!B3:G""), ""Select Col1 Where Col2 = '""&amp;Personagem!$V$8&amp;""' or Col2 = '""&amp;Personagem!$V$9&amp;""' ""),
if('Time 3'!C4 = ""Mojian"", query(IMPORTRANGE(cd_planilha, """&amp;"Armas!B3:G""), ""Select Col1 Where Col2 = '""&amp;Personagem!$W$8&amp;""' or Col2 = '""&amp;Personagem!$W$9&amp;""'""),
if('Time 3'!C4 = ""Nya"", query(IMPORTRANGE(cd_planilha, ""Armas!B3:G""), ""Select Col1 Where Col2 = '""&amp;Personagem!$X$8&amp;""' or Col2 = '""&amp;Personagem!$"&amp;"X$9&amp;""' ""),
if('Time 3'!C4 = ""Odette"", query(IMPORTRANGE(cd_planilha, ""Armas!B3:G""), ""Select Col1 Where Col2 = '""&amp;Personagem!$Y$8&amp;""' or Col2 = '""&amp;Personagem!$Y$9&amp;""'""),
if('Time 3'!C4 = ""Oneira"", query(IMPORTRANGE(cd_planilha, ""Armas!B3:G""),"&amp;" ""Select Col1 Where Col2 = '""&amp;Personagem!$Z$8&amp;""' or Col2 = '""&amp;Personagem!$Z$9&amp;""' ""),
if('Time 3'!C4 = ""Palash"", query(IMPORTRANGE(cd_planilha, ""Armas!B3:G""), ""Select Col1 Where Col2 = '""&amp;Personagem!$AA$8&amp;""' or Col2 = '""&amp;Personagem!$AA$9&amp;""'"&amp;"""),
if('Time 3'!C4 = ""Theor"", query(IMPORTRANGE(cd_planilha, ""Armas!B3:G""), ""Select Col1 Where Col2 = '""&amp;Personagem!$AB$8&amp;""' or Col2 = '""&amp;Personagem!$AB$9&amp;""' ""),
if('Time 3'!C4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B1" s="241"/>
      <c r="AC1" s="241" t="str">
        <f>IFERROR(__xludf.DUMMYFUNCTION("if('Time 3'!C5 = ""Albert"", query(IMPORTRANGE(cd_planilha, ""Armas!B3:G""), ""Select Col1 Where Col2 = '""&amp;Personagem!$B$8&amp;""' or Col2 = '""&amp;Personagem!$B$9&amp;""'""),     
if('Time 3'!C5 = ""Alicia"", query(IMPORTRANGE(cd_planilha, ""Armas!B3:G""), ""Selec"&amp;"t Col1 Where Col2 = '""&amp;Personagem!$C$8&amp;""' or Col2 = '""&amp;Personagem!$C$9&amp;""'""),
if('Time 3'!C5 = ""Azula"", query(IMPORTRANGE(cd_planilha, ""Armas!B3:G""), ""Select Col1 Where Col2 = '""&amp;Personagem!$D$8&amp;""' or Col2 = '""&amp;Personagem!$D$9&amp;""' ""),
if('Tim"&amp;"e 3'!C5 = ""Charles"", query(IMPORTRANGE(cd_planilha, ""Armas!B3:G""), ""Select Col1 Where Col2 = '""&amp;Personagem!$E$8&amp;""' or Col2 = '""&amp;Personagem!$E$9&amp;""'""),
if('Time 3'!C5 = ""Clovis"", query(IMPORTRANGE(cd_planilha, ""Armas!B3:G""), ""Select Col1 Wher"&amp;"e Col2 = '""&amp;Personagem!$F$8&amp;""' or Col2 = '""&amp;Personagem!$F$9&amp;""' ""),
if('Time 3'!C5 = ""Darthos"", query(IMPORTRANGE(cd_planilha, ""Armas!B3:G""), ""Select Col1 Where Col2 = '""&amp;Personagem!$G$8&amp;""' or Col2 = '""&amp;Personagem!$G$9&amp;""'""),
if('Time 3'!C5 ="&amp;" ""Edward"", query(IMPORTRANGE(cd_planilha, ""Armas!B3:G""), ""Select Col1 Where Col2 = '""&amp;Personagem!$H$8&amp;""' or Col2 = '""&amp;Personagem!$H$9&amp;""' ""),
if('Time 3'!C5 = ""Fiora"", query(IMPORTRANGE(cd_planilha, ""Armas!B3:G""), ""Select Col1 Where Col2 = '"&amp;"""&amp;Personagem!$I$8&amp;""' or Col2 = '""&amp;Personagem!$I$9&amp;""' ""),
if('Time 3'!C5 = ""Francesca"", query(IMPORTRANGE(cd_planilha, ""Armas!B3:G""), ""Select Col1 Where Col2 = '""&amp;Personagem!$J$8&amp;""' or Col2 = '""&amp;Personagem!$J$9&amp;""'""),
if('Time 3'!C5 = ""Garre"&amp;"th"", query(IMPORTRANGE(cd_planilha, ""Armas!B3:G""), ""Select Col1 Where Col2 = '""&amp;Personagem!$K$8&amp;""' or Col2 = '""&amp;Personagem!$K$9&amp;""'""),
if('Time 3'!C5 = ""Gauvin"", query(IMPORTRANGE(cd_planilha, ""Armas!B3:G""), ""Select Col1 Where Col2 = '""&amp;Pers"&amp;"onagem!$L$8&amp;""' or Col2 = '""&amp;Personagem!$L$9&amp;""' ""),
if('Time 3'!C5 = ""Irene"", query(IMPORTRANGE(cd_planilha, ""Armas!B3:G""), ""Select Col1 Where Col2 = '""&amp;Personagem!$M$8&amp;""' or Col2 = '""&amp;Personagem!$M$9&amp;""' ""),
if('Time 3'!C5 = ""Karal"", query("&amp;"IMPORTRANGE(cd_planilha, ""Armas!B3:G""), ""Select Col1 Where Col2 = '""&amp;Personagem!$N$8&amp;""' or Col2 = '""&amp;Personagem!$N$9&amp;""' ""),
if('Time 3'!C5 = ""Kuro Shobi"", query(IMPORTRANGE(cd_planilha, ""Armas!B3:G""), ""Select Col1 Where Col2 = '""&amp;Personagem!"&amp;"$O$8&amp;""' or Col2 = '""&amp;Personagem!$O$9&amp;""'""),
if('Time 3'!C5 = ""Kurul"", query(IMPORTRANGE(cd_planilha, ""Armas!B3:G""), ""Select Col1 Where Col2 = '""&amp;Personagem!$P$8&amp;""' or Col2 = '""&amp;Personagem!$P$9&amp;""' ""),
if('Time 3'!C5 = ""Lancaster"", query(IMPO"&amp;"RTRANGE(cd_planilha, ""Armas!B3:G""), ""Select Col1 Where Col2 = '""&amp;Personagem!$Q$8&amp;""' or Col2 = '""&amp;Personagem!$Q$9&amp;""'""),
if('Time 3'!C5 = ""Lorelei"", query(IMPORTRANGE(cd_planilha, ""Armas!B3:G""), ""Select Col1 Where Col2 = '""&amp;Personagem!$R$8&amp;""'"&amp;" or Col2 = '""&amp;Personagem!$R$9&amp;""' ""),
if('Time 3'!C5 = ""Louca"", query(IMPORTRANGE(cd_planilha, ""Armas!B3:G""), ""Select Col1 Where Col2 = '""&amp;Personagem!$S$8&amp;""' or Col2 = '""&amp;Personagem!$S$9&amp;""' ""),
if('Time 3'!C5 = ""Melina"", query(IMPORTRANGE(cd"&amp;"_planilha, ""Armas!B3:G""), ""Select Col1 Where Col2 = '""&amp;Personagem!$T$8&amp;""' or Col2 = '""&amp;Personagem!$T$9&amp;""'""),
if('Time 3'!C5 = ""Mila"", query(IMPORTRANGE(cd_planilha, ""Armas!B3:G""), ""Select Col1 Where Col2 = '""&amp;Personagem!$U$8&amp;""' or Col2 = '"&amp;"""&amp;Personagem!$U$9&amp;""' ""),
if('Time 3'!C5 = ""Minh"", query(IMPORTRANGE(cd_planilha, ""Armas!B3:G""), ""Select Col1 Where Col2 = '""&amp;Personagem!$V$8&amp;""' or Col2 = '""&amp;Personagem!$V$9&amp;""' ""),
if('Time 3'!C5 = ""Mojian"", query(IMPORTRANGE(cd_planilha, """&amp;"Armas!B3:G""), ""Select Col1 Where Col2 = '""&amp;Personagem!$W$8&amp;""' or Col2 = '""&amp;Personagem!$W$9&amp;""'""),
if('Time 3'!C5 = ""Nya"", query(IMPORTRANGE(cd_planilha, ""Armas!B3:G""), ""Select Col1 Where Col2 = '""&amp;Personagem!$X$8&amp;""' or Col2 = '""&amp;Personagem!$"&amp;"X$9&amp;""' ""),
if('Time 3'!C5 = ""Odette"", query(IMPORTRANGE(cd_planilha, ""Armas!B3:G""), ""Select Col1 Where Col2 = '""&amp;Personagem!$Y$8&amp;""' or Col2 = '""&amp;Personagem!$Y$9&amp;""'""),
if('Time 3'!C5 = ""Oneira"", query(IMPORTRANGE(cd_planilha, ""Armas!B3:G""),"&amp;" ""Select Col1 Where Col2 = '""&amp;Personagem!$Z$8&amp;""' or Col2 = '""&amp;Personagem!$Z$9&amp;""' ""),
if('Time 3'!C5 = ""Palash"", query(IMPORTRANGE(cd_planilha, ""Armas!B3:G""), ""Select Col1 Where Col2 = '""&amp;Personagem!$AA$8&amp;""' or Col2 = '""&amp;Personagem!$AA$9&amp;""'"&amp;"""),
if('Time 3'!C5 = ""Theor"", query(IMPORTRANGE(cd_planilha, ""Armas!B3:G""), ""Select Col1 Where Col2 = '""&amp;Personagem!$AB$8&amp;""' or Col2 = '""&amp;Personagem!$AB$9&amp;""' ""),
if('Time 3'!C5 = ""Yue"", query(IMPORTRANGE(cd_planilha, ""Armas!B3:G""), ""Select"&amp;" Col1 Where Col2 = '""&amp;Personagem!$AC$8&amp;""' or Col2 = '""&amp;Personagem!$AC$9&amp;""'""
)))))))))))))))))))))))))))))"),"Coifa da Lua")</f>
        <v>Coifa da Lua</v>
      </c>
      <c r="AD1" s="241"/>
      <c r="AE1" s="241" t="str">
        <f>IFERROR(__xludf.DUMMYFUNCTION("if('Time 3'!C6 = ""Albert"", query(IMPORTRANGE(cd_planilha, ""Armas!B3:G""), ""Select Col1 Where Col2 = '""&amp;Personagem!$B$8&amp;""' or Col2 = '""&amp;Personagem!$B$9&amp;""'""),     
if('Time 3'!C6 = ""Alicia"", query(IMPORTRANGE(cd_planilha, ""Armas!B3:G""), ""Selec"&amp;"t Col1 Where Col2 = '""&amp;Personagem!$C$8&amp;""' or Col2 = '""&amp;Personagem!$C$9&amp;""'""),
if('Time 3'!C6 = ""Azula"", query(IMPORTRANGE(cd_planilha, ""Armas!B3:G""), ""Select Col1 Where Col2 = '""&amp;Personagem!$D$8&amp;""' or Col2 = '""&amp;Personagem!$D$9&amp;""' ""),
if('Tim"&amp;"e 3'!C6 = ""Charles"", query(IMPORTRANGE(cd_planilha, ""Armas!B3:G""), ""Select Col1 Where Col2 = '""&amp;Personagem!$E$8&amp;""' or Col2 = '""&amp;Personagem!$E$9&amp;""'""),
if('Time 3'!C6 = ""Clovis"", query(IMPORTRANGE(cd_planilha, ""Armas!B3:G""), ""Select Col1 Wher"&amp;"e Col2 = '""&amp;Personagem!$F$8&amp;""' or Col2 = '""&amp;Personagem!$F$9&amp;""' ""),
if('Time 3'!C6 = ""Darthos"", query(IMPORTRANGE(cd_planilha, ""Armas!B3:G""), ""Select Col1 Where Col2 = '""&amp;Personagem!$G$8&amp;""' or Col2 = '""&amp;Personagem!$G$9&amp;""'""),
if('Time 3'!C6 ="&amp;" ""Edward"", query(IMPORTRANGE(cd_planilha, ""Armas!B3:G""), ""Select Col1 Where Col2 = '""&amp;Personagem!$H$8&amp;""' or Col2 = '""&amp;Personagem!$H$9&amp;""' ""),
if('Time 3'!C6 = ""Fiora"", query(IMPORTRANGE(cd_planilha, ""Armas!B3:G""), ""Select Col1 Where Col2 = '"&amp;"""&amp;Personagem!$I$8&amp;""' or Col2 = '""&amp;Personagem!$I$9&amp;""' ""),
if('Time 3'!C6 = ""Francesca"", query(IMPORTRANGE(cd_planilha, ""Armas!B3:G""), ""Select Col1 Where Col2 = '""&amp;Personagem!$J$8&amp;""' or Col2 = '""&amp;Personagem!$J$9&amp;""'""),
if('Time 3'!C6 = ""Garre"&amp;"th"", query(IMPORTRANGE(cd_planilha, ""Armas!B3:G""), ""Select Col1 Where Col2 = '""&amp;Personagem!$K$8&amp;""' or Col2 = '""&amp;Personagem!$K$9&amp;""'""),
if('Time 3'!C6 = ""Gauvin"", query(IMPORTRANGE(cd_planilha, ""Armas!B3:G""), ""Select Col1 Where Col2 = '""&amp;Pers"&amp;"onagem!$L$8&amp;""' or Col2 = '""&amp;Personagem!$L$9&amp;""' ""),
if('Time 3'!C6 = ""Irene"", query(IMPORTRANGE(cd_planilha, ""Armas!B3:G""), ""Select Col1 Where Col2 = '""&amp;Personagem!$M$8&amp;""' or Col2 = '""&amp;Personagem!$M$9&amp;""' ""),
if('Time 3'!C6 = ""Karal"", query("&amp;"IMPORTRANGE(cd_planilha, ""Armas!B3:G""), ""Select Col1 Where Col2 = '""&amp;Personagem!$N$8&amp;""' or Col2 = '""&amp;Personagem!$N$9&amp;""' ""),
if('Time 3'!C6 = ""Kuro Shobi"", query(IMPORTRANGE(cd_planilha, ""Armas!B3:G""), ""Select Col1 Where Col2 = '""&amp;Personagem!"&amp;"$O$8&amp;""' or Col2 = '""&amp;Personagem!$O$9&amp;""'""),
if('Time 3'!C6 = ""Kurul"", query(IMPORTRANGE(cd_planilha, ""Armas!B3:G""), ""Select Col1 Where Col2 = '""&amp;Personagem!$P$8&amp;""' or Col2 = '""&amp;Personagem!$P$9&amp;""' ""),
if('Time 3'!C6 = ""Lancaster"", query(IMPO"&amp;"RTRANGE(cd_planilha, ""Armas!B3:G""), ""Select Col1 Where Col2 = '""&amp;Personagem!$Q$8&amp;""' or Col2 = '""&amp;Personagem!$Q$9&amp;""'""),
if('Time 3'!C6 = ""Lorelei"", query(IMPORTRANGE(cd_planilha, ""Armas!B3:G""), ""Select Col1 Where Col2 = '""&amp;Personagem!$R$8&amp;""'"&amp;" or Col2 = '""&amp;Personagem!$R$9&amp;""' ""),
if('Time 3'!C6 = ""Louca"", query(IMPORTRANGE(cd_planilha, ""Armas!B3:G""), ""Select Col1 Where Col2 = '""&amp;Personagem!$S$8&amp;""' or Col2 = '""&amp;Personagem!$S$9&amp;""' ""),
if('Time 3'!C6 = ""Melina"", query(IMPORTRANGE(cd"&amp;"_planilha, ""Armas!B3:G""), ""Select Col1 Where Col2 = '""&amp;Personagem!$T$8&amp;""' or Col2 = '""&amp;Personagem!$T$9&amp;""'""),
if('Time 3'!C6 = ""Mila"", query(IMPORTRANGE(cd_planilha, ""Armas!B3:G""), ""Select Col1 Where Col2 = '""&amp;Personagem!$U$8&amp;""' or Col2 = '"&amp;"""&amp;Personagem!$U$9&amp;""' ""),
if('Time 3'!C6 = ""Minh"", query(IMPORTRANGE(cd_planilha, ""Armas!B3:G""), ""Select Col1 Where Col2 = '""&amp;Personagem!$V$8&amp;""' or Col2 = '""&amp;Personagem!$V$9&amp;""' ""),
if('Time 3'!C6 = ""Mojian"", query(IMPORTRANGE(cd_planilha, """&amp;"Armas!B3:G""), ""Select Col1 Where Col2 = '""&amp;Personagem!$W$8&amp;""' or Col2 = '""&amp;Personagem!$W$9&amp;""'""),
if('Time 3'!C6 = ""Nya"", query(IMPORTRANGE(cd_planilha, ""Armas!B3:G""), ""Select Col1 Where Col2 = '""&amp;Personagem!$X$8&amp;""' or Col2 = '""&amp;Personagem!$"&amp;"X$9&amp;""' ""),
if('Time 3'!C6 = ""Odette"", query(IMPORTRANGE(cd_planilha, ""Armas!B3:G""), ""Select Col1 Where Col2 = '""&amp;Personagem!$Y$8&amp;""' or Col2 = '""&amp;Personagem!$Y$9&amp;""'""),
if('Time 3'!C6 = ""Oneira"", query(IMPORTRANGE(cd_planilha, ""Armas!B3:G""),"&amp;" ""Select Col1 Where Col2 = '""&amp;Personagem!$Z$8&amp;""' or Col2 = '""&amp;Personagem!$Z$9&amp;""' ""),
if('Time 3'!C6 = ""Palash"", query(IMPORTRANGE(cd_planilha, ""Armas!B3:G""), ""Select Col1 Where Col2 = '""&amp;Personagem!$AA$8&amp;""' or Col2 = '""&amp;Personagem!$AA$9&amp;""'"&amp;"""),
if('Time 3'!C6 = ""Theor"", query(IMPORTRANGE(cd_planilha, ""Armas!B3:G""), ""Select Col1 Where Col2 = '""&amp;Personagem!$AB$8&amp;""' or Col2 = '""&amp;Personagem!$AB$9&amp;""' ""),
if('Time 3'!C6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F1" s="241"/>
      <c r="AG1" s="241" t="str">
        <f>IFERROR(__xludf.DUMMYFUNCTION("if('Time 3'!C7 = ""Albert"", query(IMPORTRANGE(cd_planilha, ""Armas!B3:G""), ""Select Col1 Where Col2 = '""&amp;Personagem!$B$8&amp;""' or Col2 = '""&amp;Personagem!$B$9&amp;""'""),     
if('Time 3'!C7 = ""Alicia"", query(IMPORTRANGE(cd_planilha, ""Armas!B3:G""), ""Selec"&amp;"t Col1 Where Col2 = '""&amp;Personagem!$C$8&amp;""' or Col2 = '""&amp;Personagem!$C$9&amp;""'""),
if('Time 3'!C7 = ""Azula"", query(IMPORTRANGE(cd_planilha, ""Armas!B3:G""), ""Select Col1 Where Col2 = '""&amp;Personagem!$D$8&amp;""' or Col2 = '""&amp;Personagem!$D$9&amp;""' ""),
if('Tim"&amp;"e 3'!C7 = ""Charles"", query(IMPORTRANGE(cd_planilha, ""Armas!B3:G""), ""Select Col1 Where Col2 = '""&amp;Personagem!$E$8&amp;""' or Col2 = '""&amp;Personagem!$E$9&amp;""'""),
if('Time 3'!C7 = ""Clovis"", query(IMPORTRANGE(cd_planilha, ""Armas!B3:G""), ""Select Col1 Wher"&amp;"e Col2 = '""&amp;Personagem!$F$8&amp;""' or Col2 = '""&amp;Personagem!$F$9&amp;""' ""),
if('Time 3'!C7 = ""Darthos"", query(IMPORTRANGE(cd_planilha, ""Armas!B3:G""), ""Select Col1 Where Col2 = '""&amp;Personagem!$G$8&amp;""' or Col2 = '""&amp;Personagem!$G$9&amp;""'""),
if('Time 3'!C7 ="&amp;" ""Edward"", query(IMPORTRANGE(cd_planilha, ""Armas!B3:G""), ""Select Col1 Where Col2 = '""&amp;Personagem!$H$8&amp;""' or Col2 = '""&amp;Personagem!$H$9&amp;""' ""),
if('Time 3'!C7 = ""Fiora"", query(IMPORTRANGE(cd_planilha, ""Armas!B3:G""), ""Select Col1 Where Col2 = '"&amp;"""&amp;Personagem!$I$8&amp;""' or Col2 = '""&amp;Personagem!$I$9&amp;""' ""),
if('Time 3'!C7 = ""Francesca"", query(IMPORTRANGE(cd_planilha, ""Armas!B3:G""), ""Select Col1 Where Col2 = '""&amp;Personagem!$J$8&amp;""' or Col2 = '""&amp;Personagem!$J$9&amp;""'""),
if('Time 3'!C7 = ""Garre"&amp;"th"", query(IMPORTRANGE(cd_planilha, ""Armas!B3:G""), ""Select Col1 Where Col2 = '""&amp;Personagem!$K$8&amp;""' or Col2 = '""&amp;Personagem!$K$9&amp;""'""),
if('Time 3'!C7 = ""Gauvin"", query(IMPORTRANGE(cd_planilha, ""Armas!B3:G""), ""Select Col1 Where Col2 = '""&amp;Pers"&amp;"onagem!$L$8&amp;""' or Col2 = '""&amp;Personagem!$L$9&amp;""' ""),
if('Time 3'!C7 = ""Irene"", query(IMPORTRANGE(cd_planilha, ""Armas!B3:G""), ""Select Col1 Where Col2 = '""&amp;Personagem!$M$8&amp;""' or Col2 = '""&amp;Personagem!$M$9&amp;""' ""),
if('Time 3'!C7 = ""Karal"", query("&amp;"IMPORTRANGE(cd_planilha, ""Armas!B3:G""), ""Select Col1 Where Col2 = '""&amp;Personagem!$N$8&amp;""' or Col2 = '""&amp;Personagem!$N$9&amp;""' ""),
if('Time 3'!C7 = ""Kuro Shobi"", query(IMPORTRANGE(cd_planilha, ""Armas!B3:G""), ""Select Col1 Where Col2 = '""&amp;Personagem!"&amp;"$O$8&amp;""' or Col2 = '""&amp;Personagem!$O$9&amp;""'""),
if('Time 3'!C7 = ""Kurul"", query(IMPORTRANGE(cd_planilha, ""Armas!B3:G""), ""Select Col1 Where Col2 = '""&amp;Personagem!$P$8&amp;""' or Col2 = '""&amp;Personagem!$P$9&amp;""' ""),
if('Time 3'!C7 = ""Lancaster"", query(IMPO"&amp;"RTRANGE(cd_planilha, ""Armas!B3:G""), ""Select Col1 Where Col2 = '""&amp;Personagem!$Q$8&amp;""' or Col2 = '""&amp;Personagem!$Q$9&amp;""'""),
if('Time 3'!C7 = ""Lorelei"", query(IMPORTRANGE(cd_planilha, ""Armas!B3:G""), ""Select Col1 Where Col2 = '""&amp;Personagem!$R$8&amp;""'"&amp;" or Col2 = '""&amp;Personagem!$R$9&amp;""' ""),
if('Time 3'!C7 = ""Louca"", query(IMPORTRANGE(cd_planilha, ""Armas!B3:G""), ""Select Col1 Where Col2 = '""&amp;Personagem!$S$8&amp;""' or Col2 = '""&amp;Personagem!$S$9&amp;""' ""),
if('Time 3'!C7 = ""Melina"", query(IMPORTRANGE(cd"&amp;"_planilha, ""Armas!B3:G""), ""Select Col1 Where Col2 = '""&amp;Personagem!$T$8&amp;""' or Col2 = '""&amp;Personagem!$T$9&amp;""'""),
if('Time 3'!C7 = ""Mila"", query(IMPORTRANGE(cd_planilha, ""Armas!B3:G""), ""Select Col1 Where Col2 = '""&amp;Personagem!$U$8&amp;""' or Col2 = '"&amp;"""&amp;Personagem!$U$9&amp;""' ""),
if('Time 3'!C7 = ""Minh"", query(IMPORTRANGE(cd_planilha, ""Armas!B3:G""), ""Select Col1 Where Col2 = '""&amp;Personagem!$V$8&amp;""' or Col2 = '""&amp;Personagem!$V$9&amp;""' ""),
if('Time 3'!C7 = ""Mojian"", query(IMPORTRANGE(cd_planilha, """&amp;"Armas!B3:G""), ""Select Col1 Where Col2 = '""&amp;Personagem!$W$8&amp;""' or Col2 = '""&amp;Personagem!$W$9&amp;""'""),
if('Time 3'!C7 = ""Nya"", query(IMPORTRANGE(cd_planilha, ""Armas!B3:G""), ""Select Col1 Where Col2 = '""&amp;Personagem!$X$8&amp;""' or Col2 = '""&amp;Personagem!$"&amp;"X$9&amp;""' ""),
if('Time 3'!C7 = ""Odette"", query(IMPORTRANGE(cd_planilha, ""Armas!B3:G""), ""Select Col1 Where Col2 = '""&amp;Personagem!$Y$8&amp;""' or Col2 = '""&amp;Personagem!$Y$9&amp;""'""),
if('Time 3'!C7 = ""Oneira"", query(IMPORTRANGE(cd_planilha, ""Armas!B3:G""),"&amp;" ""Select Col1 Where Col2 = '""&amp;Personagem!$Z$8&amp;""' or Col2 = '""&amp;Personagem!$Z$9&amp;""' ""),
if('Time 3'!C7 = ""Palash"", query(IMPORTRANGE(cd_planilha, ""Armas!B3:G""), ""Select Col1 Where Col2 = '""&amp;Personagem!$AA$8&amp;""' or Col2 = '""&amp;Personagem!$AA$9&amp;""'"&amp;"""),
if('Time 3'!C7 = ""Theor"", query(IMPORTRANGE(cd_planilha, ""Armas!B3:G""), ""Select Col1 Where Col2 = '""&amp;Personagem!$AB$8&amp;""' or Col2 = '""&amp;Personagem!$AB$9&amp;""' ""),
if('Time 3'!C7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H1" s="241"/>
      <c r="AI1" s="241" t="str">
        <f>IFERROR(__xludf.DUMMYFUNCTION("if('Time 3'!C8 = ""Albert"", query(IMPORTRANGE(cd_planilha, ""Armas!B3:G""), ""Select Col1 Where Col2 = '""&amp;Personagem!$B$8&amp;""' or Col2 = '""&amp;Personagem!$B$9&amp;""'""),     
if('Time 3'!C8 = ""Alicia"", query(IMPORTRANGE(cd_planilha, ""Armas!B3:G""), ""Selec"&amp;"t Col1 Where Col2 = '""&amp;Personagem!$C$8&amp;""' or Col2 = '""&amp;Personagem!$C$9&amp;""'""),
if('Time 3'!C8 = ""Azula"", query(IMPORTRANGE(cd_planilha, ""Armas!B3:G""), ""Select Col1 Where Col2 = '""&amp;Personagem!$D$8&amp;""' or Col2 = '""&amp;Personagem!$D$9&amp;""' ""),
if('Tim"&amp;"e 3'!C8 = ""Charles"", query(IMPORTRANGE(cd_planilha, ""Armas!B3:G""), ""Select Col1 Where Col2 = '""&amp;Personagem!$E$8&amp;""' or Col2 = '""&amp;Personagem!$E$9&amp;""'""),
if('Time 3'!C8 = ""Clovis"", query(IMPORTRANGE(cd_planilha, ""Armas!B3:G""), ""Select Col1 Wher"&amp;"e Col2 = '""&amp;Personagem!$F$8&amp;""' or Col2 = '""&amp;Personagem!$F$9&amp;""' ""),
if('Time 3'!C8 = ""Darthos"", query(IMPORTRANGE(cd_planilha, ""Armas!B3:G""), ""Select Col1 Where Col2 = '""&amp;Personagem!$G$8&amp;""' or Col2 = '""&amp;Personagem!$G$9&amp;""'""),
if('Time 3'!C8 ="&amp;" ""Edward"", query(IMPORTRANGE(cd_planilha, ""Armas!B3:G""), ""Select Col1 Where Col2 = '""&amp;Personagem!$H$8&amp;""' or Col2 = '""&amp;Personagem!$H$9&amp;""' ""),
if('Time 3'!C8 = ""Fiora"", query(IMPORTRANGE(cd_planilha, ""Armas!B3:G""), ""Select Col1 Where Col2 = '"&amp;"""&amp;Personagem!$I$8&amp;""' or Col2 = '""&amp;Personagem!$I$9&amp;""' ""),
if('Time 3'!C8 = ""Francesca"", query(IMPORTRANGE(cd_planilha, ""Armas!B3:G""), ""Select Col1 Where Col2 = '""&amp;Personagem!$J$8&amp;""' or Col2 = '""&amp;Personagem!$J$9&amp;""'""),
if('Time 3'!C8 = ""Garre"&amp;"th"", query(IMPORTRANGE(cd_planilha, ""Armas!B3:G""), ""Select Col1 Where Col2 = '""&amp;Personagem!$K$8&amp;""' or Col2 = '""&amp;Personagem!$K$9&amp;""'""),
if('Time 3'!C8 = ""Gauvin"", query(IMPORTRANGE(cd_planilha, ""Armas!B3:G""), ""Select Col1 Where Col2 = '""&amp;Pers"&amp;"onagem!$L$8&amp;""' or Col2 = '""&amp;Personagem!$L$9&amp;""' ""),
if('Time 3'!C8 = ""Irene"", query(IMPORTRANGE(cd_planilha, ""Armas!B3:G""), ""Select Col1 Where Col2 = '""&amp;Personagem!$M$8&amp;""' or Col2 = '""&amp;Personagem!$M$9&amp;""' ""),
if('Time 3'!C8 = ""Karal"", query("&amp;"IMPORTRANGE(cd_planilha, ""Armas!B3:G""), ""Select Col1 Where Col2 = '""&amp;Personagem!$N$8&amp;""' or Col2 = '""&amp;Personagem!$N$9&amp;""' ""),
if('Time 3'!C8 = ""Kuro Shobi"", query(IMPORTRANGE(cd_planilha, ""Armas!B3:G""), ""Select Col1 Where Col2 = '""&amp;Personagem!"&amp;"$O$8&amp;""' or Col2 = '""&amp;Personagem!$O$9&amp;""'""),
if('Time 3'!C8 = ""Kurul"", query(IMPORTRANGE(cd_planilha, ""Armas!B3:G""), ""Select Col1 Where Col2 = '""&amp;Personagem!$P$8&amp;""' or Col2 = '""&amp;Personagem!$P$9&amp;""' ""),
if('Time 3'!C8 = ""Lancaster"", query(IMPO"&amp;"RTRANGE(cd_planilha, ""Armas!B3:G""), ""Select Col1 Where Col2 = '""&amp;Personagem!$Q$8&amp;""' or Col2 = '""&amp;Personagem!$Q$9&amp;""'""),
if('Time 3'!C8 = ""Lorelei"", query(IMPORTRANGE(cd_planilha, ""Armas!B3:G""), ""Select Col1 Where Col2 = '""&amp;Personagem!$R$8&amp;""'"&amp;" or Col2 = '""&amp;Personagem!$R$9&amp;""' ""),
if('Time 3'!C8 = ""Louca"", query(IMPORTRANGE(cd_planilha, ""Armas!B3:G""), ""Select Col1 Where Col2 = '""&amp;Personagem!$S$8&amp;""' or Col2 = '""&amp;Personagem!$S$9&amp;""' ""),
if('Time 3'!C8 = ""Melina"", query(IMPORTRANGE(cd"&amp;"_planilha, ""Armas!B3:G""), ""Select Col1 Where Col2 = '""&amp;Personagem!$T$8&amp;""' or Col2 = '""&amp;Personagem!$T$9&amp;""'""),
if('Time 3'!C8 = ""Mila"", query(IMPORTRANGE(cd_planilha, ""Armas!B3:G""), ""Select Col1 Where Col2 = '""&amp;Personagem!$U$8&amp;""' or Col2 = '"&amp;"""&amp;Personagem!$U$9&amp;""' ""),
if('Time 3'!C8 = ""Minh"", query(IMPORTRANGE(cd_planilha, ""Armas!B3:G""), ""Select Col1 Where Col2 = '""&amp;Personagem!$V$8&amp;""' or Col2 = '""&amp;Personagem!$V$9&amp;""' ""),
if('Time 3'!C8 = ""Mojian"", query(IMPORTRANGE(cd_planilha, """&amp;"Armas!B3:G""), ""Select Col1 Where Col2 = '""&amp;Personagem!$W$8&amp;""' or Col2 = '""&amp;Personagem!$W$9&amp;""'""),
if('Time 3'!C8 = ""Nya"", query(IMPORTRANGE(cd_planilha, ""Armas!B3:G""), ""Select Col1 Where Col2 = '""&amp;Personagem!$X$8&amp;""' or Col2 = '""&amp;Personagem!$"&amp;"X$9&amp;""' ""),
if('Time 3'!C8 = ""Odette"", query(IMPORTRANGE(cd_planilha, ""Armas!B3:G""), ""Select Col1 Where Col2 = '""&amp;Personagem!$Y$8&amp;""' or Col2 = '""&amp;Personagem!$Y$9&amp;""'""),
if('Time 3'!C8 = ""Oneira"", query(IMPORTRANGE(cd_planilha, ""Armas!B3:G""),"&amp;" ""Select Col1 Where Col2 = '""&amp;Personagem!$Z$8&amp;""' or Col2 = '""&amp;Personagem!$Z$9&amp;""' ""),
if('Time 3'!C8 = ""Palash"", query(IMPORTRANGE(cd_planilha, ""Armas!B3:G""), ""Select Col1 Where Col2 = '""&amp;Personagem!$AA$8&amp;""' or Col2 = '""&amp;Personagem!$AA$9&amp;""'"&amp;"""),
if('Time 3'!C8 = ""Theor"", query(IMPORTRANGE(cd_planilha, ""Armas!B3:G""), ""Select Col1 Where Col2 = '""&amp;Personagem!$AB$8&amp;""' or Col2 = '""&amp;Personagem!$AB$9&amp;""' ""),
if('Time 3'!C8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J1" s="242"/>
    </row>
    <row r="2">
      <c r="A2" s="241" t="str">
        <f>IFERROR(__xludf.DUMMYFUNCTION("""COMPUTED_VALUE"""),"Espada Vorpal")</f>
        <v>Espada Vorpal</v>
      </c>
      <c r="B2" s="241"/>
      <c r="C2" s="241" t="str">
        <f>IFERROR(__xludf.DUMMYFUNCTION("""COMPUTED_VALUE"""),"Olho de falcão")</f>
        <v>Olho de falcão</v>
      </c>
      <c r="D2" s="241"/>
      <c r="E2" s="241" t="str">
        <f>IFERROR(__xludf.DUMMYFUNCTION("""COMPUTED_VALUE"""),"Espada Vorpal")</f>
        <v>Espada Vorpal</v>
      </c>
      <c r="F2" s="241"/>
      <c r="G2" s="241" t="str">
        <f>IFERROR(__xludf.DUMMYFUNCTION("""COMPUTED_VALUE"""),"Olho de falcão")</f>
        <v>Olho de falcão</v>
      </c>
      <c r="H2" s="241"/>
      <c r="I2" s="241" t="str">
        <f>IFERROR(__xludf.DUMMYFUNCTION("""COMPUTED_VALUE"""),"Olho de falcão")</f>
        <v>Olho de falcão</v>
      </c>
      <c r="J2" s="241"/>
      <c r="K2" s="241" t="str">
        <f>IFERROR(__xludf.DUMMYFUNCTION("""COMPUTED_VALUE"""),"Olho de falcão")</f>
        <v>Olho de falcão</v>
      </c>
      <c r="L2" s="242"/>
      <c r="M2" s="241" t="str">
        <f>IFERROR(__xludf.DUMMYFUNCTION("""COMPUTED_VALUE"""),"Veste Revestida")</f>
        <v>Veste Revestida</v>
      </c>
      <c r="N2" s="241"/>
      <c r="O2" s="241" t="str">
        <f>IFERROR(__xludf.DUMMYFUNCTION("""COMPUTED_VALUE"""),"Toga do Mago")</f>
        <v>Toga do Mago</v>
      </c>
      <c r="P2" s="241"/>
      <c r="Q2" s="241" t="str">
        <f>IFERROR(__xludf.DUMMYFUNCTION("""COMPUTED_VALUE"""),"Armadura Nobre")</f>
        <v>Armadura Nobre</v>
      </c>
      <c r="R2" s="241"/>
      <c r="S2" s="241" t="str">
        <f>IFERROR(__xludf.DUMMYFUNCTION("""COMPUTED_VALUE"""),"Veste Revestida")</f>
        <v>Veste Revestida</v>
      </c>
      <c r="T2" s="241"/>
      <c r="U2" s="241" t="str">
        <f>IFERROR(__xludf.DUMMYFUNCTION("""COMPUTED_VALUE"""),"Veste Revestida")</f>
        <v>Veste Revestida</v>
      </c>
      <c r="V2" s="241"/>
      <c r="W2" s="241" t="str">
        <f>IFERROR(__xludf.DUMMYFUNCTION("""COMPUTED_VALUE"""),"Toga do Mago")</f>
        <v>Toga do Mago</v>
      </c>
      <c r="X2" s="242"/>
      <c r="Y2" s="241" t="str">
        <f>IFERROR(__xludf.DUMMYFUNCTION("""COMPUTED_VALUE"""),"Coroa Dourada")</f>
        <v>Coroa Dourada</v>
      </c>
      <c r="Z2" s="241"/>
      <c r="AA2" s="241" t="str">
        <f>IFERROR(__xludf.DUMMYFUNCTION("""COMPUTED_VALUE"""),"Coroa Dourada")</f>
        <v>Coroa Dourada</v>
      </c>
      <c r="AB2" s="241"/>
      <c r="AC2" s="241" t="str">
        <f>IFERROR(__xludf.DUMMYFUNCTION("""COMPUTED_VALUE"""),"Elmo do Paladino")</f>
        <v>Elmo do Paladino</v>
      </c>
      <c r="AD2" s="241"/>
      <c r="AE2" s="241" t="str">
        <f>IFERROR(__xludf.DUMMYFUNCTION("""COMPUTED_VALUE"""),"Coroa Dourada")</f>
        <v>Coroa Dourada</v>
      </c>
      <c r="AF2" s="241"/>
      <c r="AG2" s="241" t="str">
        <f>IFERROR(__xludf.DUMMYFUNCTION("""COMPUTED_VALUE"""),"Coroa Dourada")</f>
        <v>Coroa Dourada</v>
      </c>
      <c r="AH2" s="241"/>
      <c r="AI2" s="241" t="str">
        <f>IFERROR(__xludf.DUMMYFUNCTION("""COMPUTED_VALUE"""),"Coroa Dourada")</f>
        <v>Coroa Dourada</v>
      </c>
      <c r="AJ2" s="242"/>
    </row>
    <row r="3" hidden="1">
      <c r="A3" s="241" t="str">
        <f>IFERROR(__xludf.DUMMYFUNCTION("""COMPUTED_VALUE"""),"Aço frio")</f>
        <v>Aço frio</v>
      </c>
      <c r="B3" s="241"/>
      <c r="C3" s="241" t="str">
        <f>IFERROR(__xludf.DUMMYFUNCTION("""COMPUTED_VALUE"""),"Autocarregador")</f>
        <v>Autocarregador</v>
      </c>
      <c r="D3" s="241"/>
      <c r="E3" s="241" t="str">
        <f>IFERROR(__xludf.DUMMYFUNCTION("""COMPUTED_VALUE"""),"Aço frio")</f>
        <v>Aço frio</v>
      </c>
      <c r="F3" s="241"/>
      <c r="G3" s="241" t="str">
        <f>IFERROR(__xludf.DUMMYFUNCTION("""COMPUTED_VALUE"""),"Autocarregador")</f>
        <v>Autocarregador</v>
      </c>
      <c r="H3" s="241"/>
      <c r="I3" s="241" t="str">
        <f>IFERROR(__xludf.DUMMYFUNCTION("""COMPUTED_VALUE"""),"Autocarregador")</f>
        <v>Autocarregador</v>
      </c>
      <c r="J3" s="241"/>
      <c r="K3" s="241" t="str">
        <f>IFERROR(__xludf.DUMMYFUNCTION("""COMPUTED_VALUE"""),"Autocarregador")</f>
        <v>Autocarregador</v>
      </c>
      <c r="L3" s="242"/>
      <c r="M3" s="241" t="str">
        <f>IFERROR(__xludf.DUMMYFUNCTION("""COMPUTED_VALUE"""),"Couro com óleo")</f>
        <v>Couro com óleo</v>
      </c>
      <c r="N3" s="241"/>
      <c r="O3" s="241" t="str">
        <f>IFERROR(__xludf.DUMMYFUNCTION("""COMPUTED_VALUE"""),"Poseidon's Toga")</f>
        <v>Poseidon's Toga</v>
      </c>
      <c r="P3" s="241"/>
      <c r="Q3" s="241" t="str">
        <f>IFERROR(__xludf.DUMMYFUNCTION("""COMPUTED_VALUE"""),"Correio de Honra")</f>
        <v>Correio de Honra</v>
      </c>
      <c r="R3" s="241"/>
      <c r="S3" s="241" t="str">
        <f>IFERROR(__xludf.DUMMYFUNCTION("""COMPUTED_VALUE"""),"Couro com óleo")</f>
        <v>Couro com óleo</v>
      </c>
      <c r="T3" s="241"/>
      <c r="U3" s="241" t="str">
        <f>IFERROR(__xludf.DUMMYFUNCTION("""COMPUTED_VALUE"""),"Couro com óleo")</f>
        <v>Couro com óleo</v>
      </c>
      <c r="V3" s="241"/>
      <c r="W3" s="241" t="str">
        <f>IFERROR(__xludf.DUMMYFUNCTION("""COMPUTED_VALUE"""),"Poseidon's Toga")</f>
        <v>Poseidon's Toga</v>
      </c>
      <c r="X3" s="242"/>
      <c r="Y3" s="241" t="str">
        <f>IFERROR(__xludf.DUMMYFUNCTION("""COMPUTED_VALUE"""),"Coifa Sábia ")</f>
        <v>Coifa Sábia </v>
      </c>
      <c r="Z3" s="241"/>
      <c r="AA3" s="241" t="str">
        <f>IFERROR(__xludf.DUMMYFUNCTION("""COMPUTED_VALUE"""),"Coifa Sábia ")</f>
        <v>Coifa Sábia </v>
      </c>
      <c r="AB3" s="241"/>
      <c r="AC3" s="241" t="str">
        <f>IFERROR(__xludf.DUMMYFUNCTION("""COMPUTED_VALUE"""),"Elmo Congelado")</f>
        <v>Elmo Congelado</v>
      </c>
      <c r="AD3" s="241"/>
      <c r="AE3" s="241" t="str">
        <f>IFERROR(__xludf.DUMMYFUNCTION("""COMPUTED_VALUE"""),"Coifa Sábia ")</f>
        <v>Coifa Sábia </v>
      </c>
      <c r="AF3" s="241"/>
      <c r="AG3" s="241" t="str">
        <f>IFERROR(__xludf.DUMMYFUNCTION("""COMPUTED_VALUE"""),"Coifa Sábia ")</f>
        <v>Coifa Sábia </v>
      </c>
      <c r="AH3" s="241"/>
      <c r="AI3" s="241" t="str">
        <f>IFERROR(__xludf.DUMMYFUNCTION("""COMPUTED_VALUE"""),"Coifa Sábia ")</f>
        <v>Coifa Sábia </v>
      </c>
      <c r="AJ3" s="242"/>
    </row>
    <row r="4" hidden="1">
      <c r="A4" s="241" t="str">
        <f>IFERROR(__xludf.DUMMYFUNCTION("""COMPUTED_VALUE"""),"Espada de Relíquia")</f>
        <v>Espada de Relíquia</v>
      </c>
      <c r="B4" s="241"/>
      <c r="C4" s="241" t="str">
        <f>IFERROR(__xludf.DUMMYFUNCTION("""COMPUTED_VALUE"""),"Olho de águia")</f>
        <v>Olho de águia</v>
      </c>
      <c r="D4" s="241"/>
      <c r="E4" s="241" t="str">
        <f>IFERROR(__xludf.DUMMYFUNCTION("""COMPUTED_VALUE"""),"Espada de Relíquia")</f>
        <v>Espada de Relíquia</v>
      </c>
      <c r="F4" s="241"/>
      <c r="G4" s="241" t="str">
        <f>IFERROR(__xludf.DUMMYFUNCTION("""COMPUTED_VALUE"""),"Olho de águia")</f>
        <v>Olho de águia</v>
      </c>
      <c r="H4" s="241"/>
      <c r="I4" s="241" t="str">
        <f>IFERROR(__xludf.DUMMYFUNCTION("""COMPUTED_VALUE"""),"Olho de águia")</f>
        <v>Olho de águia</v>
      </c>
      <c r="J4" s="241"/>
      <c r="K4" s="241" t="str">
        <f>IFERROR(__xludf.DUMMYFUNCTION("""COMPUTED_VALUE"""),"Olho de águia")</f>
        <v>Olho de águia</v>
      </c>
      <c r="L4" s="242"/>
      <c r="M4" s="241" t="str">
        <f>IFERROR(__xludf.DUMMYFUNCTION("""COMPUTED_VALUE"""),"Pele de Serpente")</f>
        <v>Pele de Serpente</v>
      </c>
      <c r="N4" s="241"/>
      <c r="O4" s="241" t="str">
        <f>IFERROR(__xludf.DUMMYFUNCTION("""COMPUTED_VALUE"""),"Traje de Tempestade")</f>
        <v>Traje de Tempestade</v>
      </c>
      <c r="P4" s="241"/>
      <c r="Q4" s="241" t="str">
        <f>IFERROR(__xludf.DUMMYFUNCTION("""COMPUTED_VALUE"""),"Armadura do Caos")</f>
        <v>Armadura do Caos</v>
      </c>
      <c r="R4" s="241"/>
      <c r="S4" s="241" t="str">
        <f>IFERROR(__xludf.DUMMYFUNCTION("""COMPUTED_VALUE"""),"Pele de Serpente")</f>
        <v>Pele de Serpente</v>
      </c>
      <c r="T4" s="241"/>
      <c r="U4" s="241" t="str">
        <f>IFERROR(__xludf.DUMMYFUNCTION("""COMPUTED_VALUE"""),"Pele de Serpente")</f>
        <v>Pele de Serpente</v>
      </c>
      <c r="V4" s="241"/>
      <c r="W4" s="241" t="str">
        <f>IFERROR(__xludf.DUMMYFUNCTION("""COMPUTED_VALUE"""),"Traje de Tempestade")</f>
        <v>Traje de Tempestade</v>
      </c>
      <c r="X4" s="242"/>
      <c r="Y4" s="241" t="str">
        <f>IFERROR(__xludf.DUMMYFUNCTION("""COMPUTED_VALUE"""),"Tiara Rúnica")</f>
        <v>Tiara Rúnica</v>
      </c>
      <c r="Z4" s="241"/>
      <c r="AA4" s="241" t="str">
        <f>IFERROR(__xludf.DUMMYFUNCTION("""COMPUTED_VALUE"""),"Tiara Rúnica")</f>
        <v>Tiara Rúnica</v>
      </c>
      <c r="AB4" s="241"/>
      <c r="AC4" s="241" t="str">
        <f>IFERROR(__xludf.DUMMYFUNCTION("""COMPUTED_VALUE"""),"Elmo do Aventureiro")</f>
        <v>Elmo do Aventureiro</v>
      </c>
      <c r="AD4" s="241"/>
      <c r="AE4" s="241" t="str">
        <f>IFERROR(__xludf.DUMMYFUNCTION("""COMPUTED_VALUE"""),"Tiara Rúnica")</f>
        <v>Tiara Rúnica</v>
      </c>
      <c r="AF4" s="241"/>
      <c r="AG4" s="241" t="str">
        <f>IFERROR(__xludf.DUMMYFUNCTION("""COMPUTED_VALUE"""),"Tiara Rúnica")</f>
        <v>Tiara Rúnica</v>
      </c>
      <c r="AH4" s="241"/>
      <c r="AI4" s="241" t="str">
        <f>IFERROR(__xludf.DUMMYFUNCTION("""COMPUTED_VALUE"""),"Tiara Rúnica")</f>
        <v>Tiara Rúnica</v>
      </c>
      <c r="AJ4" s="242"/>
    </row>
    <row r="5" hidden="1">
      <c r="A5" s="241" t="str">
        <f>IFERROR(__xludf.DUMMYFUNCTION("""COMPUTED_VALUE"""),"Marca Abissal")</f>
        <v>Marca Abissal</v>
      </c>
      <c r="B5" s="241"/>
      <c r="C5" s="241" t="str">
        <f>IFERROR(__xludf.DUMMYFUNCTION("""COMPUTED_VALUE"""),"Evelyn")</f>
        <v>Evelyn</v>
      </c>
      <c r="D5" s="241"/>
      <c r="E5" s="241" t="str">
        <f>IFERROR(__xludf.DUMMYFUNCTION("""COMPUTED_VALUE"""),"Marca Abissal")</f>
        <v>Marca Abissal</v>
      </c>
      <c r="F5" s="241"/>
      <c r="G5" s="241" t="str">
        <f>IFERROR(__xludf.DUMMYFUNCTION("""COMPUTED_VALUE"""),"Evelyn")</f>
        <v>Evelyn</v>
      </c>
      <c r="H5" s="241"/>
      <c r="I5" s="241" t="str">
        <f>IFERROR(__xludf.DUMMYFUNCTION("""COMPUTED_VALUE"""),"Evelyn")</f>
        <v>Evelyn</v>
      </c>
      <c r="J5" s="241"/>
      <c r="K5" s="241" t="str">
        <f>IFERROR(__xludf.DUMMYFUNCTION("""COMPUTED_VALUE"""),"Evelyn")</f>
        <v>Evelyn</v>
      </c>
      <c r="L5" s="242"/>
      <c r="M5" s="241" t="str">
        <f>IFERROR(__xludf.DUMMYFUNCTION("""COMPUTED_VALUE"""),"Platemail de Aquiles")</f>
        <v>Platemail de Aquiles</v>
      </c>
      <c r="N5" s="241"/>
      <c r="O5" s="241" t="str">
        <f>IFERROR(__xludf.DUMMYFUNCTION("""COMPUTED_VALUE"""),"Toga do Bruxo ")</f>
        <v>Toga do Bruxo </v>
      </c>
      <c r="P5" s="241"/>
      <c r="Q5" s="241" t="str">
        <f>IFERROR(__xludf.DUMMYFUNCTION("""COMPUTED_VALUE"""),"Malha Eldritch")</f>
        <v>Malha Eldritch</v>
      </c>
      <c r="R5" s="241"/>
      <c r="S5" s="241" t="str">
        <f>IFERROR(__xludf.DUMMYFUNCTION("""COMPUTED_VALUE"""),"Platemail de Aquiles")</f>
        <v>Platemail de Aquiles</v>
      </c>
      <c r="T5" s="241"/>
      <c r="U5" s="241" t="str">
        <f>IFERROR(__xludf.DUMMYFUNCTION("""COMPUTED_VALUE"""),"Platemail de Aquiles")</f>
        <v>Platemail de Aquiles</v>
      </c>
      <c r="V5" s="241"/>
      <c r="W5" s="241" t="str">
        <f>IFERROR(__xludf.DUMMYFUNCTION("""COMPUTED_VALUE"""),"Toga do Bruxo ")</f>
        <v>Toga do Bruxo </v>
      </c>
      <c r="X5" s="242"/>
      <c r="Y5" s="241" t="str">
        <f>IFERROR(__xludf.DUMMYFUNCTION("""COMPUTED_VALUE"""),"Coroa do trovão")</f>
        <v>Coroa do trovão</v>
      </c>
      <c r="Z5" s="241"/>
      <c r="AA5" s="241" t="str">
        <f>IFERROR(__xludf.DUMMYFUNCTION("""COMPUTED_VALUE"""),"Coroa do trovão")</f>
        <v>Coroa do trovão</v>
      </c>
      <c r="AB5" s="241"/>
      <c r="AC5" s="241" t="str">
        <f>IFERROR(__xludf.DUMMYFUNCTION("""COMPUTED_VALUE"""),"Elmo da Fênix")</f>
        <v>Elmo da Fênix</v>
      </c>
      <c r="AD5" s="241"/>
      <c r="AE5" s="241" t="str">
        <f>IFERROR(__xludf.DUMMYFUNCTION("""COMPUTED_VALUE"""),"Coroa do trovão")</f>
        <v>Coroa do trovão</v>
      </c>
      <c r="AF5" s="241"/>
      <c r="AG5" s="241" t="str">
        <f>IFERROR(__xludf.DUMMYFUNCTION("""COMPUTED_VALUE"""),"Coroa do trovão")</f>
        <v>Coroa do trovão</v>
      </c>
      <c r="AH5" s="241"/>
      <c r="AI5" s="241" t="str">
        <f>IFERROR(__xludf.DUMMYFUNCTION("""COMPUTED_VALUE"""),"Coroa do trovão")</f>
        <v>Coroa do trovão</v>
      </c>
      <c r="AJ5" s="242"/>
    </row>
    <row r="6" hidden="1">
      <c r="A6" s="241" t="str">
        <f>IFERROR(__xludf.DUMMYFUNCTION("""COMPUTED_VALUE"""),"Tempestuosa")</f>
        <v>Tempestuosa</v>
      </c>
      <c r="B6" s="241"/>
      <c r="C6" s="241" t="str">
        <f>IFERROR(__xludf.DUMMYFUNCTION("""COMPUTED_VALUE"""),"Olho de dragão")</f>
        <v>Olho de dragão</v>
      </c>
      <c r="D6" s="241"/>
      <c r="E6" s="241" t="str">
        <f>IFERROR(__xludf.DUMMYFUNCTION("""COMPUTED_VALUE"""),"Tempestuosa")</f>
        <v>Tempestuosa</v>
      </c>
      <c r="F6" s="241"/>
      <c r="G6" s="241" t="str">
        <f>IFERROR(__xludf.DUMMYFUNCTION("""COMPUTED_VALUE"""),"Olho de dragão")</f>
        <v>Olho de dragão</v>
      </c>
      <c r="H6" s="241"/>
      <c r="I6" s="241" t="str">
        <f>IFERROR(__xludf.DUMMYFUNCTION("""COMPUTED_VALUE"""),"Olho de dragão")</f>
        <v>Olho de dragão</v>
      </c>
      <c r="J6" s="241"/>
      <c r="K6" s="241" t="str">
        <f>IFERROR(__xludf.DUMMYFUNCTION("""COMPUTED_VALUE"""),"Olho de dragão")</f>
        <v>Olho de dragão</v>
      </c>
      <c r="L6" s="242"/>
      <c r="M6" s="241" t="str">
        <f>IFERROR(__xludf.DUMMYFUNCTION("""COMPUTED_VALUE"""),"Revestimento de Couro Pirata")</f>
        <v>Revestimento de Couro Pirata</v>
      </c>
      <c r="N6" s="241"/>
      <c r="O6" s="241" t="str">
        <f>IFERROR(__xludf.DUMMYFUNCTION("""COMPUTED_VALUE"""),"Life Vest")</f>
        <v>Life Vest</v>
      </c>
      <c r="P6" s="241"/>
      <c r="Q6" s="241" t="str">
        <f>IFERROR(__xludf.DUMMYFUNCTION("""COMPUTED_VALUE"""),"Fortaleza de Gaia")</f>
        <v>Fortaleza de Gaia</v>
      </c>
      <c r="R6" s="241"/>
      <c r="S6" s="241" t="str">
        <f>IFERROR(__xludf.DUMMYFUNCTION("""COMPUTED_VALUE"""),"Revestimento de Couro Pirata")</f>
        <v>Revestimento de Couro Pirata</v>
      </c>
      <c r="T6" s="241"/>
      <c r="U6" s="241" t="str">
        <f>IFERROR(__xludf.DUMMYFUNCTION("""COMPUTED_VALUE"""),"Revestimento de Couro Pirata")</f>
        <v>Revestimento de Couro Pirata</v>
      </c>
      <c r="V6" s="241"/>
      <c r="W6" s="241" t="str">
        <f>IFERROR(__xludf.DUMMYFUNCTION("""COMPUTED_VALUE"""),"Life Vest")</f>
        <v>Life Vest</v>
      </c>
      <c r="X6" s="242"/>
      <c r="Y6" s="241" t="str">
        <f>IFERROR(__xludf.DUMMYFUNCTION("""COMPUTED_VALUE"""),"Acessório cobra")</f>
        <v>Acessório cobra</v>
      </c>
      <c r="Z6" s="241"/>
      <c r="AA6" s="241" t="str">
        <f>IFERROR(__xludf.DUMMYFUNCTION("""COMPUTED_VALUE"""),"Acessório cobra")</f>
        <v>Acessório cobra</v>
      </c>
      <c r="AB6" s="241"/>
      <c r="AC6" s="241" t="str">
        <f>IFERROR(__xludf.DUMMYFUNCTION("""COMPUTED_VALUE"""),"Elmo de Guerra de Lu Bu")</f>
        <v>Elmo de Guerra de Lu Bu</v>
      </c>
      <c r="AD6" s="241"/>
      <c r="AE6" s="241" t="str">
        <f>IFERROR(__xludf.DUMMYFUNCTION("""COMPUTED_VALUE"""),"Acessório cobra")</f>
        <v>Acessório cobra</v>
      </c>
      <c r="AF6" s="241"/>
      <c r="AG6" s="241" t="str">
        <f>IFERROR(__xludf.DUMMYFUNCTION("""COMPUTED_VALUE"""),"Acessório cobra")</f>
        <v>Acessório cobra</v>
      </c>
      <c r="AH6" s="241"/>
      <c r="AI6" s="241" t="str">
        <f>IFERROR(__xludf.DUMMYFUNCTION("""COMPUTED_VALUE"""),"Acessório cobra")</f>
        <v>Acessório cobra</v>
      </c>
      <c r="AJ6" s="242"/>
    </row>
    <row r="7" hidden="1">
      <c r="A7" s="241" t="str">
        <f>IFERROR(__xludf.DUMMYFUNCTION("""COMPUTED_VALUE"""),"Balmung")</f>
        <v>Balmung</v>
      </c>
      <c r="B7" s="241"/>
      <c r="C7" s="241" t="str">
        <f>IFERROR(__xludf.DUMMYFUNCTION("""COMPUTED_VALUE"""),"Besta de adamantium")</f>
        <v>Besta de adamantium</v>
      </c>
      <c r="D7" s="241"/>
      <c r="E7" s="241" t="str">
        <f>IFERROR(__xludf.DUMMYFUNCTION("""COMPUTED_VALUE"""),"Balmung")</f>
        <v>Balmung</v>
      </c>
      <c r="F7" s="241"/>
      <c r="G7" s="241" t="str">
        <f>IFERROR(__xludf.DUMMYFUNCTION("""COMPUTED_VALUE"""),"Besta de adamantium")</f>
        <v>Besta de adamantium</v>
      </c>
      <c r="H7" s="241"/>
      <c r="I7" s="241" t="str">
        <f>IFERROR(__xludf.DUMMYFUNCTION("""COMPUTED_VALUE"""),"Besta de adamantium")</f>
        <v>Besta de adamantium</v>
      </c>
      <c r="J7" s="241"/>
      <c r="K7" s="241" t="str">
        <f>IFERROR(__xludf.DUMMYFUNCTION("""COMPUTED_VALUE"""),"Besta de adamantium")</f>
        <v>Besta de adamantium</v>
      </c>
      <c r="L7" s="242"/>
      <c r="M7" s="241" t="str">
        <f>IFERROR(__xludf.DUMMYFUNCTION("""COMPUTED_VALUE"""),"Shadow Lurker")</f>
        <v>Shadow Lurker</v>
      </c>
      <c r="N7" s="241"/>
      <c r="O7" s="241" t="str">
        <f>IFERROR(__xludf.DUMMYFUNCTION("""COMPUTED_VALUE"""),"Toga Plásmica")</f>
        <v>Toga Plásmica</v>
      </c>
      <c r="P7" s="241"/>
      <c r="Q7" s="241" t="str">
        <f>IFERROR(__xludf.DUMMYFUNCTION("""COMPUTED_VALUE"""),"Armadura Dragônica")</f>
        <v>Armadura Dragônica</v>
      </c>
      <c r="R7" s="241"/>
      <c r="S7" s="241" t="str">
        <f>IFERROR(__xludf.DUMMYFUNCTION("""COMPUTED_VALUE"""),"Shadow Lurker")</f>
        <v>Shadow Lurker</v>
      </c>
      <c r="T7" s="241"/>
      <c r="U7" s="241" t="str">
        <f>IFERROR(__xludf.DUMMYFUNCTION("""COMPUTED_VALUE"""),"Shadow Lurker")</f>
        <v>Shadow Lurker</v>
      </c>
      <c r="V7" s="241"/>
      <c r="W7" s="241" t="str">
        <f>IFERROR(__xludf.DUMMYFUNCTION("""COMPUTED_VALUE"""),"Toga Plásmica")</f>
        <v>Toga Plásmica</v>
      </c>
      <c r="X7" s="242"/>
      <c r="Y7" s="241" t="str">
        <f>IFERROR(__xludf.DUMMYFUNCTION("""COMPUTED_VALUE"""),"Face demoníaca")</f>
        <v>Face demoníaca</v>
      </c>
      <c r="Z7" s="241"/>
      <c r="AA7" s="241" t="str">
        <f>IFERROR(__xludf.DUMMYFUNCTION("""COMPUTED_VALUE"""),"Face demoníaca")</f>
        <v>Face demoníaca</v>
      </c>
      <c r="AB7" s="241"/>
      <c r="AC7" s="241" t="str">
        <f>IFERROR(__xludf.DUMMYFUNCTION("""COMPUTED_VALUE"""),"Elmo de Escamas de Dragão")</f>
        <v>Elmo de Escamas de Dragão</v>
      </c>
      <c r="AD7" s="241"/>
      <c r="AE7" s="241" t="str">
        <f>IFERROR(__xludf.DUMMYFUNCTION("""COMPUTED_VALUE"""),"Face demoníaca")</f>
        <v>Face demoníaca</v>
      </c>
      <c r="AF7" s="241"/>
      <c r="AG7" s="241" t="str">
        <f>IFERROR(__xludf.DUMMYFUNCTION("""COMPUTED_VALUE"""),"Face demoníaca")</f>
        <v>Face demoníaca</v>
      </c>
      <c r="AH7" s="241"/>
      <c r="AI7" s="241" t="str">
        <f>IFERROR(__xludf.DUMMYFUNCTION("""COMPUTED_VALUE"""),"Face demoníaca")</f>
        <v>Face demoníaca</v>
      </c>
      <c r="AJ7" s="242"/>
    </row>
    <row r="8" hidden="1">
      <c r="A8" s="241" t="str">
        <f>IFERROR(__xludf.DUMMYFUNCTION("""COMPUTED_VALUE"""),"Mata-Dragão")</f>
        <v>Mata-Dragão</v>
      </c>
      <c r="B8" s="241"/>
      <c r="C8" s="241" t="str">
        <f>IFERROR(__xludf.DUMMYFUNCTION("""COMPUTED_VALUE"""),"Besta de repetição")</f>
        <v>Besta de repetição</v>
      </c>
      <c r="D8" s="241"/>
      <c r="E8" s="241" t="str">
        <f>IFERROR(__xludf.DUMMYFUNCTION("""COMPUTED_VALUE"""),"Mata-Dragão")</f>
        <v>Mata-Dragão</v>
      </c>
      <c r="F8" s="241"/>
      <c r="G8" s="241" t="str">
        <f>IFERROR(__xludf.DUMMYFUNCTION("""COMPUTED_VALUE"""),"Besta de repetição")</f>
        <v>Besta de repetição</v>
      </c>
      <c r="H8" s="241"/>
      <c r="I8" s="241" t="str">
        <f>IFERROR(__xludf.DUMMYFUNCTION("""COMPUTED_VALUE"""),"Besta de repetição")</f>
        <v>Besta de repetição</v>
      </c>
      <c r="J8" s="241"/>
      <c r="K8" s="241" t="str">
        <f>IFERROR(__xludf.DUMMYFUNCTION("""COMPUTED_VALUE"""),"Besta de repetição")</f>
        <v>Besta de repetição</v>
      </c>
      <c r="L8" s="242"/>
      <c r="M8" s="241" t="str">
        <f>IFERROR(__xludf.DUMMYFUNCTION("""COMPUTED_VALUE"""),"Pele de Dragão")</f>
        <v>Pele de Dragão</v>
      </c>
      <c r="N8" s="241"/>
      <c r="O8" s="241" t="str">
        <f>IFERROR(__xludf.DUMMYFUNCTION("""COMPUTED_VALUE"""),"Toga do Arquimago")</f>
        <v>Toga do Arquimago</v>
      </c>
      <c r="P8" s="241"/>
      <c r="Q8" s="241" t="str">
        <f>IFERROR(__xludf.DUMMYFUNCTION("""COMPUTED_VALUE"""),"Malha da Terra")</f>
        <v>Malha da Terra</v>
      </c>
      <c r="R8" s="241"/>
      <c r="S8" s="241" t="str">
        <f>IFERROR(__xludf.DUMMYFUNCTION("""COMPUTED_VALUE"""),"Pele de Dragão")</f>
        <v>Pele de Dragão</v>
      </c>
      <c r="T8" s="241"/>
      <c r="U8" s="241" t="str">
        <f>IFERROR(__xludf.DUMMYFUNCTION("""COMPUTED_VALUE"""),"Pele de Dragão")</f>
        <v>Pele de Dragão</v>
      </c>
      <c r="V8" s="241"/>
      <c r="W8" s="241" t="str">
        <f>IFERROR(__xludf.DUMMYFUNCTION("""COMPUTED_VALUE"""),"Toga do Arquimago")</f>
        <v>Toga do Arquimago</v>
      </c>
      <c r="X8" s="242"/>
      <c r="Y8" s="241" t="str">
        <f>IFERROR(__xludf.DUMMYFUNCTION("""COMPUTED_VALUE"""),"Diadema Condenado")</f>
        <v>Diadema Condenado</v>
      </c>
      <c r="Z8" s="241"/>
      <c r="AA8" s="241" t="str">
        <f>IFERROR(__xludf.DUMMYFUNCTION("""COMPUTED_VALUE"""),"Diadema Condenado")</f>
        <v>Diadema Condenado</v>
      </c>
      <c r="AB8" s="241"/>
      <c r="AC8" s="241" t="str">
        <f>IFERROR(__xludf.DUMMYFUNCTION("""COMPUTED_VALUE"""),"Coroa de Korra")</f>
        <v>Coroa de Korra</v>
      </c>
      <c r="AD8" s="241"/>
      <c r="AE8" s="241" t="str">
        <f>IFERROR(__xludf.DUMMYFUNCTION("""COMPUTED_VALUE"""),"Diadema Condenado")</f>
        <v>Diadema Condenado</v>
      </c>
      <c r="AF8" s="241"/>
      <c r="AG8" s="241" t="str">
        <f>IFERROR(__xludf.DUMMYFUNCTION("""COMPUTED_VALUE"""),"Diadema Condenado")</f>
        <v>Diadema Condenado</v>
      </c>
      <c r="AH8" s="241"/>
      <c r="AI8" s="241" t="str">
        <f>IFERROR(__xludf.DUMMYFUNCTION("""COMPUTED_VALUE"""),"Diadema Condenado")</f>
        <v>Diadema Condenado</v>
      </c>
      <c r="AJ8" s="242"/>
    </row>
    <row r="9" hidden="1">
      <c r="A9" s="241" t="str">
        <f>IFERROR(__xludf.DUMMYFUNCTION("""COMPUTED_VALUE"""),"Lâmina do Fogo-gelo")</f>
        <v>Lâmina do Fogo-gelo</v>
      </c>
      <c r="B9" s="241"/>
      <c r="C9" s="241" t="str">
        <f>IFERROR(__xludf.DUMMYFUNCTION("""COMPUTED_VALUE"""),"Arco dos elfos")</f>
        <v>Arco dos elfos</v>
      </c>
      <c r="D9" s="241"/>
      <c r="E9" s="241" t="str">
        <f>IFERROR(__xludf.DUMMYFUNCTION("""COMPUTED_VALUE"""),"Lâmina do Fogo-gelo")</f>
        <v>Lâmina do Fogo-gelo</v>
      </c>
      <c r="F9" s="241"/>
      <c r="G9" s="241" t="str">
        <f>IFERROR(__xludf.DUMMYFUNCTION("""COMPUTED_VALUE"""),"Arco dos elfos")</f>
        <v>Arco dos elfos</v>
      </c>
      <c r="H9" s="241"/>
      <c r="I9" s="241" t="str">
        <f>IFERROR(__xludf.DUMMYFUNCTION("""COMPUTED_VALUE"""),"Arco dos elfos")</f>
        <v>Arco dos elfos</v>
      </c>
      <c r="J9" s="241"/>
      <c r="K9" s="241" t="str">
        <f>IFERROR(__xludf.DUMMYFUNCTION("""COMPUTED_VALUE"""),"Arco dos elfos")</f>
        <v>Arco dos elfos</v>
      </c>
      <c r="L9" s="242"/>
      <c r="M9" s="241" t="str">
        <f>IFERROR(__xludf.DUMMYFUNCTION("""COMPUTED_VALUE"""),"Vampire Hunter")</f>
        <v>Vampire Hunter</v>
      </c>
      <c r="N9" s="241"/>
      <c r="O9" s="241" t="str">
        <f>IFERROR(__xludf.DUMMYFUNCTION("""COMPUTED_VALUE"""),"Veste do Dragão ")</f>
        <v>Veste do Dragão </v>
      </c>
      <c r="P9" s="241"/>
      <c r="Q9" s="241" t="str">
        <f>IFERROR(__xludf.DUMMYFUNCTION("""COMPUTED_VALUE"""),"Armadura do Oráculo")</f>
        <v>Armadura do Oráculo</v>
      </c>
      <c r="R9" s="241"/>
      <c r="S9" s="241" t="str">
        <f>IFERROR(__xludf.DUMMYFUNCTION("""COMPUTED_VALUE"""),"Vampire Hunter")</f>
        <v>Vampire Hunter</v>
      </c>
      <c r="T9" s="241"/>
      <c r="U9" s="241" t="str">
        <f>IFERROR(__xludf.DUMMYFUNCTION("""COMPUTED_VALUE"""),"Vampire Hunter")</f>
        <v>Vampire Hunter</v>
      </c>
      <c r="V9" s="241"/>
      <c r="W9" s="241" t="str">
        <f>IFERROR(__xludf.DUMMYFUNCTION("""COMPUTED_VALUE"""),"Veste do Dragão ")</f>
        <v>Veste do Dragão </v>
      </c>
      <c r="X9" s="242"/>
      <c r="Y9" s="241" t="str">
        <f>IFERROR(__xludf.DUMMYFUNCTION("""COMPUTED_VALUE"""),"Medley Floral")</f>
        <v>Medley Floral</v>
      </c>
      <c r="Z9" s="241"/>
      <c r="AA9" s="241" t="str">
        <f>IFERROR(__xludf.DUMMYFUNCTION("""COMPUTED_VALUE"""),"Medley Floral")</f>
        <v>Medley Floral</v>
      </c>
      <c r="AB9" s="241"/>
      <c r="AC9" s="241" t="str">
        <f>IFERROR(__xludf.DUMMYFUNCTION("""COMPUTED_VALUE"""),"Elmo de Adamantium")</f>
        <v>Elmo de Adamantium</v>
      </c>
      <c r="AD9" s="241"/>
      <c r="AE9" s="241" t="str">
        <f>IFERROR(__xludf.DUMMYFUNCTION("""COMPUTED_VALUE"""),"Medley Floral")</f>
        <v>Medley Floral</v>
      </c>
      <c r="AF9" s="241"/>
      <c r="AG9" s="241" t="str">
        <f>IFERROR(__xludf.DUMMYFUNCTION("""COMPUTED_VALUE"""),"Medley Floral")</f>
        <v>Medley Floral</v>
      </c>
      <c r="AH9" s="241"/>
      <c r="AI9" s="241" t="str">
        <f>IFERROR(__xludf.DUMMYFUNCTION("""COMPUTED_VALUE"""),"Medley Floral")</f>
        <v>Medley Floral</v>
      </c>
      <c r="AJ9" s="242"/>
    </row>
    <row r="10" hidden="1">
      <c r="A10" s="241" t="str">
        <f>IFERROR(__xludf.DUMMYFUNCTION("""COMPUTED_VALUE"""),"Durindana")</f>
        <v>Durindana</v>
      </c>
      <c r="B10" s="241"/>
      <c r="C10" s="241" t="str">
        <f>IFERROR(__xludf.DUMMYFUNCTION("""COMPUTED_VALUE"""),"Arco do deus do sol")</f>
        <v>Arco do deus do sol</v>
      </c>
      <c r="D10" s="241"/>
      <c r="E10" s="241" t="str">
        <f>IFERROR(__xludf.DUMMYFUNCTION("""COMPUTED_VALUE"""),"Durindana")</f>
        <v>Durindana</v>
      </c>
      <c r="F10" s="241"/>
      <c r="G10" s="241" t="str">
        <f>IFERROR(__xludf.DUMMYFUNCTION("""COMPUTED_VALUE"""),"Arco do deus do sol")</f>
        <v>Arco do deus do sol</v>
      </c>
      <c r="H10" s="241"/>
      <c r="I10" s="241" t="str">
        <f>IFERROR(__xludf.DUMMYFUNCTION("""COMPUTED_VALUE"""),"Arco do deus do sol")</f>
        <v>Arco do deus do sol</v>
      </c>
      <c r="J10" s="241"/>
      <c r="K10" s="241" t="str">
        <f>IFERROR(__xludf.DUMMYFUNCTION("""COMPUTED_VALUE"""),"Arco do deus do sol")</f>
        <v>Arco do deus do sol</v>
      </c>
      <c r="L10" s="242"/>
      <c r="M10" s="241" t="str">
        <f>IFERROR(__xludf.DUMMYFUNCTION("""COMPUTED_VALUE"""),"Couro do Oceano")</f>
        <v>Couro do Oceano</v>
      </c>
      <c r="N10" s="241"/>
      <c r="O10" s="241" t="str">
        <f>IFERROR(__xludf.DUMMYFUNCTION("""COMPUTED_VALUE"""),"Dublê de Mago")</f>
        <v>Dublê de Mago</v>
      </c>
      <c r="P10" s="241"/>
      <c r="Q10" s="241" t="str">
        <f>IFERROR(__xludf.DUMMYFUNCTION("""COMPUTED_VALUE"""),"Malha negra")</f>
        <v>Malha negra</v>
      </c>
      <c r="R10" s="241"/>
      <c r="S10" s="241" t="str">
        <f>IFERROR(__xludf.DUMMYFUNCTION("""COMPUTED_VALUE"""),"Couro do Oceano")</f>
        <v>Couro do Oceano</v>
      </c>
      <c r="T10" s="241"/>
      <c r="U10" s="241" t="str">
        <f>IFERROR(__xludf.DUMMYFUNCTION("""COMPUTED_VALUE"""),"Couro do Oceano")</f>
        <v>Couro do Oceano</v>
      </c>
      <c r="V10" s="241"/>
      <c r="W10" s="241" t="str">
        <f>IFERROR(__xludf.DUMMYFUNCTION("""COMPUTED_VALUE"""),"Dublê de Mago")</f>
        <v>Dublê de Mago</v>
      </c>
      <c r="X10" s="242"/>
      <c r="Y10" s="241" t="str">
        <f>IFERROR(__xludf.DUMMYFUNCTION("""COMPUTED_VALUE"""),"Capuz do cultista")</f>
        <v>Capuz do cultista</v>
      </c>
      <c r="Z10" s="241"/>
      <c r="AA10" s="241" t="str">
        <f>IFERROR(__xludf.DUMMYFUNCTION("""COMPUTED_VALUE"""),"Capuz do cultista")</f>
        <v>Capuz do cultista</v>
      </c>
      <c r="AB10" s="241"/>
      <c r="AC10" s="241" t="str">
        <f>IFERROR(__xludf.DUMMYFUNCTION("""COMPUTED_VALUE"""),"Barbuta de Fogo-Gelo")</f>
        <v>Barbuta de Fogo-Gelo</v>
      </c>
      <c r="AD10" s="241"/>
      <c r="AE10" s="241" t="str">
        <f>IFERROR(__xludf.DUMMYFUNCTION("""COMPUTED_VALUE"""),"Capuz do cultista")</f>
        <v>Capuz do cultista</v>
      </c>
      <c r="AF10" s="241"/>
      <c r="AG10" s="241" t="str">
        <f>IFERROR(__xludf.DUMMYFUNCTION("""COMPUTED_VALUE"""),"Capuz do cultista")</f>
        <v>Capuz do cultista</v>
      </c>
      <c r="AH10" s="241"/>
      <c r="AI10" s="241" t="str">
        <f>IFERROR(__xludf.DUMMYFUNCTION("""COMPUTED_VALUE"""),"Capuz do cultista")</f>
        <v>Capuz do cultista</v>
      </c>
      <c r="AJ10" s="242"/>
    </row>
    <row r="11" hidden="1">
      <c r="A11" s="241" t="str">
        <f>IFERROR(__xludf.DUMMYFUNCTION("""COMPUTED_VALUE"""),"Cyberblade da Internet")</f>
        <v>Cyberblade da Internet</v>
      </c>
      <c r="B11" s="241"/>
      <c r="C11" s="241" t="str">
        <f>IFERROR(__xludf.DUMMYFUNCTION("""COMPUTED_VALUE"""),"Fura-Vento")</f>
        <v>Fura-Vento</v>
      </c>
      <c r="D11" s="241"/>
      <c r="E11" s="241" t="str">
        <f>IFERROR(__xludf.DUMMYFUNCTION("""COMPUTED_VALUE"""),"Cyberblade da Internet")</f>
        <v>Cyberblade da Internet</v>
      </c>
      <c r="F11" s="241"/>
      <c r="G11" s="241" t="str">
        <f>IFERROR(__xludf.DUMMYFUNCTION("""COMPUTED_VALUE"""),"Fura-Vento")</f>
        <v>Fura-Vento</v>
      </c>
      <c r="H11" s="241"/>
      <c r="I11" s="241" t="str">
        <f>IFERROR(__xludf.DUMMYFUNCTION("""COMPUTED_VALUE"""),"Fura-Vento")</f>
        <v>Fura-Vento</v>
      </c>
      <c r="J11" s="241"/>
      <c r="K11" s="241" t="str">
        <f>IFERROR(__xludf.DUMMYFUNCTION("""COMPUTED_VALUE"""),"Fura-Vento")</f>
        <v>Fura-Vento</v>
      </c>
      <c r="L11" s="242"/>
      <c r="M11" s="241" t="str">
        <f>IFERROR(__xludf.DUMMYFUNCTION("""COMPUTED_VALUE"""),"Colete Místico")</f>
        <v>Colete Místico</v>
      </c>
      <c r="N11" s="241"/>
      <c r="O11" s="241" t="str">
        <f>IFERROR(__xludf.DUMMYFUNCTION("""COMPUTED_VALUE"""),"Holy Tunic")</f>
        <v>Holy Tunic</v>
      </c>
      <c r="P11" s="241"/>
      <c r="Q11" s="241" t="str">
        <f>IFERROR(__xludf.DUMMYFUNCTION("""COMPUTED_VALUE"""),"Wyvern Plate")</f>
        <v>Wyvern Plate</v>
      </c>
      <c r="R11" s="241"/>
      <c r="S11" s="241" t="str">
        <f>IFERROR(__xludf.DUMMYFUNCTION("""COMPUTED_VALUE"""),"Colete Místico")</f>
        <v>Colete Místico</v>
      </c>
      <c r="T11" s="241"/>
      <c r="U11" s="241" t="str">
        <f>IFERROR(__xludf.DUMMYFUNCTION("""COMPUTED_VALUE"""),"Colete Místico")</f>
        <v>Colete Místico</v>
      </c>
      <c r="V11" s="241"/>
      <c r="W11" s="241" t="str">
        <f>IFERROR(__xludf.DUMMYFUNCTION("""COMPUTED_VALUE"""),"Holy Tunic")</f>
        <v>Holy Tunic</v>
      </c>
      <c r="X11" s="242"/>
      <c r="Y11" s="241" t="str">
        <f>IFERROR(__xludf.DUMMYFUNCTION("""COMPUTED_VALUE"""),"Chapéu Ártico")</f>
        <v>Chapéu Ártico</v>
      </c>
      <c r="Z11" s="241"/>
      <c r="AA11" s="241" t="str">
        <f>IFERROR(__xludf.DUMMYFUNCTION("""COMPUTED_VALUE"""),"Chapéu Ártico")</f>
        <v>Chapéu Ártico</v>
      </c>
      <c r="AB11" s="241"/>
      <c r="AC11" s="241" t="str">
        <f>IFERROR(__xludf.DUMMYFUNCTION("""COMPUTED_VALUE"""),"Inteligência Artifical")</f>
        <v>Inteligência Artifical</v>
      </c>
      <c r="AD11" s="241"/>
      <c r="AE11" s="241" t="str">
        <f>IFERROR(__xludf.DUMMYFUNCTION("""COMPUTED_VALUE"""),"Chapéu Ártico")</f>
        <v>Chapéu Ártico</v>
      </c>
      <c r="AF11" s="241"/>
      <c r="AG11" s="241" t="str">
        <f>IFERROR(__xludf.DUMMYFUNCTION("""COMPUTED_VALUE"""),"Chapéu Ártico")</f>
        <v>Chapéu Ártico</v>
      </c>
      <c r="AH11" s="241"/>
      <c r="AI11" s="241" t="str">
        <f>IFERROR(__xludf.DUMMYFUNCTION("""COMPUTED_VALUE"""),"Chapéu Ártico")</f>
        <v>Chapéu Ártico</v>
      </c>
      <c r="AJ11" s="242"/>
    </row>
    <row r="12" hidden="1">
      <c r="A12" s="241" t="str">
        <f>IFERROR(__xludf.DUMMYFUNCTION("""COMPUTED_VALUE"""),"Skofnung")</f>
        <v>Skofnung</v>
      </c>
      <c r="B12" s="241"/>
      <c r="C12" s="241" t="str">
        <f>IFERROR(__xludf.DUMMYFUNCTION("""COMPUTED_VALUE"""),"Assassino licantropo")</f>
        <v>Assassino licantropo</v>
      </c>
      <c r="D12" s="241"/>
      <c r="E12" s="241" t="str">
        <f>IFERROR(__xludf.DUMMYFUNCTION("""COMPUTED_VALUE"""),"Skofnung")</f>
        <v>Skofnung</v>
      </c>
      <c r="F12" s="241"/>
      <c r="G12" s="241" t="str">
        <f>IFERROR(__xludf.DUMMYFUNCTION("""COMPUTED_VALUE"""),"Assassino licantropo")</f>
        <v>Assassino licantropo</v>
      </c>
      <c r="H12" s="241"/>
      <c r="I12" s="241" t="str">
        <f>IFERROR(__xludf.DUMMYFUNCTION("""COMPUTED_VALUE"""),"Assassino licantropo")</f>
        <v>Assassino licantropo</v>
      </c>
      <c r="J12" s="241"/>
      <c r="K12" s="241" t="str">
        <f>IFERROR(__xludf.DUMMYFUNCTION("""COMPUTED_VALUE"""),"Assassino licantropo")</f>
        <v>Assassino licantropo</v>
      </c>
      <c r="L12" s="242"/>
      <c r="M12" s="241" t="str">
        <f>IFERROR(__xludf.DUMMYFUNCTION("""COMPUTED_VALUE"""),"Esmeralda Marcha")</f>
        <v>Esmeralda Marcha</v>
      </c>
      <c r="N12" s="241"/>
      <c r="O12" s="241" t="str">
        <f>IFERROR(__xludf.DUMMYFUNCTION("""COMPUTED_VALUE"""),"Toga da Alvorada")</f>
        <v>Toga da Alvorada</v>
      </c>
      <c r="P12" s="241"/>
      <c r="Q12" s="241"/>
      <c r="R12" s="241"/>
      <c r="S12" s="241" t="str">
        <f>IFERROR(__xludf.DUMMYFUNCTION("""COMPUTED_VALUE"""),"Esmeralda Marcha")</f>
        <v>Esmeralda Marcha</v>
      </c>
      <c r="T12" s="241"/>
      <c r="U12" s="241" t="str">
        <f>IFERROR(__xludf.DUMMYFUNCTION("""COMPUTED_VALUE"""),"Esmeralda Marcha")</f>
        <v>Esmeralda Marcha</v>
      </c>
      <c r="V12" s="241"/>
      <c r="W12" s="241" t="str">
        <f>IFERROR(__xludf.DUMMYFUNCTION("""COMPUTED_VALUE"""),"Toga da Alvorada")</f>
        <v>Toga da Alvorada</v>
      </c>
      <c r="X12" s="242"/>
      <c r="Y12" s="241" t="str">
        <f>IFERROR(__xludf.DUMMYFUNCTION("""COMPUTED_VALUE"""),"Tiara real")</f>
        <v>Tiara real</v>
      </c>
      <c r="Z12" s="241"/>
      <c r="AA12" s="241" t="str">
        <f>IFERROR(__xludf.DUMMYFUNCTION("""COMPUTED_VALUE"""),"Tiara real")</f>
        <v>Tiara real</v>
      </c>
      <c r="AB12" s="241"/>
      <c r="AC12" s="241" t="str">
        <f>IFERROR(__xludf.DUMMYFUNCTION("""COMPUTED_VALUE"""),"Elmo de Jade")</f>
        <v>Elmo de Jade</v>
      </c>
      <c r="AD12" s="241"/>
      <c r="AE12" s="241" t="str">
        <f>IFERROR(__xludf.DUMMYFUNCTION("""COMPUTED_VALUE"""),"Tiara real")</f>
        <v>Tiara real</v>
      </c>
      <c r="AF12" s="241"/>
      <c r="AG12" s="241" t="str">
        <f>IFERROR(__xludf.DUMMYFUNCTION("""COMPUTED_VALUE"""),"Tiara real")</f>
        <v>Tiara real</v>
      </c>
      <c r="AH12" s="241"/>
      <c r="AI12" s="241" t="str">
        <f>IFERROR(__xludf.DUMMYFUNCTION("""COMPUTED_VALUE"""),"Tiara real")</f>
        <v>Tiara real</v>
      </c>
      <c r="AJ12" s="242"/>
    </row>
    <row r="13" hidden="1">
      <c r="A13" s="241" t="str">
        <f>IFERROR(__xludf.DUMMYFUNCTION("""COMPUTED_VALUE"""),"Olhar Sinistro")</f>
        <v>Olhar Sinistro</v>
      </c>
      <c r="B13" s="241"/>
      <c r="C13" s="241" t="str">
        <f>IFERROR(__xludf.DUMMYFUNCTION("""COMPUTED_VALUE"""),"Arco de Artemisa")</f>
        <v>Arco de Artemisa</v>
      </c>
      <c r="D13" s="241"/>
      <c r="E13" s="241" t="str">
        <f>IFERROR(__xludf.DUMMYFUNCTION("""COMPUTED_VALUE"""),"Olhar Sinistro")</f>
        <v>Olhar Sinistro</v>
      </c>
      <c r="F13" s="241"/>
      <c r="G13" s="241" t="str">
        <f>IFERROR(__xludf.DUMMYFUNCTION("""COMPUTED_VALUE"""),"Arco de Artemisa")</f>
        <v>Arco de Artemisa</v>
      </c>
      <c r="H13" s="241"/>
      <c r="I13" s="241" t="str">
        <f>IFERROR(__xludf.DUMMYFUNCTION("""COMPUTED_VALUE"""),"Arco de Artemisa")</f>
        <v>Arco de Artemisa</v>
      </c>
      <c r="J13" s="241"/>
      <c r="K13" s="241" t="str">
        <f>IFERROR(__xludf.DUMMYFUNCTION("""COMPUTED_VALUE"""),"Arco de Artemisa")</f>
        <v>Arco de Artemisa</v>
      </c>
      <c r="L13" s="242"/>
      <c r="M13" s="241" t="str">
        <f>IFERROR(__xludf.DUMMYFUNCTION("""COMPUTED_VALUE"""),"Corvo Negro")</f>
        <v>Corvo Negro</v>
      </c>
      <c r="N13" s="241"/>
      <c r="O13" s="241" t="str">
        <f>IFERROR(__xludf.DUMMYFUNCTION("""COMPUTED_VALUE"""),"Celtic Coat")</f>
        <v>Celtic Coat</v>
      </c>
      <c r="P13" s="241"/>
      <c r="Q13" s="241"/>
      <c r="R13" s="241"/>
      <c r="S13" s="241" t="str">
        <f>IFERROR(__xludf.DUMMYFUNCTION("""COMPUTED_VALUE"""),"Corvo Negro")</f>
        <v>Corvo Negro</v>
      </c>
      <c r="T13" s="241"/>
      <c r="U13" s="241" t="str">
        <f>IFERROR(__xludf.DUMMYFUNCTION("""COMPUTED_VALUE"""),"Corvo Negro")</f>
        <v>Corvo Negro</v>
      </c>
      <c r="V13" s="241"/>
      <c r="W13" s="241" t="str">
        <f>IFERROR(__xludf.DUMMYFUNCTION("""COMPUTED_VALUE"""),"Celtic Coat")</f>
        <v>Celtic Coat</v>
      </c>
      <c r="X13" s="242"/>
      <c r="Y13" s="241" t="str">
        <f>IFERROR(__xludf.DUMMYFUNCTION("""COMPUTED_VALUE"""),"Coroa do subterrâneo")</f>
        <v>Coroa do subterrâneo</v>
      </c>
      <c r="Z13" s="241"/>
      <c r="AA13" s="241" t="str">
        <f>IFERROR(__xludf.DUMMYFUNCTION("""COMPUTED_VALUE"""),"Coroa do subterrâneo")</f>
        <v>Coroa do subterrâneo</v>
      </c>
      <c r="AB13" s="241"/>
      <c r="AC13" s="241" t="str">
        <f>IFERROR(__xludf.DUMMYFUNCTION("""COMPUTED_VALUE"""),"Viper Headdress")</f>
        <v>Viper Headdress</v>
      </c>
      <c r="AD13" s="241"/>
      <c r="AE13" s="241" t="str">
        <f>IFERROR(__xludf.DUMMYFUNCTION("""COMPUTED_VALUE"""),"Coroa do subterrâneo")</f>
        <v>Coroa do subterrâneo</v>
      </c>
      <c r="AF13" s="241"/>
      <c r="AG13" s="241" t="str">
        <f>IFERROR(__xludf.DUMMYFUNCTION("""COMPUTED_VALUE"""),"Coroa do subterrâneo")</f>
        <v>Coroa do subterrâneo</v>
      </c>
      <c r="AH13" s="241"/>
      <c r="AI13" s="241" t="str">
        <f>IFERROR(__xludf.DUMMYFUNCTION("""COMPUTED_VALUE"""),"Coroa do subterrâneo")</f>
        <v>Coroa do subterrâneo</v>
      </c>
      <c r="AJ13" s="242"/>
    </row>
    <row r="14" hidden="1">
      <c r="A14" s="241" t="str">
        <f>IFERROR(__xludf.DUMMYFUNCTION("""COMPUTED_VALUE"""),"Adaga Branca")</f>
        <v>Adaga Branca</v>
      </c>
      <c r="B14" s="241"/>
      <c r="C14" s="241" t="str">
        <f>IFERROR(__xludf.DUMMYFUNCTION("""COMPUTED_VALUE"""),"Meteoros")</f>
        <v>Meteoros</v>
      </c>
      <c r="D14" s="241"/>
      <c r="E14" s="241" t="str">
        <f>IFERROR(__xludf.DUMMYFUNCTION("""COMPUTED_VALUE"""),"Ponta Perseguidora")</f>
        <v>Ponta Perseguidora</v>
      </c>
      <c r="F14" s="241"/>
      <c r="G14" s="241" t="str">
        <f>IFERROR(__xludf.DUMMYFUNCTION("""COMPUTED_VALUE"""),"Meteoros")</f>
        <v>Meteoros</v>
      </c>
      <c r="H14" s="241"/>
      <c r="I14" s="241" t="str">
        <f>IFERROR(__xludf.DUMMYFUNCTION("""COMPUTED_VALUE"""),"Meteoros")</f>
        <v>Meteoros</v>
      </c>
      <c r="J14" s="241"/>
      <c r="K14" s="241" t="str">
        <f>IFERROR(__xludf.DUMMYFUNCTION("""COMPUTED_VALUE"""),"Meteoros")</f>
        <v>Meteoros</v>
      </c>
      <c r="L14" s="242"/>
      <c r="M14" s="241" t="str">
        <f>IFERROR(__xludf.DUMMYFUNCTION("""COMPUTED_VALUE"""),"Couraça Real")</f>
        <v>Couraça Real</v>
      </c>
      <c r="N14" s="241"/>
      <c r="O14" s="241"/>
      <c r="P14" s="241"/>
      <c r="Q14" s="241"/>
      <c r="R14" s="241"/>
      <c r="S14" s="241" t="str">
        <f>IFERROR(__xludf.DUMMYFUNCTION("""COMPUTED_VALUE"""),"Couraça Real")</f>
        <v>Couraça Real</v>
      </c>
      <c r="T14" s="241"/>
      <c r="U14" s="241" t="str">
        <f>IFERROR(__xludf.DUMMYFUNCTION("""COMPUTED_VALUE"""),"Couraça Real")</f>
        <v>Couraça Real</v>
      </c>
      <c r="V14" s="241"/>
      <c r="W14" s="241" t="str">
        <f>IFERROR(__xludf.DUMMYFUNCTION("""COMPUTED_VALUE"""),"Guaxinim Guardião")</f>
        <v>Guaxinim Guardião</v>
      </c>
      <c r="X14" s="242"/>
      <c r="Y14" s="241" t="str">
        <f>IFERROR(__xludf.DUMMYFUNCTION("""COMPUTED_VALUE"""),"Chapéu Carangueijo")</f>
        <v>Chapéu Carangueijo</v>
      </c>
      <c r="Z14" s="241"/>
      <c r="AA14" s="241" t="str">
        <f>IFERROR(__xludf.DUMMYFUNCTION("""COMPUTED_VALUE"""),"Chapéu Carangueijo")</f>
        <v>Chapéu Carangueijo</v>
      </c>
      <c r="AB14" s="241"/>
      <c r="AC14" s="241" t="str">
        <f>IFERROR(__xludf.DUMMYFUNCTION("""COMPUTED_VALUE"""),"Coroa Serrilhada")</f>
        <v>Coroa Serrilhada</v>
      </c>
      <c r="AD14" s="241"/>
      <c r="AE14" s="241" t="str">
        <f>IFERROR(__xludf.DUMMYFUNCTION("""COMPUTED_VALUE"""),"Chapéu Carangueijo")</f>
        <v>Chapéu Carangueijo</v>
      </c>
      <c r="AF14" s="241"/>
      <c r="AG14" s="241" t="str">
        <f>IFERROR(__xludf.DUMMYFUNCTION("""COMPUTED_VALUE"""),"Chapéu Carangueijo")</f>
        <v>Chapéu Carangueijo</v>
      </c>
      <c r="AH14" s="241"/>
      <c r="AI14" s="241" t="str">
        <f>IFERROR(__xludf.DUMMYFUNCTION("""COMPUTED_VALUE"""),"Chapéu Carangueijo")</f>
        <v>Chapéu Carangueijo</v>
      </c>
      <c r="AJ14" s="242"/>
    </row>
    <row r="15" hidden="1">
      <c r="A15" s="241" t="str">
        <f>IFERROR(__xludf.DUMMYFUNCTION("""COMPUTED_VALUE"""),"Coração Rubro")</f>
        <v>Coração Rubro</v>
      </c>
      <c r="B15" s="241"/>
      <c r="C15" s="241" t="str">
        <f>IFERROR(__xludf.DUMMYFUNCTION("""COMPUTED_VALUE"""),"Fúria da Natureza")</f>
        <v>Fúria da Natureza</v>
      </c>
      <c r="D15" s="241"/>
      <c r="E15" s="241" t="str">
        <f>IFERROR(__xludf.DUMMYFUNCTION("""COMPUTED_VALUE"""),"Ponta de Veneno")</f>
        <v>Ponta de Veneno</v>
      </c>
      <c r="F15" s="241"/>
      <c r="G15" s="241" t="str">
        <f>IFERROR(__xludf.DUMMYFUNCTION("""COMPUTED_VALUE"""),"Fúria da Natureza")</f>
        <v>Fúria da Natureza</v>
      </c>
      <c r="H15" s="241"/>
      <c r="I15" s="241" t="str">
        <f>IFERROR(__xludf.DUMMYFUNCTION("""COMPUTED_VALUE"""),"Fúria da Natureza")</f>
        <v>Fúria da Natureza</v>
      </c>
      <c r="J15" s="241"/>
      <c r="K15" s="241" t="str">
        <f>IFERROR(__xludf.DUMMYFUNCTION("""COMPUTED_VALUE"""),"Fúria da Natureza")</f>
        <v>Fúria da Natureza</v>
      </c>
      <c r="L15" s="242"/>
      <c r="M15" s="241" t="str">
        <f>IFERROR(__xludf.DUMMYFUNCTION("""COMPUTED_VALUE"""),"Invincible Scales")</f>
        <v>Invincible Scales</v>
      </c>
      <c r="N15" s="241"/>
      <c r="O15" s="241"/>
      <c r="P15" s="241"/>
      <c r="Q15" s="241"/>
      <c r="R15" s="241"/>
      <c r="S15" s="241" t="str">
        <f>IFERROR(__xludf.DUMMYFUNCTION("""COMPUTED_VALUE"""),"Invincible Scales")</f>
        <v>Invincible Scales</v>
      </c>
      <c r="T15" s="241"/>
      <c r="U15" s="241" t="str">
        <f>IFERROR(__xludf.DUMMYFUNCTION("""COMPUTED_VALUE"""),"Invincible Scales")</f>
        <v>Invincible Scales</v>
      </c>
      <c r="V15" s="241"/>
      <c r="W15" s="241" t="str">
        <f>IFERROR(__xludf.DUMMYFUNCTION("""COMPUTED_VALUE"""),"Veste Revestida")</f>
        <v>Veste Revestida</v>
      </c>
      <c r="X15" s="242"/>
      <c r="Y15" s="241" t="str">
        <f>IFERROR(__xludf.DUMMYFUNCTION("""COMPUTED_VALUE"""),"Capô de Guerra")</f>
        <v>Capô de Guerra</v>
      </c>
      <c r="Z15" s="241"/>
      <c r="AA15" s="241" t="str">
        <f>IFERROR(__xludf.DUMMYFUNCTION("""COMPUTED_VALUE"""),"Capô de Guerra")</f>
        <v>Capô de Guerra</v>
      </c>
      <c r="AB15" s="241"/>
      <c r="AC15" s="241"/>
      <c r="AD15" s="241"/>
      <c r="AE15" s="241" t="str">
        <f>IFERROR(__xludf.DUMMYFUNCTION("""COMPUTED_VALUE"""),"Capô de Guerra")</f>
        <v>Capô de Guerra</v>
      </c>
      <c r="AF15" s="241"/>
      <c r="AG15" s="241" t="str">
        <f>IFERROR(__xludf.DUMMYFUNCTION("""COMPUTED_VALUE"""),"Capô de Guerra")</f>
        <v>Capô de Guerra</v>
      </c>
      <c r="AH15" s="241"/>
      <c r="AI15" s="241" t="str">
        <f>IFERROR(__xludf.DUMMYFUNCTION("""COMPUTED_VALUE"""),"Capô de Guerra")</f>
        <v>Capô de Guerra</v>
      </c>
      <c r="AJ15" s="242"/>
    </row>
    <row r="16" hidden="1">
      <c r="A16" s="241" t="str">
        <f>IFERROR(__xludf.DUMMYFUNCTION("""COMPUTED_VALUE"""),"Katar Fantasma")</f>
        <v>Katar Fantasma</v>
      </c>
      <c r="B16" s="241"/>
      <c r="C16" s="241" t="str">
        <f>IFERROR(__xludf.DUMMYFUNCTION("""COMPUTED_VALUE"""),"Cajado do bispo")</f>
        <v>Cajado do bispo</v>
      </c>
      <c r="D16" s="241"/>
      <c r="E16" s="241" t="str">
        <f>IFERROR(__xludf.DUMMYFUNCTION("""COMPUTED_VALUE"""),"Lança Pesca")</f>
        <v>Lança Pesca</v>
      </c>
      <c r="F16" s="241"/>
      <c r="G16" s="241" t="str">
        <f>IFERROR(__xludf.DUMMYFUNCTION("""COMPUTED_VALUE"""),"Adaga Branca")</f>
        <v>Adaga Branca</v>
      </c>
      <c r="H16" s="241"/>
      <c r="I16" s="241" t="str">
        <f>IFERROR(__xludf.DUMMYFUNCTION("""COMPUTED_VALUE"""),"Tiamat")</f>
        <v>Tiamat</v>
      </c>
      <c r="J16" s="241"/>
      <c r="K16" s="241" t="str">
        <f>IFERROR(__xludf.DUMMYFUNCTION("""COMPUTED_VALUE"""),"Cajado do bispo")</f>
        <v>Cajado do bispo</v>
      </c>
      <c r="L16" s="242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 t="str">
        <f>IFERROR(__xludf.DUMMYFUNCTION("""COMPUTED_VALUE"""),"Couro com óleo")</f>
        <v>Couro com óleo</v>
      </c>
      <c r="X16" s="242"/>
      <c r="Y16" s="241" t="str">
        <f>IFERROR(__xludf.DUMMYFUNCTION("""COMPUTED_VALUE"""),"Coifa da Lua")</f>
        <v>Coifa da Lua</v>
      </c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2"/>
    </row>
    <row r="17" hidden="1">
      <c r="A17" s="241" t="str">
        <f>IFERROR(__xludf.DUMMYFUNCTION("""COMPUTED_VALUE"""),"Sweet Surprise")</f>
        <v>Sweet Surprise</v>
      </c>
      <c r="B17" s="241"/>
      <c r="C17" s="241" t="str">
        <f>IFERROR(__xludf.DUMMYFUNCTION("""COMPUTED_VALUE"""),"Begala do faraó")</f>
        <v>Begala do faraó</v>
      </c>
      <c r="D17" s="241"/>
      <c r="E17" s="241" t="str">
        <f>IFERROR(__xludf.DUMMYFUNCTION("""COMPUTED_VALUE"""),"Garfo de prata")</f>
        <v>Garfo de prata</v>
      </c>
      <c r="F17" s="241"/>
      <c r="G17" s="241" t="str">
        <f>IFERROR(__xludf.DUMMYFUNCTION("""COMPUTED_VALUE"""),"Coração Rubro")</f>
        <v>Coração Rubro</v>
      </c>
      <c r="H17" s="241"/>
      <c r="I17" s="241" t="str">
        <f>IFERROR(__xludf.DUMMYFUNCTION("""COMPUTED_VALUE"""),"Machado de Berserker")</f>
        <v>Machado de Berserker</v>
      </c>
      <c r="J17" s="241"/>
      <c r="K17" s="241" t="str">
        <f>IFERROR(__xludf.DUMMYFUNCTION("""COMPUTED_VALUE"""),"Begala do faraó")</f>
        <v>Begala do faraó</v>
      </c>
      <c r="L17" s="242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 t="str">
        <f>IFERROR(__xludf.DUMMYFUNCTION("""COMPUTED_VALUE"""),"Pele de Serpente")</f>
        <v>Pele de Serpente</v>
      </c>
      <c r="X17" s="242"/>
      <c r="Y17" s="241" t="str">
        <f>IFERROR(__xludf.DUMMYFUNCTION("""COMPUTED_VALUE"""),"Elmo do Paladino")</f>
        <v>Elmo do Paladino</v>
      </c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2"/>
    </row>
    <row r="18" hidden="1">
      <c r="A18" s="241" t="str">
        <f>IFERROR(__xludf.DUMMYFUNCTION("""COMPUTED_VALUE"""),"Traidora")</f>
        <v>Traidora</v>
      </c>
      <c r="B18" s="241"/>
      <c r="C18" s="241" t="str">
        <f>IFERROR(__xludf.DUMMYFUNCTION("""COMPUTED_VALUE"""),"Cetro Lunar")</f>
        <v>Cetro Lunar</v>
      </c>
      <c r="D18" s="241"/>
      <c r="E18" s="241" t="str">
        <f>IFERROR(__xludf.DUMMYFUNCTION("""COMPUTED_VALUE"""),"Voulgue da Lua")</f>
        <v>Voulgue da Lua</v>
      </c>
      <c r="F18" s="241"/>
      <c r="G18" s="241" t="str">
        <f>IFERROR(__xludf.DUMMYFUNCTION("""COMPUTED_VALUE"""),"Katar Fantasma")</f>
        <v>Katar Fantasma</v>
      </c>
      <c r="H18" s="241"/>
      <c r="I18" s="241" t="str">
        <f>IFERROR(__xludf.DUMMYFUNCTION("""COMPUTED_VALUE"""),"Presa Afiada")</f>
        <v>Presa Afiada</v>
      </c>
      <c r="J18" s="241"/>
      <c r="K18" s="241" t="str">
        <f>IFERROR(__xludf.DUMMYFUNCTION("""COMPUTED_VALUE"""),"Cetro Lunar")</f>
        <v>Cetro Lunar</v>
      </c>
      <c r="L18" s="242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 t="str">
        <f>IFERROR(__xludf.DUMMYFUNCTION("""COMPUTED_VALUE"""),"Platemail de Aquiles")</f>
        <v>Platemail de Aquiles</v>
      </c>
      <c r="X18" s="242"/>
      <c r="Y18" s="241" t="str">
        <f>IFERROR(__xludf.DUMMYFUNCTION("""COMPUTED_VALUE"""),"Elmo Congelado")</f>
        <v>Elmo Congelado</v>
      </c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2"/>
    </row>
    <row r="19" hidden="1">
      <c r="A19" s="241" t="str">
        <f>IFERROR(__xludf.DUMMYFUNCTION("""COMPUTED_VALUE"""),"Sete Estrelas")</f>
        <v>Sete Estrelas</v>
      </c>
      <c r="B19" s="241"/>
      <c r="C19" s="241" t="str">
        <f>IFERROR(__xludf.DUMMYFUNCTION("""COMPUTED_VALUE"""),"Líquido apanhador de inseto")</f>
        <v>Líquido apanhador de inseto</v>
      </c>
      <c r="D19" s="241"/>
      <c r="E19" s="241" t="str">
        <f>IFERROR(__xludf.DUMMYFUNCTION("""COMPUTED_VALUE"""),"Espeto da Noite")</f>
        <v>Espeto da Noite</v>
      </c>
      <c r="F19" s="241"/>
      <c r="G19" s="241" t="str">
        <f>IFERROR(__xludf.DUMMYFUNCTION("""COMPUTED_VALUE"""),"Sweet Surprise")</f>
        <v>Sweet Surprise</v>
      </c>
      <c r="H19" s="241"/>
      <c r="I19" s="241" t="str">
        <f>IFERROR(__xludf.DUMMYFUNCTION("""COMPUTED_VALUE"""),"Faz Viúva")</f>
        <v>Faz Viúva</v>
      </c>
      <c r="J19" s="241"/>
      <c r="K19" s="241" t="str">
        <f>IFERROR(__xludf.DUMMYFUNCTION("""COMPUTED_VALUE"""),"Líquido apanhador de inseto")</f>
        <v>Líquido apanhador de inseto</v>
      </c>
      <c r="L19" s="242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 t="str">
        <f>IFERROR(__xludf.DUMMYFUNCTION("""COMPUTED_VALUE"""),"Revestimento de Couro Pirata")</f>
        <v>Revestimento de Couro Pirata</v>
      </c>
      <c r="X19" s="242"/>
      <c r="Y19" s="241" t="str">
        <f>IFERROR(__xludf.DUMMYFUNCTION("""COMPUTED_VALUE"""),"Elmo do Aventureiro")</f>
        <v>Elmo do Aventureiro</v>
      </c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2"/>
    </row>
    <row r="20" hidden="1">
      <c r="A20" s="241" t="str">
        <f>IFERROR(__xludf.DUMMYFUNCTION("""COMPUTED_VALUE"""),"Presa de Dragão")</f>
        <v>Presa de Dragão</v>
      </c>
      <c r="B20" s="241"/>
      <c r="C20" s="241" t="str">
        <f>IFERROR(__xludf.DUMMYFUNCTION("""COMPUTED_VALUE"""),"Cetro Sagrado")</f>
        <v>Cetro Sagrado</v>
      </c>
      <c r="D20" s="241"/>
      <c r="E20" s="241" t="str">
        <f>IFERROR(__xludf.DUMMYFUNCTION("""COMPUTED_VALUE"""),"Raio Divino")</f>
        <v>Raio Divino</v>
      </c>
      <c r="F20" s="241"/>
      <c r="G20" s="241" t="str">
        <f>IFERROR(__xludf.DUMMYFUNCTION("""COMPUTED_VALUE"""),"Traidora")</f>
        <v>Traidora</v>
      </c>
      <c r="H20" s="241"/>
      <c r="I20" s="241" t="str">
        <f>IFERROR(__xludf.DUMMYFUNCTION("""COMPUTED_VALUE"""),"Ira infernal")</f>
        <v>Ira infernal</v>
      </c>
      <c r="J20" s="241"/>
      <c r="K20" s="241" t="str">
        <f>IFERROR(__xludf.DUMMYFUNCTION("""COMPUTED_VALUE"""),"Cetro Sagrado")</f>
        <v>Cetro Sagrado</v>
      </c>
      <c r="L20" s="242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 t="str">
        <f>IFERROR(__xludf.DUMMYFUNCTION("""COMPUTED_VALUE"""),"Shadow Lurker")</f>
        <v>Shadow Lurker</v>
      </c>
      <c r="X20" s="242"/>
      <c r="Y20" s="241" t="str">
        <f>IFERROR(__xludf.DUMMYFUNCTION("""COMPUTED_VALUE"""),"Elmo da Fênix")</f>
        <v>Elmo da Fênix</v>
      </c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2"/>
    </row>
    <row r="21" hidden="1">
      <c r="A21" s="241" t="str">
        <f>IFERROR(__xludf.DUMMYFUNCTION("""COMPUTED_VALUE"""),"Punhal Indiano")</f>
        <v>Punhal Indiano</v>
      </c>
      <c r="B21" s="241"/>
      <c r="C21" s="241" t="str">
        <f>IFERROR(__xludf.DUMMYFUNCTION("""COMPUTED_VALUE"""),"Varinha Estelar")</f>
        <v>Varinha Estelar</v>
      </c>
      <c r="D21" s="241"/>
      <c r="E21" s="241" t="str">
        <f>IFERROR(__xludf.DUMMYFUNCTION("""COMPUTED_VALUE"""),"Pique Fangtiano")</f>
        <v>Pique Fangtiano</v>
      </c>
      <c r="F21" s="241"/>
      <c r="G21" s="241" t="str">
        <f>IFERROR(__xludf.DUMMYFUNCTION("""COMPUTED_VALUE"""),"Sete Estrelas")</f>
        <v>Sete Estrelas</v>
      </c>
      <c r="H21" s="241"/>
      <c r="I21" s="241" t="str">
        <f>IFERROR(__xludf.DUMMYFUNCTION("""COMPUTED_VALUE"""),"Lâmina do Ragnarok")</f>
        <v>Lâmina do Ragnarok</v>
      </c>
      <c r="J21" s="241"/>
      <c r="K21" s="241" t="str">
        <f>IFERROR(__xludf.DUMMYFUNCTION("""COMPUTED_VALUE"""),"Varinha Estelar")</f>
        <v>Varinha Estelar</v>
      </c>
      <c r="L21" s="242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 t="str">
        <f>IFERROR(__xludf.DUMMYFUNCTION("""COMPUTED_VALUE"""),"Pele de Dragão")</f>
        <v>Pele de Dragão</v>
      </c>
      <c r="X21" s="242"/>
      <c r="Y21" s="241" t="str">
        <f>IFERROR(__xludf.DUMMYFUNCTION("""COMPUTED_VALUE"""),"Elmo de Guerra de Lu Bu")</f>
        <v>Elmo de Guerra de Lu Bu</v>
      </c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2"/>
    </row>
    <row r="22" hidden="1">
      <c r="A22" s="241" t="str">
        <f>IFERROR(__xludf.DUMMYFUNCTION("""COMPUTED_VALUE"""),"Adaga de Obsidiana")</f>
        <v>Adaga de Obsidiana</v>
      </c>
      <c r="B22" s="241"/>
      <c r="C22" s="241" t="str">
        <f>IFERROR(__xludf.DUMMYFUNCTION("""COMPUTED_VALUE"""),"Varinha Imperial")</f>
        <v>Varinha Imperial</v>
      </c>
      <c r="D22" s="241"/>
      <c r="E22" s="241" t="str">
        <f>IFERROR(__xludf.DUMMYFUNCTION("""COMPUTED_VALUE"""),"Alabarda de Obsidiana")</f>
        <v>Alabarda de Obsidiana</v>
      </c>
      <c r="F22" s="241"/>
      <c r="G22" s="241" t="str">
        <f>IFERROR(__xludf.DUMMYFUNCTION("""COMPUTED_VALUE"""),"Presa de Dragão")</f>
        <v>Presa de Dragão</v>
      </c>
      <c r="H22" s="241"/>
      <c r="I22" s="241" t="str">
        <f>IFERROR(__xludf.DUMMYFUNCTION("""COMPUTED_VALUE"""),"Machado Irado")</f>
        <v>Machado Irado</v>
      </c>
      <c r="J22" s="241"/>
      <c r="K22" s="241" t="str">
        <f>IFERROR(__xludf.DUMMYFUNCTION("""COMPUTED_VALUE"""),"Varinha Imperial")</f>
        <v>Varinha Imperial</v>
      </c>
      <c r="L22" s="242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 t="str">
        <f>IFERROR(__xludf.DUMMYFUNCTION("""COMPUTED_VALUE"""),"Vampire Hunter")</f>
        <v>Vampire Hunter</v>
      </c>
      <c r="X22" s="242"/>
      <c r="Y22" s="241" t="str">
        <f>IFERROR(__xludf.DUMMYFUNCTION("""COMPUTED_VALUE"""),"Elmo de Escamas de Dragão")</f>
        <v>Elmo de Escamas de Dragão</v>
      </c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2"/>
    </row>
    <row r="23" hidden="1">
      <c r="A23" s="241" t="str">
        <f>IFERROR(__xludf.DUMMYFUNCTION("""COMPUTED_VALUE"""),"Canivete Afótico")</f>
        <v>Canivete Afótico</v>
      </c>
      <c r="B23" s="241"/>
      <c r="C23" s="241" t="str">
        <f>IFERROR(__xludf.DUMMYFUNCTION("""COMPUTED_VALUE"""),"Rei-Sol")</f>
        <v>Rei-Sol</v>
      </c>
      <c r="D23" s="241"/>
      <c r="E23" s="241" t="str">
        <f>IFERROR(__xludf.DUMMYFUNCTION("""COMPUTED_VALUE"""),"Tridente Primordial")</f>
        <v>Tridente Primordial</v>
      </c>
      <c r="F23" s="241"/>
      <c r="G23" s="241" t="str">
        <f>IFERROR(__xludf.DUMMYFUNCTION("""COMPUTED_VALUE"""),"Punhal Indiano")</f>
        <v>Punhal Indiano</v>
      </c>
      <c r="H23" s="241"/>
      <c r="I23" s="241" t="str">
        <f>IFERROR(__xludf.DUMMYFUNCTION("""COMPUTED_VALUE"""),"Machado da Sombra")</f>
        <v>Machado da Sombra</v>
      </c>
      <c r="J23" s="241"/>
      <c r="K23" s="241" t="str">
        <f>IFERROR(__xludf.DUMMYFUNCTION("""COMPUTED_VALUE"""),"Rei-Sol")</f>
        <v>Rei-Sol</v>
      </c>
      <c r="L23" s="242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 t="str">
        <f>IFERROR(__xludf.DUMMYFUNCTION("""COMPUTED_VALUE"""),"Couro do Oceano")</f>
        <v>Couro do Oceano</v>
      </c>
      <c r="X23" s="242"/>
      <c r="Y23" s="241" t="str">
        <f>IFERROR(__xludf.DUMMYFUNCTION("""COMPUTED_VALUE"""),"Coroa de Korra")</f>
        <v>Coroa de Korra</v>
      </c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2"/>
    </row>
    <row r="24" hidden="1">
      <c r="A24" s="241" t="str">
        <f>IFERROR(__xludf.DUMMYFUNCTION("""COMPUTED_VALUE"""),"Adaga Primordial")</f>
        <v>Adaga Primordial</v>
      </c>
      <c r="B24" s="241"/>
      <c r="C24" s="241" t="str">
        <f>IFERROR(__xludf.DUMMYFUNCTION("""COMPUTED_VALUE"""),"Montagem das fadas")</f>
        <v>Montagem das fadas</v>
      </c>
      <c r="D24" s="241"/>
      <c r="E24" s="241" t="str">
        <f>IFERROR(__xludf.DUMMYFUNCTION("""COMPUTED_VALUE"""),"Gungnir")</f>
        <v>Gungnir</v>
      </c>
      <c r="F24" s="241"/>
      <c r="G24" s="241" t="str">
        <f>IFERROR(__xludf.DUMMYFUNCTION("""COMPUTED_VALUE"""),"Adaga de Obsidiana")</f>
        <v>Adaga de Obsidiana</v>
      </c>
      <c r="H24" s="241"/>
      <c r="I24" s="241" t="str">
        <f>IFERROR(__xludf.DUMMYFUNCTION("""COMPUTED_VALUE"""),"Labrys de Hefesto")</f>
        <v>Labrys de Hefesto</v>
      </c>
      <c r="J24" s="241"/>
      <c r="K24" s="241" t="str">
        <f>IFERROR(__xludf.DUMMYFUNCTION("""COMPUTED_VALUE"""),"Montagem das fadas")</f>
        <v>Montagem das fadas</v>
      </c>
      <c r="L24" s="242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 t="str">
        <f>IFERROR(__xludf.DUMMYFUNCTION("""COMPUTED_VALUE"""),"Colete Místico")</f>
        <v>Colete Místico</v>
      </c>
      <c r="X24" s="242"/>
      <c r="Y24" s="241" t="str">
        <f>IFERROR(__xludf.DUMMYFUNCTION("""COMPUTED_VALUE"""),"Elmo de Adamantium")</f>
        <v>Elmo de Adamantium</v>
      </c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2"/>
    </row>
    <row r="25" hidden="1">
      <c r="A25" s="241" t="str">
        <f>IFERROR(__xludf.DUMMYFUNCTION("""COMPUTED_VALUE"""),"Mistilteinn")</f>
        <v>Mistilteinn</v>
      </c>
      <c r="B25" s="241"/>
      <c r="C25" s="241" t="str">
        <f>IFERROR(__xludf.DUMMYFUNCTION("""COMPUTED_VALUE"""),"Guardião das almas")</f>
        <v>Guardião das almas</v>
      </c>
      <c r="D25" s="241"/>
      <c r="E25" s="241" t="str">
        <f>IFERROR(__xludf.DUMMYFUNCTION("""COMPUTED_VALUE"""),"Perfurador Abrasador")</f>
        <v>Perfurador Abrasador</v>
      </c>
      <c r="F25" s="241"/>
      <c r="G25" s="241" t="str">
        <f>IFERROR(__xludf.DUMMYFUNCTION("""COMPUTED_VALUE"""),"Canivete Afótico")</f>
        <v>Canivete Afótico</v>
      </c>
      <c r="H25" s="241"/>
      <c r="I25" s="241" t="str">
        <f>IFERROR(__xludf.DUMMYFUNCTION("""COMPUTED_VALUE"""),"Forseti's Axe")</f>
        <v>Forseti's Axe</v>
      </c>
      <c r="J25" s="241"/>
      <c r="K25" s="241" t="str">
        <f>IFERROR(__xludf.DUMMYFUNCTION("""COMPUTED_VALUE"""),"Guardião das almas")</f>
        <v>Guardião das almas</v>
      </c>
      <c r="L25" s="242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 t="str">
        <f>IFERROR(__xludf.DUMMYFUNCTION("""COMPUTED_VALUE"""),"Esmeralda Marcha")</f>
        <v>Esmeralda Marcha</v>
      </c>
      <c r="X25" s="242"/>
      <c r="Y25" s="241" t="str">
        <f>IFERROR(__xludf.DUMMYFUNCTION("""COMPUTED_VALUE"""),"Barbuta de Fogo-Gelo")</f>
        <v>Barbuta de Fogo-Gelo</v>
      </c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2"/>
    </row>
    <row r="26" hidden="1">
      <c r="A26" s="241" t="str">
        <f>IFERROR(__xludf.DUMMYFUNCTION("""COMPUTED_VALUE"""),"Rifle")</f>
        <v>Rifle</v>
      </c>
      <c r="B26" s="241"/>
      <c r="C26" s="241" t="str">
        <f>IFERROR(__xludf.DUMMYFUNCTION("""COMPUTED_VALUE"""),"Varinha estilhaçada")</f>
        <v>Varinha estilhaçada</v>
      </c>
      <c r="D26" s="241"/>
      <c r="E26" s="241" t="str">
        <f>IFERROR(__xludf.DUMMYFUNCTION("""COMPUTED_VALUE"""),"Rebelião")</f>
        <v>Rebelião</v>
      </c>
      <c r="F26" s="241"/>
      <c r="G26" s="241" t="str">
        <f>IFERROR(__xludf.DUMMYFUNCTION("""COMPUTED_VALUE"""),"Adaga Primordial")</f>
        <v>Adaga Primordial</v>
      </c>
      <c r="H26" s="241"/>
      <c r="I26" s="241" t="str">
        <f>IFERROR(__xludf.DUMMYFUNCTION("""COMPUTED_VALUE"""),"Rifle")</f>
        <v>Rifle</v>
      </c>
      <c r="J26" s="241"/>
      <c r="K26" s="241" t="str">
        <f>IFERROR(__xludf.DUMMYFUNCTION("""COMPUTED_VALUE"""),"Varinha estilhaçada")</f>
        <v>Varinha estilhaçada</v>
      </c>
      <c r="L26" s="242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 t="str">
        <f>IFERROR(__xludf.DUMMYFUNCTION("""COMPUTED_VALUE"""),"Corvo Negro")</f>
        <v>Corvo Negro</v>
      </c>
      <c r="X26" s="242"/>
      <c r="Y26" s="241" t="str">
        <f>IFERROR(__xludf.DUMMYFUNCTION("""COMPUTED_VALUE"""),"Inteligência Artifical")</f>
        <v>Inteligência Artifical</v>
      </c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2"/>
    </row>
    <row r="27" hidden="1">
      <c r="A27" s="241" t="str">
        <f>IFERROR(__xludf.DUMMYFUNCTION("""COMPUTED_VALUE"""),"Espingarda Negra")</f>
        <v>Espingarda Negra</v>
      </c>
      <c r="B27" s="241"/>
      <c r="C27" s="241" t="str">
        <f>IFERROR(__xludf.DUMMYFUNCTION("""COMPUTED_VALUE"""),"Cajado necormante")</f>
        <v>Cajado necormante</v>
      </c>
      <c r="D27" s="241"/>
      <c r="E27" s="241" t="str">
        <f>IFERROR(__xludf.DUMMYFUNCTION("""COMPUTED_VALUE"""),"Scorpion Tail")</f>
        <v>Scorpion Tail</v>
      </c>
      <c r="F27" s="241"/>
      <c r="G27" s="241" t="str">
        <f>IFERROR(__xludf.DUMMYFUNCTION("""COMPUTED_VALUE"""),"Mistilteinn")</f>
        <v>Mistilteinn</v>
      </c>
      <c r="H27" s="241"/>
      <c r="I27" s="241" t="str">
        <f>IFERROR(__xludf.DUMMYFUNCTION("""COMPUTED_VALUE"""),"Espingarda Negra")</f>
        <v>Espingarda Negra</v>
      </c>
      <c r="J27" s="241"/>
      <c r="K27" s="241" t="str">
        <f>IFERROR(__xludf.DUMMYFUNCTION("""COMPUTED_VALUE"""),"Cajado necormante")</f>
        <v>Cajado necormante</v>
      </c>
      <c r="L27" s="242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 t="str">
        <f>IFERROR(__xludf.DUMMYFUNCTION("""COMPUTED_VALUE"""),"Couraça Real")</f>
        <v>Couraça Real</v>
      </c>
      <c r="X27" s="242"/>
      <c r="Y27" s="241" t="str">
        <f>IFERROR(__xludf.DUMMYFUNCTION("""COMPUTED_VALUE"""),"Elmo de Jade")</f>
        <v>Elmo de Jade</v>
      </c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2"/>
    </row>
    <row r="28" hidden="1">
      <c r="A28" s="241" t="str">
        <f>IFERROR(__xludf.DUMMYFUNCTION("""COMPUTED_VALUE"""),"Conquistador")</f>
        <v>Conquistador</v>
      </c>
      <c r="B28" s="241"/>
      <c r="C28" s="241" t="str">
        <f>IFERROR(__xludf.DUMMYFUNCTION("""COMPUTED_VALUE"""),"Luna")</f>
        <v>Luna</v>
      </c>
      <c r="D28" s="241"/>
      <c r="E28" s="241" t="str">
        <f>IFERROR(__xludf.DUMMYFUNCTION("""COMPUTED_VALUE"""),"Tiamat")</f>
        <v>Tiamat</v>
      </c>
      <c r="F28" s="241"/>
      <c r="G28" s="241" t="str">
        <f>IFERROR(__xludf.DUMMYFUNCTION("""COMPUTED_VALUE"""),"Rifle")</f>
        <v>Rifle</v>
      </c>
      <c r="H28" s="241"/>
      <c r="I28" s="241" t="str">
        <f>IFERROR(__xludf.DUMMYFUNCTION("""COMPUTED_VALUE"""),"Conquistador")</f>
        <v>Conquistador</v>
      </c>
      <c r="J28" s="241"/>
      <c r="K28" s="241" t="str">
        <f>IFERROR(__xludf.DUMMYFUNCTION("""COMPUTED_VALUE"""),"Luna")</f>
        <v>Luna</v>
      </c>
      <c r="L28" s="242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 t="str">
        <f>IFERROR(__xludf.DUMMYFUNCTION("""COMPUTED_VALUE"""),"Invincible Scales")</f>
        <v>Invincible Scales</v>
      </c>
      <c r="X28" s="242"/>
      <c r="Y28" s="241" t="str">
        <f>IFERROR(__xludf.DUMMYFUNCTION("""COMPUTED_VALUE"""),"Viper Headdress")</f>
        <v>Viper Headdress</v>
      </c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2"/>
    </row>
    <row r="29" hidden="1">
      <c r="A29" s="241" t="str">
        <f>IFERROR(__xludf.DUMMYFUNCTION("""COMPUTED_VALUE"""),"A Respiração de Dragão")</f>
        <v>A Respiração de Dragão</v>
      </c>
      <c r="B29" s="241"/>
      <c r="C29" s="241" t="str">
        <f>IFERROR(__xludf.DUMMYFUNCTION("""COMPUTED_VALUE"""),"Cetro da Pixie")</f>
        <v>Cetro da Pixie</v>
      </c>
      <c r="D29" s="241"/>
      <c r="E29" s="241" t="str">
        <f>IFERROR(__xludf.DUMMYFUNCTION("""COMPUTED_VALUE"""),"Machado de Berserker")</f>
        <v>Machado de Berserker</v>
      </c>
      <c r="F29" s="241"/>
      <c r="G29" s="241" t="str">
        <f>IFERROR(__xludf.DUMMYFUNCTION("""COMPUTED_VALUE"""),"Espingarda Negra")</f>
        <v>Espingarda Negra</v>
      </c>
      <c r="H29" s="241"/>
      <c r="I29" s="241" t="str">
        <f>IFERROR(__xludf.DUMMYFUNCTION("""COMPUTED_VALUE"""),"A Respiração de Dragão")</f>
        <v>A Respiração de Dragão</v>
      </c>
      <c r="J29" s="241"/>
      <c r="K29" s="241" t="str">
        <f>IFERROR(__xludf.DUMMYFUNCTION("""COMPUTED_VALUE"""),"Cetro da Pixie")</f>
        <v>Cetro da Pixie</v>
      </c>
      <c r="L29" s="242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2"/>
      <c r="Y29" s="241" t="str">
        <f>IFERROR(__xludf.DUMMYFUNCTION("""COMPUTED_VALUE"""),"Coroa Serrilhada")</f>
        <v>Coroa Serrilhada</v>
      </c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2"/>
    </row>
    <row r="30" hidden="1">
      <c r="A30" s="241" t="str">
        <f>IFERROR(__xludf.DUMMYFUNCTION("""COMPUTED_VALUE"""),"Arcabuz de relíquia")</f>
        <v>Arcabuz de relíquia</v>
      </c>
      <c r="B30" s="241"/>
      <c r="C30" s="241" t="str">
        <f>IFERROR(__xludf.DUMMYFUNCTION("""COMPUTED_VALUE"""),"Estrela D'alva")</f>
        <v>Estrela D'alva</v>
      </c>
      <c r="D30" s="241"/>
      <c r="E30" s="241" t="str">
        <f>IFERROR(__xludf.DUMMYFUNCTION("""COMPUTED_VALUE"""),"Presa Afiada")</f>
        <v>Presa Afiada</v>
      </c>
      <c r="F30" s="241"/>
      <c r="G30" s="241" t="str">
        <f>IFERROR(__xludf.DUMMYFUNCTION("""COMPUTED_VALUE"""),"Conquistador")</f>
        <v>Conquistador</v>
      </c>
      <c r="H30" s="241"/>
      <c r="I30" s="241" t="str">
        <f>IFERROR(__xludf.DUMMYFUNCTION("""COMPUTED_VALUE"""),"Arcabuz de relíquia")</f>
        <v>Arcabuz de relíquia</v>
      </c>
      <c r="J30" s="241"/>
      <c r="K30" s="241"/>
      <c r="L30" s="242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2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2"/>
    </row>
    <row r="31" hidden="1">
      <c r="A31" s="241" t="str">
        <f>IFERROR(__xludf.DUMMYFUNCTION("""COMPUTED_VALUE"""),"Julgamento")</f>
        <v>Julgamento</v>
      </c>
      <c r="B31" s="241"/>
      <c r="C31" s="241" t="str">
        <f>IFERROR(__xludf.DUMMYFUNCTION("""COMPUTED_VALUE"""),"Tronco de árvore")</f>
        <v>Tronco de árvore</v>
      </c>
      <c r="D31" s="241"/>
      <c r="E31" s="241" t="str">
        <f>IFERROR(__xludf.DUMMYFUNCTION("""COMPUTED_VALUE"""),"Faz Viúva")</f>
        <v>Faz Viúva</v>
      </c>
      <c r="F31" s="241"/>
      <c r="G31" s="241" t="str">
        <f>IFERROR(__xludf.DUMMYFUNCTION("""COMPUTED_VALUE"""),"A Respiração de Dragão")</f>
        <v>A Respiração de Dragão</v>
      </c>
      <c r="H31" s="241"/>
      <c r="I31" s="241" t="str">
        <f>IFERROR(__xludf.DUMMYFUNCTION("""COMPUTED_VALUE"""),"Julgamento")</f>
        <v>Julgamento</v>
      </c>
      <c r="J31" s="241"/>
      <c r="K31" s="241"/>
      <c r="L31" s="242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2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2"/>
    </row>
    <row r="32" hidden="1">
      <c r="A32" s="241" t="str">
        <f>IFERROR(__xludf.DUMMYFUNCTION("""COMPUTED_VALUE"""),"Lança Bombas")</f>
        <v>Lança Bombas</v>
      </c>
      <c r="B32" s="241"/>
      <c r="C32" s="241" t="str">
        <f>IFERROR(__xludf.DUMMYFUNCTION("""COMPUTED_VALUE"""),"Martelo-Punho")</f>
        <v>Martelo-Punho</v>
      </c>
      <c r="D32" s="241"/>
      <c r="E32" s="241" t="str">
        <f>IFERROR(__xludf.DUMMYFUNCTION("""COMPUTED_VALUE"""),"Ira infernal")</f>
        <v>Ira infernal</v>
      </c>
      <c r="F32" s="241"/>
      <c r="G32" s="241" t="str">
        <f>IFERROR(__xludf.DUMMYFUNCTION("""COMPUTED_VALUE"""),"Arcabuz de relíquia")</f>
        <v>Arcabuz de relíquia</v>
      </c>
      <c r="H32" s="241"/>
      <c r="I32" s="241" t="str">
        <f>IFERROR(__xludf.DUMMYFUNCTION("""COMPUTED_VALUE"""),"Lança Bombas")</f>
        <v>Lança Bombas</v>
      </c>
      <c r="J32" s="241"/>
      <c r="K32" s="241"/>
      <c r="L32" s="242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2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2"/>
    </row>
    <row r="33" hidden="1">
      <c r="A33" s="241" t="str">
        <f>IFERROR(__xludf.DUMMYFUNCTION("""COMPUTED_VALUE"""),"Guerra Nórdica")</f>
        <v>Guerra Nórdica</v>
      </c>
      <c r="B33" s="241"/>
      <c r="C33" s="241" t="str">
        <f>IFERROR(__xludf.DUMMYFUNCTION("""COMPUTED_VALUE"""),"Cetro Real")</f>
        <v>Cetro Real</v>
      </c>
      <c r="D33" s="241"/>
      <c r="E33" s="241" t="str">
        <f>IFERROR(__xludf.DUMMYFUNCTION("""COMPUTED_VALUE"""),"Lâmina do Ragnarok")</f>
        <v>Lâmina do Ragnarok</v>
      </c>
      <c r="F33" s="241"/>
      <c r="G33" s="241" t="str">
        <f>IFERROR(__xludf.DUMMYFUNCTION("""COMPUTED_VALUE"""),"Julgamento")</f>
        <v>Julgamento</v>
      </c>
      <c r="H33" s="241"/>
      <c r="I33" s="241" t="str">
        <f>IFERROR(__xludf.DUMMYFUNCTION("""COMPUTED_VALUE"""),"Guerra Nórdica")</f>
        <v>Guerra Nórdica</v>
      </c>
      <c r="J33" s="241"/>
      <c r="K33" s="241"/>
      <c r="L33" s="242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2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2"/>
    </row>
    <row r="34" hidden="1">
      <c r="A34" s="241" t="str">
        <f>IFERROR(__xludf.DUMMYFUNCTION("""COMPUTED_VALUE"""),"Pilgrim Blunderbus")</f>
        <v>Pilgrim Blunderbus</v>
      </c>
      <c r="B34" s="241"/>
      <c r="C34" s="241" t="str">
        <f>IFERROR(__xludf.DUMMYFUNCTION("""COMPUTED_VALUE"""),"Martelo Relíquia")</f>
        <v>Martelo Relíquia</v>
      </c>
      <c r="D34" s="241"/>
      <c r="E34" s="241" t="str">
        <f>IFERROR(__xludf.DUMMYFUNCTION("""COMPUTED_VALUE"""),"Machado Irado")</f>
        <v>Machado Irado</v>
      </c>
      <c r="F34" s="241"/>
      <c r="G34" s="241" t="str">
        <f>IFERROR(__xludf.DUMMYFUNCTION("""COMPUTED_VALUE"""),"Lança Bombas")</f>
        <v>Lança Bombas</v>
      </c>
      <c r="H34" s="241"/>
      <c r="I34" s="241" t="str">
        <f>IFERROR(__xludf.DUMMYFUNCTION("""COMPUTED_VALUE"""),"Pilgrim Blunderbus")</f>
        <v>Pilgrim Blunderbus</v>
      </c>
      <c r="J34" s="241"/>
      <c r="K34" s="241"/>
      <c r="L34" s="242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2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2"/>
    </row>
    <row r="35" hidden="1">
      <c r="A35" s="241" t="str">
        <f>IFERROR(__xludf.DUMMYFUNCTION("""COMPUTED_VALUE"""),"Pistola de Pirata")</f>
        <v>Pistola de Pirata</v>
      </c>
      <c r="B35" s="241"/>
      <c r="C35" s="241" t="str">
        <f>IFERROR(__xludf.DUMMYFUNCTION("""COMPUTED_VALUE"""),"Apocalipto")</f>
        <v>Apocalipto</v>
      </c>
      <c r="D35" s="241"/>
      <c r="E35" s="241" t="str">
        <f>IFERROR(__xludf.DUMMYFUNCTION("""COMPUTED_VALUE"""),"Machado da Sombra")</f>
        <v>Machado da Sombra</v>
      </c>
      <c r="F35" s="241"/>
      <c r="G35" s="241" t="str">
        <f>IFERROR(__xludf.DUMMYFUNCTION("""COMPUTED_VALUE"""),"Guerra Nórdica")</f>
        <v>Guerra Nórdica</v>
      </c>
      <c r="H35" s="241"/>
      <c r="I35" s="241" t="str">
        <f>IFERROR(__xludf.DUMMYFUNCTION("""COMPUTED_VALUE"""),"Pistola de Pirata")</f>
        <v>Pistola de Pirata</v>
      </c>
      <c r="J35" s="241"/>
      <c r="K35" s="241"/>
      <c r="L35" s="242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2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2"/>
    </row>
    <row r="36" hidden="1">
      <c r="A36" s="241" t="str">
        <f>IFERROR(__xludf.DUMMYFUNCTION("""COMPUTED_VALUE"""),"Arma Grandona")</f>
        <v>Arma Grandona</v>
      </c>
      <c r="B36" s="241"/>
      <c r="C36" s="241" t="str">
        <f>IFERROR(__xludf.DUMMYFUNCTION("""COMPUTED_VALUE"""),"Estrela Noturna")</f>
        <v>Estrela Noturna</v>
      </c>
      <c r="D36" s="241"/>
      <c r="E36" s="241" t="str">
        <f>IFERROR(__xludf.DUMMYFUNCTION("""COMPUTED_VALUE"""),"Labrys de Hefesto")</f>
        <v>Labrys de Hefesto</v>
      </c>
      <c r="F36" s="241"/>
      <c r="G36" s="241" t="str">
        <f>IFERROR(__xludf.DUMMYFUNCTION("""COMPUTED_VALUE"""),"Pilgrim Blunderbus")</f>
        <v>Pilgrim Blunderbus</v>
      </c>
      <c r="H36" s="241"/>
      <c r="I36" s="241" t="str">
        <f>IFERROR(__xludf.DUMMYFUNCTION("""COMPUTED_VALUE"""),"Arma Grandona")</f>
        <v>Arma Grandona</v>
      </c>
      <c r="J36" s="241"/>
      <c r="K36" s="241"/>
      <c r="L36" s="242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2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2"/>
    </row>
    <row r="37" hidden="1">
      <c r="A37" s="241" t="str">
        <f>IFERROR(__xludf.DUMMYFUNCTION("""COMPUTED_VALUE"""),"Lança Estacas")</f>
        <v>Lança Estacas</v>
      </c>
      <c r="B37" s="241"/>
      <c r="C37" s="241" t="str">
        <f>IFERROR(__xludf.DUMMYFUNCTION("""COMPUTED_VALUE"""),"Cem-Toneladas")</f>
        <v>Cem-Toneladas</v>
      </c>
      <c r="D37" s="241"/>
      <c r="E37" s="241" t="str">
        <f>IFERROR(__xludf.DUMMYFUNCTION("""COMPUTED_VALUE"""),"Forseti's Axe")</f>
        <v>Forseti's Axe</v>
      </c>
      <c r="F37" s="241"/>
      <c r="G37" s="241" t="str">
        <f>IFERROR(__xludf.DUMMYFUNCTION("""COMPUTED_VALUE"""),"Pistola de Pirata")</f>
        <v>Pistola de Pirata</v>
      </c>
      <c r="H37" s="241"/>
      <c r="I37" s="241" t="str">
        <f>IFERROR(__xludf.DUMMYFUNCTION("""COMPUTED_VALUE"""),"Lança Estacas")</f>
        <v>Lança Estacas</v>
      </c>
      <c r="J37" s="241"/>
      <c r="K37" s="241"/>
      <c r="L37" s="242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2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2"/>
    </row>
    <row r="38" hidden="1">
      <c r="A38" s="241" t="str">
        <f>IFERROR(__xludf.DUMMYFUNCTION("""COMPUTED_VALUE"""),"Disparo do Demônio")</f>
        <v>Disparo do Demônio</v>
      </c>
      <c r="B38" s="241"/>
      <c r="C38" s="241" t="str">
        <f>IFERROR(__xludf.DUMMYFUNCTION("""COMPUTED_VALUE"""),"Esmagador")</f>
        <v>Esmagador</v>
      </c>
      <c r="D38" s="241"/>
      <c r="E38" s="241" t="str">
        <f>IFERROR(__xludf.DUMMYFUNCTION("""COMPUTED_VALUE"""),"Estrela D'alva")</f>
        <v>Estrela D'alva</v>
      </c>
      <c r="F38" s="241"/>
      <c r="G38" s="241" t="str">
        <f>IFERROR(__xludf.DUMMYFUNCTION("""COMPUTED_VALUE"""),"Arma Grandona")</f>
        <v>Arma Grandona</v>
      </c>
      <c r="H38" s="241"/>
      <c r="I38" s="241" t="str">
        <f>IFERROR(__xludf.DUMMYFUNCTION("""COMPUTED_VALUE"""),"Disparo do Demônio")</f>
        <v>Disparo do Demônio</v>
      </c>
      <c r="J38" s="241"/>
      <c r="K38" s="241"/>
      <c r="L38" s="242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2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2"/>
    </row>
    <row r="39" hidden="1">
      <c r="A39" s="241" t="str">
        <f>IFERROR(__xludf.DUMMYFUNCTION("""COMPUTED_VALUE"""),"Dragon Fire")</f>
        <v>Dragon Fire</v>
      </c>
      <c r="B39" s="241"/>
      <c r="C39" s="241" t="str">
        <f>IFERROR(__xludf.DUMMYFUNCTION("""COMPUTED_VALUE"""),"Amaciador")</f>
        <v>Amaciador</v>
      </c>
      <c r="D39" s="241"/>
      <c r="E39" s="241" t="str">
        <f>IFERROR(__xludf.DUMMYFUNCTION("""COMPUTED_VALUE"""),"Tronco de árvore")</f>
        <v>Tronco de árvore</v>
      </c>
      <c r="F39" s="241"/>
      <c r="G39" s="241" t="str">
        <f>IFERROR(__xludf.DUMMYFUNCTION("""COMPUTED_VALUE"""),"Lança Estacas")</f>
        <v>Lança Estacas</v>
      </c>
      <c r="H39" s="241"/>
      <c r="I39" s="241" t="str">
        <f>IFERROR(__xludf.DUMMYFUNCTION("""COMPUTED_VALUE"""),"Dragon Fire")</f>
        <v>Dragon Fire</v>
      </c>
      <c r="J39" s="241"/>
      <c r="K39" s="241"/>
      <c r="L39" s="242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2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2"/>
    </row>
    <row r="40" hidden="1">
      <c r="A40" s="241" t="str">
        <f>IFERROR(__xludf.DUMMYFUNCTION("""COMPUTED_VALUE"""),"Arma Pirata")</f>
        <v>Arma Pirata</v>
      </c>
      <c r="B40" s="241"/>
      <c r="C40" s="241" t="str">
        <f>IFERROR(__xludf.DUMMYFUNCTION("""COMPUTED_VALUE"""),"Rainmakers")</f>
        <v>Rainmakers</v>
      </c>
      <c r="D40" s="241"/>
      <c r="E40" s="241" t="str">
        <f>IFERROR(__xludf.DUMMYFUNCTION("""COMPUTED_VALUE"""),"Martelo-Punho")</f>
        <v>Martelo-Punho</v>
      </c>
      <c r="F40" s="241"/>
      <c r="G40" s="241" t="str">
        <f>IFERROR(__xludf.DUMMYFUNCTION("""COMPUTED_VALUE"""),"Disparo do Demônio")</f>
        <v>Disparo do Demônio</v>
      </c>
      <c r="H40" s="241"/>
      <c r="I40" s="241" t="str">
        <f>IFERROR(__xludf.DUMMYFUNCTION("""COMPUTED_VALUE"""),"Arma Pirata")</f>
        <v>Arma Pirata</v>
      </c>
      <c r="J40" s="241"/>
      <c r="K40" s="241"/>
      <c r="L40" s="242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2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2"/>
    </row>
    <row r="41" hidden="1">
      <c r="A41" s="241"/>
      <c r="B41" s="241"/>
      <c r="C41" s="241" t="str">
        <f>IFERROR(__xludf.DUMMYFUNCTION("""COMPUTED_VALUE"""),"Shattering Core")</f>
        <v>Shattering Core</v>
      </c>
      <c r="D41" s="241"/>
      <c r="E41" s="241" t="str">
        <f>IFERROR(__xludf.DUMMYFUNCTION("""COMPUTED_VALUE"""),"Cetro Real")</f>
        <v>Cetro Real</v>
      </c>
      <c r="F41" s="241"/>
      <c r="G41" s="241" t="str">
        <f>IFERROR(__xludf.DUMMYFUNCTION("""COMPUTED_VALUE"""),"Dragon Fire")</f>
        <v>Dragon Fire</v>
      </c>
      <c r="H41" s="241"/>
      <c r="I41" s="241"/>
      <c r="J41" s="241"/>
      <c r="K41" s="241"/>
      <c r="L41" s="242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2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</row>
    <row r="42" hidden="1">
      <c r="A42" s="241"/>
      <c r="B42" s="241"/>
      <c r="C42" s="241" t="str">
        <f>IFERROR(__xludf.DUMMYFUNCTION("""COMPUTED_VALUE"""),"Pharaoh Flail")</f>
        <v>Pharaoh Flail</v>
      </c>
      <c r="D42" s="241"/>
      <c r="E42" s="241" t="str">
        <f>IFERROR(__xludf.DUMMYFUNCTION("""COMPUTED_VALUE"""),"Martelo Relíquia")</f>
        <v>Martelo Relíquia</v>
      </c>
      <c r="F42" s="241"/>
      <c r="G42" s="241" t="str">
        <f>IFERROR(__xludf.DUMMYFUNCTION("""COMPUTED_VALUE"""),"Arma Pirata")</f>
        <v>Arma Pirata</v>
      </c>
      <c r="H42" s="241"/>
      <c r="I42" s="241"/>
      <c r="J42" s="241"/>
      <c r="K42" s="241"/>
      <c r="L42" s="242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2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2"/>
    </row>
    <row r="43" hidden="1">
      <c r="A43" s="241"/>
      <c r="B43" s="241"/>
      <c r="C43" s="241"/>
      <c r="D43" s="241"/>
      <c r="E43" s="241" t="str">
        <f>IFERROR(__xludf.DUMMYFUNCTION("""COMPUTED_VALUE"""),"Apocalipto")</f>
        <v>Apocalipto</v>
      </c>
      <c r="F43" s="241"/>
      <c r="G43" s="241"/>
      <c r="H43" s="241"/>
      <c r="I43" s="241"/>
      <c r="J43" s="241"/>
      <c r="K43" s="241"/>
      <c r="L43" s="242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2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2"/>
    </row>
    <row r="44" hidden="1">
      <c r="A44" s="241"/>
      <c r="B44" s="241"/>
      <c r="C44" s="241"/>
      <c r="D44" s="241"/>
      <c r="E44" s="241" t="str">
        <f>IFERROR(__xludf.DUMMYFUNCTION("""COMPUTED_VALUE"""),"Estrela Noturna")</f>
        <v>Estrela Noturna</v>
      </c>
      <c r="F44" s="241"/>
      <c r="G44" s="241"/>
      <c r="H44" s="241"/>
      <c r="I44" s="241"/>
      <c r="J44" s="241"/>
      <c r="K44" s="241"/>
      <c r="L44" s="242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2"/>
    </row>
    <row r="45" hidden="1">
      <c r="A45" s="241"/>
      <c r="B45" s="241"/>
      <c r="C45" s="241"/>
      <c r="D45" s="241"/>
      <c r="E45" s="241" t="str">
        <f>IFERROR(__xludf.DUMMYFUNCTION("""COMPUTED_VALUE"""),"Cem-Toneladas")</f>
        <v>Cem-Toneladas</v>
      </c>
      <c r="F45" s="241"/>
      <c r="G45" s="241"/>
      <c r="H45" s="241"/>
      <c r="I45" s="241"/>
      <c r="J45" s="241"/>
      <c r="K45" s="241"/>
      <c r="L45" s="242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2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2"/>
    </row>
    <row r="46" hidden="1">
      <c r="A46" s="241"/>
      <c r="B46" s="241"/>
      <c r="C46" s="241"/>
      <c r="D46" s="241"/>
      <c r="E46" s="241" t="str">
        <f>IFERROR(__xludf.DUMMYFUNCTION("""COMPUTED_VALUE"""),"Esmagador")</f>
        <v>Esmagador</v>
      </c>
      <c r="F46" s="241"/>
      <c r="G46" s="241"/>
      <c r="H46" s="241"/>
      <c r="I46" s="241"/>
      <c r="J46" s="241"/>
      <c r="K46" s="241"/>
      <c r="L46" s="242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2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2"/>
    </row>
    <row r="47" hidden="1">
      <c r="A47" s="241"/>
      <c r="B47" s="241"/>
      <c r="C47" s="241"/>
      <c r="D47" s="241"/>
      <c r="E47" s="241" t="str">
        <f>IFERROR(__xludf.DUMMYFUNCTION("""COMPUTED_VALUE"""),"Amaciador")</f>
        <v>Amaciador</v>
      </c>
      <c r="F47" s="241"/>
      <c r="G47" s="241"/>
      <c r="H47" s="241"/>
      <c r="I47" s="241"/>
      <c r="J47" s="241"/>
      <c r="K47" s="241"/>
      <c r="L47" s="242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2"/>
    </row>
    <row r="48" hidden="1">
      <c r="A48" s="241"/>
      <c r="B48" s="241"/>
      <c r="C48" s="241"/>
      <c r="D48" s="241"/>
      <c r="E48" s="241" t="str">
        <f>IFERROR(__xludf.DUMMYFUNCTION("""COMPUTED_VALUE"""),"Rainmakers")</f>
        <v>Rainmakers</v>
      </c>
      <c r="F48" s="241"/>
      <c r="G48" s="241"/>
      <c r="H48" s="241"/>
      <c r="I48" s="241"/>
      <c r="J48" s="241"/>
      <c r="K48" s="241"/>
      <c r="L48" s="242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2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2"/>
    </row>
    <row r="49" hidden="1">
      <c r="A49" s="241"/>
      <c r="B49" s="241"/>
      <c r="C49" s="241"/>
      <c r="D49" s="241"/>
      <c r="E49" s="241" t="str">
        <f>IFERROR(__xludf.DUMMYFUNCTION("""COMPUTED_VALUE"""),"Shattering Core")</f>
        <v>Shattering Core</v>
      </c>
      <c r="F49" s="241"/>
      <c r="G49" s="241"/>
      <c r="H49" s="241"/>
      <c r="I49" s="241"/>
      <c r="J49" s="241"/>
      <c r="K49" s="241"/>
      <c r="L49" s="242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2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2"/>
    </row>
    <row r="50" hidden="1">
      <c r="A50" s="241"/>
      <c r="B50" s="241"/>
      <c r="C50" s="241"/>
      <c r="D50" s="241"/>
      <c r="E50" s="241" t="str">
        <f>IFERROR(__xludf.DUMMYFUNCTION("""COMPUTED_VALUE"""),"Pharaoh Flail")</f>
        <v>Pharaoh Flail</v>
      </c>
      <c r="F50" s="241"/>
      <c r="G50" s="241"/>
      <c r="H50" s="241"/>
      <c r="I50" s="241"/>
      <c r="J50" s="241"/>
      <c r="K50" s="241"/>
      <c r="L50" s="242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2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2"/>
    </row>
    <row r="51" hidden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2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2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2"/>
    </row>
    <row r="52" hidden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2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2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2"/>
    </row>
    <row r="53" hidden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2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2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2"/>
    </row>
    <row r="54" hidden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2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2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2"/>
    </row>
    <row r="55" hidden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2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2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2"/>
    </row>
    <row r="56" hidden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2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2"/>
    </row>
    <row r="57" hidden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2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2"/>
    </row>
    <row r="58" hidden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2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2"/>
    </row>
    <row r="59" hidden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2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2"/>
    </row>
    <row r="60" hidden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2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2"/>
    </row>
    <row r="61" hidden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2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2"/>
    </row>
    <row r="62" hidden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2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2"/>
    </row>
    <row r="63" hidden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2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2"/>
    </row>
    <row r="64" hidden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2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2"/>
    </row>
    <row r="65" hidden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2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2"/>
    </row>
    <row r="66" hidden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2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2"/>
    </row>
    <row r="67" hidden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2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2"/>
    </row>
    <row r="68" hidden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2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2"/>
    </row>
    <row r="69" hidden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2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2"/>
    </row>
    <row r="70" hidden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2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2"/>
    </row>
    <row r="71" hidden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2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2"/>
    </row>
    <row r="72" hidden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2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2"/>
    </row>
    <row r="73" hidden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2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2"/>
    </row>
    <row r="74" hidden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2"/>
    </row>
    <row r="75" hidden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2"/>
    </row>
    <row r="76" hidden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2"/>
    </row>
    <row r="77" hidden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2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2"/>
    </row>
    <row r="78" hidden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2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2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2"/>
    </row>
    <row r="79" hidden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2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2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2"/>
    </row>
    <row r="80" hidden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2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2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2"/>
    </row>
    <row r="81" hidden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2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2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2"/>
    </row>
    <row r="82" hidden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2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2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2"/>
    </row>
    <row r="83" hidden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2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2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2"/>
    </row>
    <row r="84" hidden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2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2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2"/>
    </row>
    <row r="85" hidden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2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2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2"/>
    </row>
    <row r="86" hidden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2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2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2"/>
    </row>
    <row r="87" hidden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2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2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2"/>
    </row>
    <row r="88" hidden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2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2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2"/>
    </row>
    <row r="89" hidden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2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2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2"/>
    </row>
    <row r="90" hidden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2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2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2"/>
    </row>
    <row r="91" hidden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2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2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2"/>
    </row>
    <row r="92" hidden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2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2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2"/>
    </row>
    <row r="93" hidden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2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2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2"/>
    </row>
    <row r="94" hidden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2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2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2"/>
    </row>
    <row r="95" hidden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2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2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2"/>
    </row>
    <row r="96" hidden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2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2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2"/>
    </row>
    <row r="97" hidden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2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2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2"/>
    </row>
    <row r="98" hidden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2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2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2"/>
    </row>
    <row r="99" hidden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2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2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2"/>
    </row>
    <row r="100" hidden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2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2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2"/>
    </row>
    <row r="101" hidden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2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2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2"/>
    </row>
    <row r="102" hidden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2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2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2"/>
    </row>
    <row r="103" hidden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2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2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2"/>
    </row>
    <row r="104" hidden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2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2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2"/>
    </row>
    <row r="105" hidden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2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2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2"/>
    </row>
    <row r="106" hidden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2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2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2"/>
    </row>
    <row r="107" hidden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2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2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2"/>
    </row>
    <row r="108" hidden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2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2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2"/>
    </row>
    <row r="109" hidden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2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2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2"/>
    </row>
    <row r="110" hidden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2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2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2"/>
    </row>
    <row r="111" hidden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2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2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2"/>
    </row>
    <row r="112" hidden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2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2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2"/>
    </row>
    <row r="113" hidden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2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2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2"/>
    </row>
    <row r="114" hidden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2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2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2"/>
    </row>
    <row r="115" hidden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2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2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2"/>
    </row>
    <row r="116" hidden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2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2"/>
    </row>
    <row r="117" hidden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2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2"/>
    </row>
    <row r="118" hidden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2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2"/>
    </row>
    <row r="119" hidden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2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2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2"/>
    </row>
    <row r="120" hidden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2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2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2"/>
    </row>
    <row r="121" hidden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2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2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2"/>
    </row>
    <row r="122" hidden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2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2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2"/>
    </row>
    <row r="123" hidden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2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2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2"/>
    </row>
    <row r="124" hidden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2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2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2"/>
    </row>
    <row r="125" hidden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2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2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2"/>
    </row>
    <row r="126" hidden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2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2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2"/>
    </row>
    <row r="127" hidden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2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2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2"/>
    </row>
    <row r="128" hidden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2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2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2"/>
    </row>
    <row r="129" hidden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2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2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2"/>
    </row>
    <row r="130" hidden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2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2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2"/>
    </row>
    <row r="131" hidden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2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2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2"/>
    </row>
    <row r="132" hidden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2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2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2"/>
    </row>
    <row r="133" hidden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2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2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2"/>
    </row>
    <row r="134" hidden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2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2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2"/>
    </row>
    <row r="135" hidden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2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2"/>
    </row>
    <row r="136" hidden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2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2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2"/>
    </row>
    <row r="137" hidden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2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2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2"/>
    </row>
    <row r="138" hidden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2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2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2"/>
    </row>
    <row r="139" hidden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2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2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2"/>
    </row>
    <row r="140" hidden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2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2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2"/>
    </row>
    <row r="141" hidden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2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2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2"/>
    </row>
    <row r="142" hidden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2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2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2"/>
    </row>
    <row r="143" hidden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2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2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2"/>
    </row>
    <row r="144" hidden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2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2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2"/>
    </row>
    <row r="145" hidden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2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2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</row>
    <row r="146" hidden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2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2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2"/>
    </row>
    <row r="147" hidden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2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2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2"/>
    </row>
    <row r="148" hidden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2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2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2"/>
    </row>
    <row r="149" hidden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2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2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2"/>
    </row>
    <row r="150" hidden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2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2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2"/>
    </row>
    <row r="151" hidden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2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2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2"/>
    </row>
    <row r="152" hidden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2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2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2"/>
    </row>
    <row r="153" hidden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2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2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2"/>
    </row>
    <row r="154" hidden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2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2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2"/>
    </row>
    <row r="155" hidden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2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2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2"/>
    </row>
    <row r="156" hidden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2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2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2"/>
    </row>
    <row r="157" hidden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2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2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2"/>
    </row>
    <row r="158" hidden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2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2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2"/>
    </row>
    <row r="159" hidden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2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2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2"/>
    </row>
    <row r="160" hidden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2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2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2"/>
    </row>
    <row r="161" hidden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2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2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2"/>
    </row>
    <row r="162" hidden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2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2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2"/>
    </row>
    <row r="163" hidden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2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2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2"/>
    </row>
    <row r="164" hidden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2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2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2"/>
    </row>
    <row r="165" hidden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2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2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2"/>
    </row>
    <row r="166" hidden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2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2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2"/>
    </row>
    <row r="167" hidden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2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2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2"/>
    </row>
    <row r="168" hidden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2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2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2"/>
    </row>
    <row r="169" hidden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2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2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2"/>
    </row>
    <row r="170" hidden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2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2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2"/>
    </row>
    <row r="171" hidden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2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2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2"/>
    </row>
    <row r="172" hidden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2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2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2"/>
    </row>
    <row r="173" hidden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2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2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2"/>
    </row>
    <row r="174" hidden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2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2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2"/>
    </row>
    <row r="175" hidden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2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2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2"/>
    </row>
    <row r="176" hidden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2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2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2"/>
    </row>
    <row r="177" hidden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2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2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2"/>
    </row>
    <row r="178" hidden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2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2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2"/>
    </row>
    <row r="179" hidden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2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2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2"/>
    </row>
    <row r="180" hidden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2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2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2"/>
    </row>
    <row r="181" hidden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2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2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2"/>
    </row>
    <row r="182" hidden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2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2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2"/>
    </row>
    <row r="183" hidden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2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2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2"/>
    </row>
    <row r="184" hidden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2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2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2"/>
    </row>
    <row r="185" hidden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2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2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2"/>
    </row>
    <row r="186" hidden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2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2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2"/>
    </row>
    <row r="187" hidden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2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2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2"/>
    </row>
    <row r="188" hidden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2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2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2"/>
    </row>
    <row r="189" hidden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2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2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2"/>
    </row>
    <row r="190" hidden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2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2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2"/>
    </row>
    <row r="191" hidden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2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2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2"/>
    </row>
    <row r="192" hidden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2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2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2"/>
    </row>
    <row r="193" hidden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2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2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2"/>
    </row>
    <row r="194" hidden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2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2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2"/>
    </row>
    <row r="195" hidden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2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2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2"/>
    </row>
    <row r="196" hidden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2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2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2"/>
    </row>
    <row r="197" hidden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2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2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2"/>
    </row>
    <row r="198" hidden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2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2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2"/>
    </row>
    <row r="199" hidden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2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2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2"/>
    </row>
    <row r="200" hidden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2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2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2"/>
    </row>
    <row r="201" hidden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2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2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2"/>
    </row>
    <row r="202" hidden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2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2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2"/>
    </row>
    <row r="203" hidden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2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2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2"/>
    </row>
    <row r="204" hidden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2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2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2"/>
    </row>
    <row r="205" hidden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2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2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2"/>
    </row>
    <row r="206" hidden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2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2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2"/>
    </row>
    <row r="207" hidden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2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2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2"/>
    </row>
    <row r="208" hidden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2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2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2"/>
    </row>
    <row r="209" hidden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2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2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2"/>
    </row>
    <row r="210" hidden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2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2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2"/>
    </row>
    <row r="211" hidden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2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2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2"/>
    </row>
    <row r="212" hidden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2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2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2"/>
    </row>
    <row r="213" hidden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2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2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2"/>
    </row>
    <row r="214" hidden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2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2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2"/>
    </row>
    <row r="215" hidden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2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2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2"/>
    </row>
    <row r="216" hidden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2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2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2"/>
    </row>
    <row r="217" hidden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2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2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2"/>
    </row>
    <row r="218" hidden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2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2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2"/>
    </row>
    <row r="219" hidden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2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2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2"/>
    </row>
    <row r="220" hidden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2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2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2"/>
    </row>
    <row r="221" hidden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2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2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2"/>
    </row>
    <row r="222" hidden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2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2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2"/>
    </row>
    <row r="223" hidden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2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2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2"/>
    </row>
    <row r="224" hidden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2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2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2"/>
    </row>
    <row r="225" hidden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2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2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2"/>
    </row>
    <row r="226" hidden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2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2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2"/>
    </row>
    <row r="227" hidden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2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2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2"/>
    </row>
    <row r="228" hidden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2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2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2"/>
    </row>
    <row r="229" hidden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2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2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2"/>
    </row>
    <row r="230" hidden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2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2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2"/>
    </row>
    <row r="231" hidden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2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2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2"/>
    </row>
    <row r="232" hidden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2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2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2"/>
    </row>
    <row r="233" hidden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2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2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2"/>
    </row>
    <row r="234" hidden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2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2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2"/>
    </row>
    <row r="235" hidden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2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2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2"/>
    </row>
    <row r="236" hidden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2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2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2"/>
    </row>
    <row r="237" hidden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2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2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2"/>
    </row>
    <row r="238" hidden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2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2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2"/>
    </row>
    <row r="239" hidden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2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2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2"/>
    </row>
    <row r="240" hidden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2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2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2"/>
    </row>
    <row r="241" hidden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2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2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2"/>
    </row>
    <row r="242" hidden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2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2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2"/>
    </row>
    <row r="243" hidden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2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2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2"/>
    </row>
    <row r="244" hidden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2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2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2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2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2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2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2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2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2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2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2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2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2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2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2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2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2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2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2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2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2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2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2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2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2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2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2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2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2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2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2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2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2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2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2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2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2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2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2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2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2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2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2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2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2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2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2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2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2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2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2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2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2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2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2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2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2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2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2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2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2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2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2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2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2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2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2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2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2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2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2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2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2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2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2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2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2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2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2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2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2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2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2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2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2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2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2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2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2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2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2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2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2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2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2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2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2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2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2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2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2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2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2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2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2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2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2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2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2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2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2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2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2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2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2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2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2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2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2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2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2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2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2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2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2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2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2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2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2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2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2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2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2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2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2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2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2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2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2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2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2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2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2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2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2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2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2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2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2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2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2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2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2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2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2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2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2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2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2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2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2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2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2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2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2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2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2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2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2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2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2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2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2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2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2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2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2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2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2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2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2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2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2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2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2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2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2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2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2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2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2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2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2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2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2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2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2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2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2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2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2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2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2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2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2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2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2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2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2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2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2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2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2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2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2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2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2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2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2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2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2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2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2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2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2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2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2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2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2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2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2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2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2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2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2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2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2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2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2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2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2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2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2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2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2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2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2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2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2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2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2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2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2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2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2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2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2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2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2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2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2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2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2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2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2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2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2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2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2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2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2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2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2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2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2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2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2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2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2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2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2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2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2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2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2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2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2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2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2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2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2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2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2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2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2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2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2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2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2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2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2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2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2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2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2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2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2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2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2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2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2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2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2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2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2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2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2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2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2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2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2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2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2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2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2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2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2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2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2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2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2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2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2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2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2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2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2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2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2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2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2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2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2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2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2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2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2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2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2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2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2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2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2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2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2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2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2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2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2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2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2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2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2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2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2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2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2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2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2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2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2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2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2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2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2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2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2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2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2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2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2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2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2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2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2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2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2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2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2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2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2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2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2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2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2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2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2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2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2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2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2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2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2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2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2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2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2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2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2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2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2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2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2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2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2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2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2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2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2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2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2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2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2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2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2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2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2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2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2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2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2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2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2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2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2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2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2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2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2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2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2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2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2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2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2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2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2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2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2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2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2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2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2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2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2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2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2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2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2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2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2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2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2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2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2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2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2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2"/>
    </row>
    <row r="401" hidden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2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2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2"/>
    </row>
    <row r="402" hidden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2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2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2"/>
    </row>
    <row r="403" hidden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2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2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2"/>
    </row>
    <row r="404" hidden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2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2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2"/>
    </row>
    <row r="405" hidden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2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2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2"/>
    </row>
    <row r="406" hidden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2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2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2"/>
    </row>
    <row r="407" hidden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2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2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2"/>
    </row>
    <row r="408" hidden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2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2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2"/>
    </row>
    <row r="409" hidden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2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2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2"/>
    </row>
    <row r="410" hidden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2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2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2"/>
    </row>
    <row r="411" hidden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2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2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2"/>
    </row>
    <row r="412" hidden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2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2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2"/>
    </row>
    <row r="413" hidden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2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2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2"/>
    </row>
    <row r="414" hidden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2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2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2"/>
    </row>
    <row r="415" hidden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2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2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2"/>
    </row>
    <row r="416" hidden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2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2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2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2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2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2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2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2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2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2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2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2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2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2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2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2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2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2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2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2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2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2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2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2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2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2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2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2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2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2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2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2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2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2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2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2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2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2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2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2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2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2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2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2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2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2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2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2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2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2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2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2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2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2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2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2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2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2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2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2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2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2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2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2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2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2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2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2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2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2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2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2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2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2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2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2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2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2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2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2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2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2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2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2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2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2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2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2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2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2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2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2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2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2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2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2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2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2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2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2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2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2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2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2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2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2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2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2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2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2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2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2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2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2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2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2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2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2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2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2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2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2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2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2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2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2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2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2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2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2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2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2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2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2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2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2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2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2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2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2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2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2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2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2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2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2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2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2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2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2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2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2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2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2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2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2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2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2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2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2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2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2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2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2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2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2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2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2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2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2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2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2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2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2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2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2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2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2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2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2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2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2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2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2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2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2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2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2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2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2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2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2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2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2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2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2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2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2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2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2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2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2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2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2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2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2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2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2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2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2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2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2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2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2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2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2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2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2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2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2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2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2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2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2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2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2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2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2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2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2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2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2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2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2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2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2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2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2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2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2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2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2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2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2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2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2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2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2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2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2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2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2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2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2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2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2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2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2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2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2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2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2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2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2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2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2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2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2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2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2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2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2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2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2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2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2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2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2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2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2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2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2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2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2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2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2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2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2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2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2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2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2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2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2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2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2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2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2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2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2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2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2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2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2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2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2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2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2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2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2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2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2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2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2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2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2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2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2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2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2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2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2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2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2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2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2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2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2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2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2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2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2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2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2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2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2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2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2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2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2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2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2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2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2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2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2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2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2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2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2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2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2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2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2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2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2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2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2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2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2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2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2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2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2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2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2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2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2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2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2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2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2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2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2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2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2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2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2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2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2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2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2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2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2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2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2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2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2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2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2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2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2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2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2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2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2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2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2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2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2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2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2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2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2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2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2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2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2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2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2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2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2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2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2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2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2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2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2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2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2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2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2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2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2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2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2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2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2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2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2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2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2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2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2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2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2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2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2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2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2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2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2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2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2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2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2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2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2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2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2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2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2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2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2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2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2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2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2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2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2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2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2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2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2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2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2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2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2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2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2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2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2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2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2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2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2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2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2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2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2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2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2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2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2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2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2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2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2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2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2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2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2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2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2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2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2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2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2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2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2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2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2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2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2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2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2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2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2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2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2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2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2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2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2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2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2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2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2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2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2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2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2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2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2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2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2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2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2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2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2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2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2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2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2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2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2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2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2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2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2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2"/>
    </row>
    <row r="597" hidden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2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2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2"/>
    </row>
    <row r="598" hidden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2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2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2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  <c r="AA599" s="242"/>
      <c r="AB599" s="242"/>
      <c r="AC599" s="242"/>
      <c r="AD599" s="242"/>
      <c r="AE599" s="242"/>
      <c r="AF599" s="242"/>
      <c r="AG599" s="242"/>
      <c r="AH599" s="242"/>
      <c r="AI599" s="242"/>
      <c r="AJ599" s="242"/>
    </row>
    <row r="600">
      <c r="A600" s="241" t="str">
        <f>IFERROR(__xludf.DUMMYFUNCTION("if('Time 3'!C3 = ""Albert"", query(IMPORTRANGE(cd_planilha, ""Armas!B3:G""), ""Select Col1 Where Col2 = '""&amp;Personagem!$B$10&amp;""' or Col2 = '""&amp;Personagem!$B$11&amp;""'""),     
if('Time 3'!C3 = ""Alicia"", query(IMPORTRANGE(cd_planilha, ""Armas!B3:G""), ""Sel"&amp;"ect Col1 Where Col2 = '""&amp;Personagem!$C$10&amp;""' or Col2 = '""&amp;Personagem!$C$11&amp;""'""),
if('Time 3'!C3 = ""Azula"", query(IMPORTRANGE(cd_planilha, ""Armas!B3:G""), ""Select Col1 Where Col2 = '""&amp;Personagem!$D$10&amp;""' or Col2 = '""&amp;Personagem!$D$11&amp;""' ""),
i"&amp;"f('Time 3'!C3 = ""Charles"", query(IMPORTRANGE(cd_planilha, ""Armas!B3:G""), ""Select Col1 Where Col2 = '""&amp;Personagem!$E$10&amp;""' or Col2 = '""&amp;Personagem!$E$11&amp;""'""),
if('Time 3'!C3 = ""Clovis"", query(IMPORTRANGE(cd_planilha, ""Armas!B3:G""), ""Select C"&amp;"ol1 Where Col2 = '""&amp;Personagem!$F$10&amp;""' or Col2 = '""&amp;Personagem!$F$11&amp;""' ""),
if('Time 3'!C3 = ""Darthos"", query(IMPORTRANGE(cd_planilha, ""Armas!B3:G""), ""Select Col1 Where Col2 = '""&amp;Personagem!$G$10&amp;""' or Col2 = '""&amp;Personagem!$G$11&amp;""'""),
if('"&amp;"Time 3'!C3 = ""Edward"", query(IMPORTRANGE(cd_planilha, ""Armas!B3:G""), ""Select Col1 Where Col2 = '""&amp;Personagem!$H$10&amp;""' or Col2 = '""&amp;Personagem!$H$11&amp;""' ""),
if('Time 3'!C3 = ""Fiora"", query(IMPORTRANGE(cd_planilha, ""Armas!B3:G""), ""Select Col1 "&amp;"Where Col2 = '""&amp;Personagem!$I$10&amp;""' or Col2 = '""&amp;Personagem!$I$11&amp;""' ""),
if('Time 3'!C3 = ""Francesca"", query(IMPORTRANGE(cd_planilha, ""Armas!B3:G""), ""Select Col1 Where Col2 = '""&amp;Personagem!$J$10&amp;""' or Col2 = '""&amp;Personagem!$J$11&amp;""'""),
if('Ti"&amp;"me 3'!C3 = ""Garreth"", query(IMPORTRANGE(cd_planilha, ""Armas!B3:G""), ""Select Col1 Where Col2 = '""&amp;Personagem!$K$10&amp;""' or Col2 = '""&amp;Personagem!$K$11&amp;""'""),
if('Time 3'!C3 = ""Gauvin"", query(IMPORTRANGE(cd_planilha, ""Armas!B3:G""), ""Select Col1 W"&amp;"here Col2 = '""&amp;Personagem!$L$10&amp;""' or Col2 = '""&amp;Personagem!$L$11&amp;""' ""),
if('Time 3'!C3 = ""Irene"", query(IMPORTRANGE(cd_planilha, ""Armas!B3:G""), ""Select Col1 Where Col2 = '""&amp;Personagem!$M$10&amp;""' or Col2 = '""&amp;Personagem!$M$11&amp;""' ""),
if('Time 3"&amp;"'!C3 = ""Karal"", query(IMPORTRANGE(cd_planilha, ""Armas!B3:G""), ""Select Col1 Where Col2 = '""&amp;Personagem!$N$10&amp;""' or Col2 = '""&amp;Personagem!$N$11&amp;""' ""),
if('Time 3'!C3 = ""Kuro Shobi"", query(IMPORTRANGE(cd_planilha, ""Armas!B3:G""), ""Select Col1 Wh"&amp;"ere Col2 = '""&amp;Personagem!$O$10&amp;""' or Col2 = '""&amp;Personagem!$O$11&amp;""'""),
if('Time 3'!C3 = ""Kurul"", query(IMPORTRANGE(cd_planilha, ""Armas!B3:G""), ""Select Col1 Where Col2 = '""&amp;Personagem!$P$10&amp;""' or Col2 = '""&amp;Personagem!$P$11&amp;""' ""),
if('Time 3'!"&amp;"C3 = ""Lancaster"", query(IMPORTRANGE(cd_planilha, ""Armas!B3:G""), ""Select Col1 Where Col2 = '""&amp;Personagem!$Q$10&amp;""' or Col2 = '""&amp;Personagem!$Q$11&amp;""'""),
if('Time 3'!C3 = ""Lorelei"", query(IMPORTRANGE(cd_planilha, ""Armas!B3:G""), ""Select Col1 Wher"&amp;"e Col2 = '""&amp;Personagem!$R$10&amp;""' or Col2 = '""&amp;Personagem!$R$11&amp;""' ""),
if('Time 3'!C3 = ""Louca"", query(IMPORTRANGE(cd_planilha, ""Armas!B3:G""), ""Select Col1 Where Col2 = '""&amp;Personagem!$S$10&amp;""' or Col2 = '""&amp;Personagem!$S$11&amp;""' ""),
if('Time 3'!C"&amp;"3 = ""Melina"", query(IMPORTRANGE(cd_planilha, ""Armas!B3:G""), ""Select Col1 Where Col2 = '""&amp;Personagem!$T$10&amp;""' or Col2 = '""&amp;Personagem!$T$11&amp;""'""),
if('Time 3'!C3 = ""Mila"", query(IMPORTRANGE(cd_planilha, ""Armas!B3:G""), ""Select Col1 Where Col2 "&amp;"= '""&amp;Personagem!$U$10&amp;""' or Col2 = '""&amp;Personagem!$U$11&amp;""' ""),
if('Time 3'!C3 = ""Minh"", query(IMPORTRANGE(cd_planilha, ""Armas!B3:G""), ""Select Col1 Where Col2 = '""&amp;Personagem!$V$10&amp;""' or Col2 = '""&amp;Personagem!$V$11&amp;""' ""),
if('Time 3'!C3 = ""Mo"&amp;"jian"", query(IMPORTRANGE(cd_planilha, ""Armas!B3:G""), ""Select Col1 Where Col2 = '""&amp;Personagem!$W$10&amp;""' or Col2 = '""&amp;Personagem!$W$11&amp;""'""),
if('Time 3'!C3 = ""Nya"", query(IMPORTRANGE(cd_planilha, ""Armas!B3:G""), ""Select Col1 Where Col2 = '""&amp;Per"&amp;"sonagem!$X$10&amp;""' or Col2 = '""&amp;Personagem!$X$11&amp;""' ""),
if('Time 3'!C3 = ""Odette"", query(IMPORTRANGE(cd_planilha, ""Armas!B3:G""), ""Select Col1 Where Col2 = '""&amp;Personagem!$Y$10&amp;""' or Col2 = '""&amp;Personagem!$Y$11&amp;""'""),
if('Time 3'!C3 = ""Oneira"", "&amp;"query(IMPORTRANGE(cd_planilha, ""Armas!B3:G""), ""Select Col1 Where Col2 = '""&amp;Personagem!$Z$10&amp;""' or Col2 = '""&amp;Personagem!$Z$11&amp;""' ""),
if('Time 3'!C3 = ""Palash"", query(IMPORTRANGE(cd_planilha, ""Armas!B3:G""), ""Select Col1 Where Col2 = '""&amp;Persona"&amp;"gem!$AA$10&amp;""' or Col2 = '""&amp;Personagem!$AA$11&amp;""'""),
if('Time 3'!C3 = ""Theor"", query(IMPORTRANGE(cd_planilha, ""Armas!B3:G""), ""Select Col1 Where Col2 = '""&amp;Personagem!$AB$10&amp;""' or Col2 = '""&amp;Personagem!$AB$11&amp;""' ""),
if('Time 3'!C3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B600" s="241"/>
      <c r="C600" s="241" t="str">
        <f>IFERROR(__xludf.DUMMYFUNCTION("if('Time 3'!C4 = ""Albert"", query(IMPORTRANGE(cd_planilha, ""Armas!B3:G""), ""Select Col1 Where Col2 = '""&amp;Personagem!$B$10&amp;""' or Col2 = '""&amp;Personagem!$B$11&amp;""'""),     
if('Time 3'!C4 = ""Alicia"", query(IMPORTRANGE(cd_planilha, ""Armas!B3:G""), ""Sel"&amp;"ect Col1 Where Col2 = '""&amp;Personagem!$C$10&amp;""' or Col2 = '""&amp;Personagem!$C$11&amp;""'""),
if('Time 3'!C4 = ""Azula"", query(IMPORTRANGE(cd_planilha, ""Armas!B3:G""), ""Select Col1 Where Col2 = '""&amp;Personagem!$D$10&amp;""' or Col2 = '""&amp;Personagem!$D$11&amp;""' ""),
i"&amp;"f('Time 3'!C4 = ""Charles"", query(IMPORTRANGE(cd_planilha, ""Armas!B3:G""), ""Select Col1 Where Col2 = '""&amp;Personagem!$E$10&amp;""' or Col2 = '""&amp;Personagem!$E$11&amp;""'""),
if('Time 3'!C4 = ""Clovis"", query(IMPORTRANGE(cd_planilha, ""Armas!B3:G""), ""Select C"&amp;"ol1 Where Col2 = '""&amp;Personagem!$F$10&amp;""' or Col2 = '""&amp;Personagem!$F$11&amp;""' ""),
if('Time 3'!C4 = ""Darthos"", query(IMPORTRANGE(cd_planilha, ""Armas!B3:G""), ""Select Col1 Where Col2 = '""&amp;Personagem!$G$10&amp;""' or Col2 = '""&amp;Personagem!$G$11&amp;""'""),
if('"&amp;"Time 3'!C4 = ""Edward"", query(IMPORTRANGE(cd_planilha, ""Armas!B3:G""), ""Select Col1 Where Col2 = '""&amp;Personagem!$H$10&amp;""' or Col2 = '""&amp;Personagem!$H$11&amp;""' ""),
if('Time 3'!C4 = ""Fiora"", query(IMPORTRANGE(cd_planilha, ""Armas!B3:G""), ""Select Col1 "&amp;"Where Col2 = '""&amp;Personagem!$I$10&amp;""' or Col2 = '""&amp;Personagem!$I$11&amp;""' ""),
if('Time 3'!C4 = ""Francesca"", query(IMPORTRANGE(cd_planilha, ""Armas!B3:G""), ""Select Col1 Where Col2 = '""&amp;Personagem!$J$10&amp;""' or Col2 = '""&amp;Personagem!$J$11&amp;""'""),
if('Ti"&amp;"me 3'!C4 = ""Garreth"", query(IMPORTRANGE(cd_planilha, ""Armas!B3:G""), ""Select Col1 Where Col2 = '""&amp;Personagem!$K$10&amp;""' or Col2 = '""&amp;Personagem!$K$11&amp;""'""),
if('Time 3'!C4 = ""Gauvin"", query(IMPORTRANGE(cd_planilha, ""Armas!B3:G""), ""Select Col1 W"&amp;"here Col2 = '""&amp;Personagem!$L$10&amp;""' or Col2 = '""&amp;Personagem!$L$11&amp;""' ""),
if('Time 3'!C4 = ""Irene"", query(IMPORTRANGE(cd_planilha, ""Armas!B3:G""), ""Select Col1 Where Col2 = '""&amp;Personagem!$M$10&amp;""' or Col2 = '""&amp;Personagem!$M$11&amp;""' ""),
if('Time 3"&amp;"'!C4 = ""Karal"", query(IMPORTRANGE(cd_planilha, ""Armas!B3:G""), ""Select Col1 Where Col2 = '""&amp;Personagem!$N$10&amp;""' or Col2 = '""&amp;Personagem!$N$11&amp;""' ""),
if('Time 3'!C4 = ""Kuro Shobi"", query(IMPORTRANGE(cd_planilha, ""Armas!B3:G""), ""Select Col1 Wh"&amp;"ere Col2 = '""&amp;Personagem!$O$10&amp;""' or Col2 = '""&amp;Personagem!$O$11&amp;""'""),
if('Time 3'!C4 = ""Kurul"", query(IMPORTRANGE(cd_planilha, ""Armas!B3:G""), ""Select Col1 Where Col2 = '""&amp;Personagem!$P$10&amp;""' or Col2 = '""&amp;Personagem!$P$11&amp;""' ""),
if('Time 3'!"&amp;"C4 = ""Lancaster"", query(IMPORTRANGE(cd_planilha, ""Armas!B3:G""), ""Select Col1 Where Col2 = '""&amp;Personagem!$Q$10&amp;""' or Col2 = '""&amp;Personagem!$Q$11&amp;""'""),
if('Time 3'!C4 = ""Lorelei"", query(IMPORTRANGE(cd_planilha, ""Armas!B3:G""), ""Select Col1 Wher"&amp;"e Col2 = '""&amp;Personagem!$R$10&amp;""' or Col2 = '""&amp;Personagem!$R$11&amp;""' ""),
if('Time 3'!C4 = ""Louca"", query(IMPORTRANGE(cd_planilha, ""Armas!B3:G""), ""Select Col1 Where Col2 = '""&amp;Personagem!$S$10&amp;""' or Col2 = '""&amp;Personagem!$S$11&amp;""' ""),
if('Time 3'!C"&amp;"4 = ""Melina"", query(IMPORTRANGE(cd_planilha, ""Armas!B3:G""), ""Select Col1 Where Col2 = '""&amp;Personagem!$T$10&amp;""' or Col2 = '""&amp;Personagem!$T$11&amp;""'""),
if('Time 3'!C4 = ""Mila"", query(IMPORTRANGE(cd_planilha, ""Armas!B3:G""), ""Select Col1 Where Col2 "&amp;"= '""&amp;Personagem!$U$10&amp;""' or Col2 = '""&amp;Personagem!$U$11&amp;""' ""),
if('Time 3'!C4 = ""Minh"", query(IMPORTRANGE(cd_planilha, ""Armas!B3:G""), ""Select Col1 Where Col2 = '""&amp;Personagem!$V$10&amp;""' or Col2 = '""&amp;Personagem!$V$11&amp;""' ""),
if('Time 3'!C4 = ""Mo"&amp;"jian"", query(IMPORTRANGE(cd_planilha, ""Armas!B3:G""), ""Select Col1 Where Col2 = '""&amp;Personagem!$W$10&amp;""' or Col2 = '""&amp;Personagem!$W$11&amp;""'""),
if('Time 3'!C4 = ""Nya"", query(IMPORTRANGE(cd_planilha, ""Armas!B3:G""), ""Select Col1 Where Col2 = '""&amp;Per"&amp;"sonagem!$X$10&amp;""' or Col2 = '""&amp;Personagem!$X$11&amp;""' ""),
if('Time 3'!C4 = ""Odette"", query(IMPORTRANGE(cd_planilha, ""Armas!B3:G""), ""Select Col1 Where Col2 = '""&amp;Personagem!$Y$10&amp;""' or Col2 = '""&amp;Personagem!$Y$11&amp;""'""),
if('Time 3'!C4 = ""Oneira"", "&amp;"query(IMPORTRANGE(cd_planilha, ""Armas!B3:G""), ""Select Col1 Where Col2 = '""&amp;Personagem!$Z$10&amp;""' or Col2 = '""&amp;Personagem!$Z$11&amp;""' ""),
if('Time 3'!C4 = ""Palash"", query(IMPORTRANGE(cd_planilha, ""Armas!B3:G""), ""Select Col1 Where Col2 = '""&amp;Persona"&amp;"gem!$AA$10&amp;""' or Col2 = '""&amp;Personagem!$AA$11&amp;""'""),
if('Time 3'!C4 = ""Theor"", query(IMPORTRANGE(cd_planilha, ""Armas!B3:G""), ""Select Col1 Where Col2 = '""&amp;Personagem!$AB$10&amp;""' or Col2 = '""&amp;Personagem!$AB$11&amp;""' ""),
if('Time 3'!C4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D600" s="241"/>
      <c r="E600" s="241" t="str">
        <f>IFERROR(__xludf.DUMMYFUNCTION("if('Time 3'!C5 = ""Albert"", query(IMPORTRANGE(cd_planilha, ""Armas!B3:G""), ""Select Col1 Where Col2 = '""&amp;Personagem!$B$10&amp;""' or Col2 = '""&amp;Personagem!$B$11&amp;""'""),     
if('Time 3'!C5 = ""Alicia"", query(IMPORTRANGE(cd_planilha, ""Armas!B3:G""), ""Sel"&amp;"ect Col1 Where Col2 = '""&amp;Personagem!$C$10&amp;""' or Col2 = '""&amp;Personagem!$C$11&amp;""'""),
if('Time 3'!C5 = ""Azula"", query(IMPORTRANGE(cd_planilha, ""Armas!B3:G""), ""Select Col1 Where Col2 = '""&amp;Personagem!$D$10&amp;""' or Col2 = '""&amp;Personagem!$D$11&amp;""' ""),
i"&amp;"f('Time 3'!C5 = ""Charles"", query(IMPORTRANGE(cd_planilha, ""Armas!B3:G""), ""Select Col1 Where Col2 = '""&amp;Personagem!$E$10&amp;""' or Col2 = '""&amp;Personagem!$E$11&amp;""'""),
if('Time 3'!C5 = ""Clovis"", query(IMPORTRANGE(cd_planilha, ""Armas!B3:G""), ""Select C"&amp;"ol1 Where Col2 = '""&amp;Personagem!$F$10&amp;""' or Col2 = '""&amp;Personagem!$F$11&amp;""' ""),
if('Time 3'!C5 = ""Darthos"", query(IMPORTRANGE(cd_planilha, ""Armas!B3:G""), ""Select Col1 Where Col2 = '""&amp;Personagem!$G$10&amp;""' or Col2 = '""&amp;Personagem!$G$11&amp;""'""),
if('"&amp;"Time 3'!C5 = ""Edward"", query(IMPORTRANGE(cd_planilha, ""Armas!B3:G""), ""Select Col1 Where Col2 = '""&amp;Personagem!$H$10&amp;""' or Col2 = '""&amp;Personagem!$H$11&amp;""' ""),
if('Time 3'!C5 = ""Fiora"", query(IMPORTRANGE(cd_planilha, ""Armas!B3:G""), ""Select Col1 "&amp;"Where Col2 = '""&amp;Personagem!$I$10&amp;""' or Col2 = '""&amp;Personagem!$I$11&amp;""' ""),
if('Time 3'!C5 = ""Francesca"", query(IMPORTRANGE(cd_planilha, ""Armas!B3:G""), ""Select Col1 Where Col2 = '""&amp;Personagem!$J$10&amp;""' or Col2 = '""&amp;Personagem!$J$11&amp;""'""),
if('Ti"&amp;"me 3'!C5 = ""Garreth"", query(IMPORTRANGE(cd_planilha, ""Armas!B3:G""), ""Select Col1 Where Col2 = '""&amp;Personagem!$K$10&amp;""' or Col2 = '""&amp;Personagem!$K$11&amp;""'""),
if('Time 3'!C5 = ""Gauvin"", query(IMPORTRANGE(cd_planilha, ""Armas!B3:G""), ""Select Col1 W"&amp;"here Col2 = '""&amp;Personagem!$L$10&amp;""' or Col2 = '""&amp;Personagem!$L$11&amp;""' ""),
if('Time 3'!C5 = ""Irene"", query(IMPORTRANGE(cd_planilha, ""Armas!B3:G""), ""Select Col1 Where Col2 = '""&amp;Personagem!$M$10&amp;""' or Col2 = '""&amp;Personagem!$M$11&amp;""' ""),
if('Time 3"&amp;"'!C5 = ""Karal"", query(IMPORTRANGE(cd_planilha, ""Armas!B3:G""), ""Select Col1 Where Col2 = '""&amp;Personagem!$N$10&amp;""' or Col2 = '""&amp;Personagem!$N$11&amp;""' ""),
if('Time 3'!C5 = ""Kuro Shobi"", query(IMPORTRANGE(cd_planilha, ""Armas!B3:G""), ""Select Col1 Wh"&amp;"ere Col2 = '""&amp;Personagem!$O$10&amp;""' or Col2 = '""&amp;Personagem!$O$11&amp;""'""),
if('Time 3'!C5 = ""Kurul"", query(IMPORTRANGE(cd_planilha, ""Armas!B3:G""), ""Select Col1 Where Col2 = '""&amp;Personagem!$P$10&amp;""' or Col2 = '""&amp;Personagem!$P$11&amp;""' ""),
if('Time 3'!"&amp;"C5 = ""Lancaster"", query(IMPORTRANGE(cd_planilha, ""Armas!B3:G""), ""Select Col1 Where Col2 = '""&amp;Personagem!$Q$10&amp;""' or Col2 = '""&amp;Personagem!$Q$11&amp;""'""),
if('Time 3'!C5 = ""Lorelei"", query(IMPORTRANGE(cd_planilha, ""Armas!B3:G""), ""Select Col1 Wher"&amp;"e Col2 = '""&amp;Personagem!$R$10&amp;""' or Col2 = '""&amp;Personagem!$R$11&amp;""' ""),
if('Time 3'!C5 = ""Louca"", query(IMPORTRANGE(cd_planilha, ""Armas!B3:G""), ""Select Col1 Where Col2 = '""&amp;Personagem!$S$10&amp;""' or Col2 = '""&amp;Personagem!$S$11&amp;""' ""),
if('Time 3'!C"&amp;"5 = ""Melina"", query(IMPORTRANGE(cd_planilha, ""Armas!B3:G""), ""Select Col1 Where Col2 = '""&amp;Personagem!$T$10&amp;""' or Col2 = '""&amp;Personagem!$T$11&amp;""'""),
if('Time 3'!C5 = ""Mila"", query(IMPORTRANGE(cd_planilha, ""Armas!B3:G""), ""Select Col1 Where Col2 "&amp;"= '""&amp;Personagem!$U$10&amp;""' or Col2 = '""&amp;Personagem!$U$11&amp;""' ""),
if('Time 3'!C5 = ""Minh"", query(IMPORTRANGE(cd_planilha, ""Armas!B3:G""), ""Select Col1 Where Col2 = '""&amp;Personagem!$V$10&amp;""' or Col2 = '""&amp;Personagem!$V$11&amp;""' ""),
if('Time 3'!C5 = ""Mo"&amp;"jian"", query(IMPORTRANGE(cd_planilha, ""Armas!B3:G""), ""Select Col1 Where Col2 = '""&amp;Personagem!$W$10&amp;""' or Col2 = '""&amp;Personagem!$W$11&amp;""'""),
if('Time 3'!C5 = ""Nya"", query(IMPORTRANGE(cd_planilha, ""Armas!B3:G""), ""Select Col1 Where Col2 = '""&amp;Per"&amp;"sonagem!$X$10&amp;""' or Col2 = '""&amp;Personagem!$X$11&amp;""' ""),
if('Time 3'!C5 = ""Odette"", query(IMPORTRANGE(cd_planilha, ""Armas!B3:G""), ""Select Col1 Where Col2 = '""&amp;Personagem!$Y$10&amp;""' or Col2 = '""&amp;Personagem!$Y$11&amp;""'""),
if('Time 3'!C5 = ""Oneira"", "&amp;"query(IMPORTRANGE(cd_planilha, ""Armas!B3:G""), ""Select Col1 Where Col2 = '""&amp;Personagem!$Z$10&amp;""' or Col2 = '""&amp;Personagem!$Z$11&amp;""' ""),
if('Time 3'!C5 = ""Palash"", query(IMPORTRANGE(cd_planilha, ""Armas!B3:G""), ""Select Col1 Where Col2 = '""&amp;Persona"&amp;"gem!$AA$10&amp;""' or Col2 = '""&amp;Personagem!$AA$11&amp;""'""),
if('Time 3'!C5 = ""Theor"", query(IMPORTRANGE(cd_planilha, ""Armas!B3:G""), ""Select Col1 Where Col2 = '""&amp;Personagem!$AB$10&amp;""' or Col2 = '""&amp;Personagem!$AB$11&amp;""' ""),
if('Time 3'!C5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F600" s="241"/>
      <c r="G600" s="241" t="str">
        <f>IFERROR(__xludf.DUMMYFUNCTION("if('Time 3'!C6 = ""Albert"", query(IMPORTRANGE(cd_planilha, ""Armas!B3:G""), ""Select Col1 Where Col2 = '""&amp;Personagem!$B$10&amp;""' or Col2 = '""&amp;Personagem!$B$11&amp;""'""),     
if('Time 3'!C6 = ""Alicia"", query(IMPORTRANGE(cd_planilha, ""Armas!B3:G""), ""Sel"&amp;"ect Col1 Where Col2 = '""&amp;Personagem!$C$10&amp;""' or Col2 = '""&amp;Personagem!$C$11&amp;""'""),
if('Time 3'!C6 = ""Azula"", query(IMPORTRANGE(cd_planilha, ""Armas!B3:G""), ""Select Col1 Where Col2 = '""&amp;Personagem!$D$10&amp;""' or Col2 = '""&amp;Personagem!$D$11&amp;""' ""),
i"&amp;"f('Time 3'!C6 = ""Charles"", query(IMPORTRANGE(cd_planilha, ""Armas!B3:G""), ""Select Col1 Where Col2 = '""&amp;Personagem!$E$10&amp;""' or Col2 = '""&amp;Personagem!$E$11&amp;""'""),
if('Time 3'!C6 = ""Clovis"", query(IMPORTRANGE(cd_planilha, ""Armas!B3:G""), ""Select C"&amp;"ol1 Where Col2 = '""&amp;Personagem!$F$10&amp;""' or Col2 = '""&amp;Personagem!$F$11&amp;""' ""),
if('Time 3'!C6 = ""Darthos"", query(IMPORTRANGE(cd_planilha, ""Armas!B3:G""), ""Select Col1 Where Col2 = '""&amp;Personagem!$G$10&amp;""' or Col2 = '""&amp;Personagem!$G$11&amp;""'""),
if('"&amp;"Time 3'!C6 = ""Edward"", query(IMPORTRANGE(cd_planilha, ""Armas!B3:G""), ""Select Col1 Where Col2 = '""&amp;Personagem!$H$10&amp;""' or Col2 = '""&amp;Personagem!$H$11&amp;""' ""),
if('Time 3'!C6 = ""Fiora"", query(IMPORTRANGE(cd_planilha, ""Armas!B3:G""), ""Select Col1 "&amp;"Where Col2 = '""&amp;Personagem!$I$10&amp;""' or Col2 = '""&amp;Personagem!$I$11&amp;""' ""),
if('Time 3'!C6 = ""Francesca"", query(IMPORTRANGE(cd_planilha, ""Armas!B3:G""), ""Select Col1 Where Col2 = '""&amp;Personagem!$J$10&amp;""' or Col2 = '""&amp;Personagem!$J$11&amp;""'""),
if('Ti"&amp;"me 3'!C6 = ""Garreth"", query(IMPORTRANGE(cd_planilha, ""Armas!B3:G""), ""Select Col1 Where Col2 = '""&amp;Personagem!$K$10&amp;""' or Col2 = '""&amp;Personagem!$K$11&amp;""'""),
if('Time 3'!C6 = ""Gauvin"", query(IMPORTRANGE(cd_planilha, ""Armas!B3:G""), ""Select Col1 W"&amp;"here Col2 = '""&amp;Personagem!$L$10&amp;""' or Col2 = '""&amp;Personagem!$L$11&amp;""' ""),
if('Time 3'!C6 = ""Irene"", query(IMPORTRANGE(cd_planilha, ""Armas!B3:G""), ""Select Col1 Where Col2 = '""&amp;Personagem!$M$10&amp;""' or Col2 = '""&amp;Personagem!$M$11&amp;""' ""),
if('Time 3"&amp;"'!C6 = ""Karal"", query(IMPORTRANGE(cd_planilha, ""Armas!B3:G""), ""Select Col1 Where Col2 = '""&amp;Personagem!$N$10&amp;""' or Col2 = '""&amp;Personagem!$N$11&amp;""' ""),
if('Time 3'!C6 = ""Kuro Shobi"", query(IMPORTRANGE(cd_planilha, ""Armas!B3:G""), ""Select Col1 Wh"&amp;"ere Col2 = '""&amp;Personagem!$O$10&amp;""' or Col2 = '""&amp;Personagem!$O$11&amp;""'""),
if('Time 3'!C6 = ""Kurul"", query(IMPORTRANGE(cd_planilha, ""Armas!B3:G""), ""Select Col1 Where Col2 = '""&amp;Personagem!$P$10&amp;""' or Col2 = '""&amp;Personagem!$P$11&amp;""' ""),
if('Time 3'!"&amp;"C6 = ""Lancaster"", query(IMPORTRANGE(cd_planilha, ""Armas!B3:G""), ""Select Col1 Where Col2 = '""&amp;Personagem!$Q$10&amp;""' or Col2 = '""&amp;Personagem!$Q$11&amp;""'""),
if('Time 3'!C6 = ""Lorelei"", query(IMPORTRANGE(cd_planilha, ""Armas!B3:G""), ""Select Col1 Wher"&amp;"e Col2 = '""&amp;Personagem!$R$10&amp;""' or Col2 = '""&amp;Personagem!$R$11&amp;""' ""),
if('Time 3'!C6 = ""Louca"", query(IMPORTRANGE(cd_planilha, ""Armas!B3:G""), ""Select Col1 Where Col2 = '""&amp;Personagem!$S$10&amp;""' or Col2 = '""&amp;Personagem!$S$11&amp;""' ""),
if('Time 3'!C"&amp;"6 = ""Melina"", query(IMPORTRANGE(cd_planilha, ""Armas!B3:G""), ""Select Col1 Where Col2 = '""&amp;Personagem!$T$10&amp;""' or Col2 = '""&amp;Personagem!$T$11&amp;""'""),
if('Time 3'!C6 = ""Mila"", query(IMPORTRANGE(cd_planilha, ""Armas!B3:G""), ""Select Col1 Where Col2 "&amp;"= '""&amp;Personagem!$U$10&amp;""' or Col2 = '""&amp;Personagem!$U$11&amp;""' ""),
if('Time 3'!C6 = ""Minh"", query(IMPORTRANGE(cd_planilha, ""Armas!B3:G""), ""Select Col1 Where Col2 = '""&amp;Personagem!$V$10&amp;""' or Col2 = '""&amp;Personagem!$V$11&amp;""' ""),
if('Time 3'!C6 = ""Mo"&amp;"jian"", query(IMPORTRANGE(cd_planilha, ""Armas!B3:G""), ""Select Col1 Where Col2 = '""&amp;Personagem!$W$10&amp;""' or Col2 = '""&amp;Personagem!$W$11&amp;""'""),
if('Time 3'!C6 = ""Nya"", query(IMPORTRANGE(cd_planilha, ""Armas!B3:G""), ""Select Col1 Where Col2 = '""&amp;Per"&amp;"sonagem!$X$10&amp;""' or Col2 = '""&amp;Personagem!$X$11&amp;""' ""),
if('Time 3'!C6 = ""Odette"", query(IMPORTRANGE(cd_planilha, ""Armas!B3:G""), ""Select Col1 Where Col2 = '""&amp;Personagem!$Y$10&amp;""' or Col2 = '""&amp;Personagem!$Y$11&amp;""'""),
if('Time 3'!C6 = ""Oneira"", "&amp;"query(IMPORTRANGE(cd_planilha, ""Armas!B3:G""), ""Select Col1 Where Col2 = '""&amp;Personagem!$Z$10&amp;""' or Col2 = '""&amp;Personagem!$Z$11&amp;""' ""),
if('Time 3'!C6 = ""Palash"", query(IMPORTRANGE(cd_planilha, ""Armas!B3:G""), ""Select Col1 Where Col2 = '""&amp;Persona"&amp;"gem!$AA$10&amp;""' or Col2 = '""&amp;Personagem!$AA$11&amp;""'""),
if('Time 3'!C6 = ""Theor"", query(IMPORTRANGE(cd_planilha, ""Armas!B3:G""), ""Select Col1 Where Col2 = '""&amp;Personagem!$AB$10&amp;""' or Col2 = '""&amp;Personagem!$AB$11&amp;""' ""),
if('Time 3'!C6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H600" s="241"/>
      <c r="I600" s="241" t="str">
        <f>IFERROR(__xludf.DUMMYFUNCTION("if('Time 3'!C7 = ""Albert"", query(IMPORTRANGE(cd_planilha, ""Armas!B3:G""), ""Select Col1 Where Col2 = '""&amp;Personagem!$B$10&amp;""' or Col2 = '""&amp;Personagem!$B$11&amp;""'""),     
if('Time 3'!C7 = ""Alicia"", query(IMPORTRANGE(cd_planilha, ""Armas!B3:G""), ""Sel"&amp;"ect Col1 Where Col2 = '""&amp;Personagem!$C$10&amp;""' or Col2 = '""&amp;Personagem!$C$11&amp;""'""),
if('Time 3'!C7 = ""Azula"", query(IMPORTRANGE(cd_planilha, ""Armas!B3:G""), ""Select Col1 Where Col2 = '""&amp;Personagem!$D$10&amp;""' or Col2 = '""&amp;Personagem!$D$11&amp;""' ""),
i"&amp;"f('Time 3'!C7 = ""Charles"", query(IMPORTRANGE(cd_planilha, ""Armas!B3:G""), ""Select Col1 Where Col2 = '""&amp;Personagem!$E$10&amp;""' or Col2 = '""&amp;Personagem!$E$11&amp;""'""),
if('Time 3'!C7 = ""Clovis"", query(IMPORTRANGE(cd_planilha, ""Armas!B3:G""), ""Select C"&amp;"ol1 Where Col2 = '""&amp;Personagem!$F$10&amp;""' or Col2 = '""&amp;Personagem!$F$11&amp;""' ""),
if('Time 3'!C7 = ""Darthos"", query(IMPORTRANGE(cd_planilha, ""Armas!B3:G""), ""Select Col1 Where Col2 = '""&amp;Personagem!$G$10&amp;""' or Col2 = '""&amp;Personagem!$G$11&amp;""'""),
if('"&amp;"Time 3'!C7 = ""Edward"", query(IMPORTRANGE(cd_planilha, ""Armas!B3:G""), ""Select Col1 Where Col2 = '""&amp;Personagem!$H$10&amp;""' or Col2 = '""&amp;Personagem!$H$11&amp;""' ""),
if('Time 3'!C7 = ""Fiora"", query(IMPORTRANGE(cd_planilha, ""Armas!B3:G""), ""Select Col1 "&amp;"Where Col2 = '""&amp;Personagem!$I$10&amp;""' or Col2 = '""&amp;Personagem!$I$11&amp;""' ""),
if('Time 3'!C7 = ""Francesca"", query(IMPORTRANGE(cd_planilha, ""Armas!B3:G""), ""Select Col1 Where Col2 = '""&amp;Personagem!$J$10&amp;""' or Col2 = '""&amp;Personagem!$J$11&amp;""'""),
if('Ti"&amp;"me 3'!C7 = ""Garreth"", query(IMPORTRANGE(cd_planilha, ""Armas!B3:G""), ""Select Col1 Where Col2 = '""&amp;Personagem!$K$10&amp;""' or Col2 = '""&amp;Personagem!$K$11&amp;""'""),
if('Time 3'!C7 = ""Gauvin"", query(IMPORTRANGE(cd_planilha, ""Armas!B3:G""), ""Select Col1 W"&amp;"here Col2 = '""&amp;Personagem!$L$10&amp;""' or Col2 = '""&amp;Personagem!$L$11&amp;""' ""),
if('Time 3'!C7 = ""Irene"", query(IMPORTRANGE(cd_planilha, ""Armas!B3:G""), ""Select Col1 Where Col2 = '""&amp;Personagem!$M$10&amp;""' or Col2 = '""&amp;Personagem!$M$11&amp;""' ""),
if('Time 3"&amp;"'!C7 = ""Karal"", query(IMPORTRANGE(cd_planilha, ""Armas!B3:G""), ""Select Col1 Where Col2 = '""&amp;Personagem!$N$10&amp;""' or Col2 = '""&amp;Personagem!$N$11&amp;""' ""),
if('Time 3'!C7 = ""Kuro Shobi"", query(IMPORTRANGE(cd_planilha, ""Armas!B3:G""), ""Select Col1 Wh"&amp;"ere Col2 = '""&amp;Personagem!$O$10&amp;""' or Col2 = '""&amp;Personagem!$O$11&amp;""'""),
if('Time 3'!C7 = ""Kurul"", query(IMPORTRANGE(cd_planilha, ""Armas!B3:G""), ""Select Col1 Where Col2 = '""&amp;Personagem!$P$10&amp;""' or Col2 = '""&amp;Personagem!$P$11&amp;""' ""),
if('Time 3'!"&amp;"C7 = ""Lancaster"", query(IMPORTRANGE(cd_planilha, ""Armas!B3:G""), ""Select Col1 Where Col2 = '""&amp;Personagem!$Q$10&amp;""' or Col2 = '""&amp;Personagem!$Q$11&amp;""'""),
if('Time 3'!C7 = ""Lorelei"", query(IMPORTRANGE(cd_planilha, ""Armas!B3:G""), ""Select Col1 Wher"&amp;"e Col2 = '""&amp;Personagem!$R$10&amp;""' or Col2 = '""&amp;Personagem!$R$11&amp;""' ""),
if('Time 3'!C7 = ""Louca"", query(IMPORTRANGE(cd_planilha, ""Armas!B3:G""), ""Select Col1 Where Col2 = '""&amp;Personagem!$S$10&amp;""' or Col2 = '""&amp;Personagem!$S$11&amp;""' ""),
if('Time 3'!C"&amp;"7 = ""Melina"", query(IMPORTRANGE(cd_planilha, ""Armas!B3:G""), ""Select Col1 Where Col2 = '""&amp;Personagem!$T$10&amp;""' or Col2 = '""&amp;Personagem!$T$11&amp;""'""),
if('Time 3'!C7 = ""Mila"", query(IMPORTRANGE(cd_planilha, ""Armas!B3:G""), ""Select Col1 Where Col2 "&amp;"= '""&amp;Personagem!$U$10&amp;""' or Col2 = '""&amp;Personagem!$U$11&amp;""' ""),
if('Time 3'!C7 = ""Minh"", query(IMPORTRANGE(cd_planilha, ""Armas!B3:G""), ""Select Col1 Where Col2 = '""&amp;Personagem!$V$10&amp;""' or Col2 = '""&amp;Personagem!$V$11&amp;""' ""),
if('Time 3'!C7 = ""Mo"&amp;"jian"", query(IMPORTRANGE(cd_planilha, ""Armas!B3:G""), ""Select Col1 Where Col2 = '""&amp;Personagem!$W$10&amp;""' or Col2 = '""&amp;Personagem!$W$11&amp;""'""),
if('Time 3'!C7 = ""Nya"", query(IMPORTRANGE(cd_planilha, ""Armas!B3:G""), ""Select Col1 Where Col2 = '""&amp;Per"&amp;"sonagem!$X$10&amp;""' or Col2 = '""&amp;Personagem!$X$11&amp;""' ""),
if('Time 3'!C7 = ""Odette"", query(IMPORTRANGE(cd_planilha, ""Armas!B3:G""), ""Select Col1 Where Col2 = '""&amp;Personagem!$Y$10&amp;""' or Col2 = '""&amp;Personagem!$Y$11&amp;""'""),
if('Time 3'!C7 = ""Oneira"", "&amp;"query(IMPORTRANGE(cd_planilha, ""Armas!B3:G""), ""Select Col1 Where Col2 = '""&amp;Personagem!$Z$10&amp;""' or Col2 = '""&amp;Personagem!$Z$11&amp;""' ""),
if('Time 3'!C7 = ""Palash"", query(IMPORTRANGE(cd_planilha, ""Armas!B3:G""), ""Select Col1 Where Col2 = '""&amp;Persona"&amp;"gem!$AA$10&amp;""' or Col2 = '""&amp;Personagem!$AA$11&amp;""'""),
if('Time 3'!C7 = ""Theor"", query(IMPORTRANGE(cd_planilha, ""Armas!B3:G""), ""Select Col1 Where Col2 = '""&amp;Personagem!$AB$10&amp;""' or Col2 = '""&amp;Personagem!$AB$11&amp;""' ""),
if('Time 3'!C7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J600" s="241"/>
      <c r="K600" s="241" t="str">
        <f>IFERROR(__xludf.DUMMYFUNCTION("if('Time 3'!C8 = ""Albert"", query(IMPORTRANGE(cd_planilha, ""Armas!B3:G""), ""Select Col1 Where Col2 = '""&amp;Personagem!$B$10&amp;""' or Col2 = '""&amp;Personagem!$B$11&amp;""'""),     
if('Time 3'!C8 = ""Alicia"", query(IMPORTRANGE(cd_planilha, ""Armas!B3:G""), ""Sel"&amp;"ect Col1 Where Col2 = '""&amp;Personagem!$C$10&amp;""' or Col2 = '""&amp;Personagem!$C$11&amp;""'""),
if('Time 3'!C8 = ""Azula"", query(IMPORTRANGE(cd_planilha, ""Armas!B3:G""), ""Select Col1 Where Col2 = '""&amp;Personagem!$D$10&amp;""' or Col2 = '""&amp;Personagem!$D$11&amp;""' ""),
i"&amp;"f('Time 3'!C8 = ""Charles"", query(IMPORTRANGE(cd_planilha, ""Armas!B3:G""), ""Select Col1 Where Col2 = '""&amp;Personagem!$E$10&amp;""' or Col2 = '""&amp;Personagem!$E$11&amp;""'""),
if('Time 3'!C8 = ""Clovis"", query(IMPORTRANGE(cd_planilha, ""Armas!B3:G""), ""Select C"&amp;"ol1 Where Col2 = '""&amp;Personagem!$F$10&amp;""' or Col2 = '""&amp;Personagem!$F$11&amp;""' ""),
if('Time 3'!C8 = ""Darthos"", query(IMPORTRANGE(cd_planilha, ""Armas!B3:G""), ""Select Col1 Where Col2 = '""&amp;Personagem!$G$10&amp;""' or Col2 = '""&amp;Personagem!$G$11&amp;""'""),
if('"&amp;"Time 3'!C8 = ""Edward"", query(IMPORTRANGE(cd_planilha, ""Armas!B3:G""), ""Select Col1 Where Col2 = '""&amp;Personagem!$H$10&amp;""' or Col2 = '""&amp;Personagem!$H$11&amp;""' ""),
if('Time 3'!C8 = ""Fiora"", query(IMPORTRANGE(cd_planilha, ""Armas!B3:G""), ""Select Col1 "&amp;"Where Col2 = '""&amp;Personagem!$I$10&amp;""' or Col2 = '""&amp;Personagem!$I$11&amp;""' ""),
if('Time 3'!C8 = ""Francesca"", query(IMPORTRANGE(cd_planilha, ""Armas!B3:G""), ""Select Col1 Where Col2 = '""&amp;Personagem!$J$10&amp;""' or Col2 = '""&amp;Personagem!$J$11&amp;""'""),
if('Ti"&amp;"me 3'!C8 = ""Garreth"", query(IMPORTRANGE(cd_planilha, ""Armas!B3:G""), ""Select Col1 Where Col2 = '""&amp;Personagem!$K$10&amp;""' or Col2 = '""&amp;Personagem!$K$11&amp;""'""),
if('Time 3'!C8 = ""Gauvin"", query(IMPORTRANGE(cd_planilha, ""Armas!B3:G""), ""Select Col1 W"&amp;"here Col2 = '""&amp;Personagem!$L$10&amp;""' or Col2 = '""&amp;Personagem!$L$11&amp;""' ""),
if('Time 3'!C8 = ""Irene"", query(IMPORTRANGE(cd_planilha, ""Armas!B3:G""), ""Select Col1 Where Col2 = '""&amp;Personagem!$M$10&amp;""' or Col2 = '""&amp;Personagem!$M$11&amp;""' ""),
if('Time 3"&amp;"'!C8 = ""Karal"", query(IMPORTRANGE(cd_planilha, ""Armas!B3:G""), ""Select Col1 Where Col2 = '""&amp;Personagem!$N$10&amp;""' or Col2 = '""&amp;Personagem!$N$11&amp;""' ""),
if('Time 3'!C8 = ""Kuro Shobi"", query(IMPORTRANGE(cd_planilha, ""Armas!B3:G""), ""Select Col1 Wh"&amp;"ere Col2 = '""&amp;Personagem!$O$10&amp;""' or Col2 = '""&amp;Personagem!$O$11&amp;""'""),
if('Time 3'!C8 = ""Kurul"", query(IMPORTRANGE(cd_planilha, ""Armas!B3:G""), ""Select Col1 Where Col2 = '""&amp;Personagem!$P$10&amp;""' or Col2 = '""&amp;Personagem!$P$11&amp;""' ""),
if('Time 3'!"&amp;"C8 = ""Lancaster"", query(IMPORTRANGE(cd_planilha, ""Armas!B3:G""), ""Select Col1 Where Col2 = '""&amp;Personagem!$Q$10&amp;""' or Col2 = '""&amp;Personagem!$Q$11&amp;""'""),
if('Time 3'!C8 = ""Lorelei"", query(IMPORTRANGE(cd_planilha, ""Armas!B3:G""), ""Select Col1 Wher"&amp;"e Col2 = '""&amp;Personagem!$R$10&amp;""' or Col2 = '""&amp;Personagem!$R$11&amp;""' ""),
if('Time 3'!C8 = ""Louca"", query(IMPORTRANGE(cd_planilha, ""Armas!B3:G""), ""Select Col1 Where Col2 = '""&amp;Personagem!$S$10&amp;""' or Col2 = '""&amp;Personagem!$S$11&amp;""' ""),
if('Time 3'!C"&amp;"8 = ""Melina"", query(IMPORTRANGE(cd_planilha, ""Armas!B3:G""), ""Select Col1 Where Col2 = '""&amp;Personagem!$T$10&amp;""' or Col2 = '""&amp;Personagem!$T$11&amp;""'""),
if('Time 3'!C8 = ""Mila"", query(IMPORTRANGE(cd_planilha, ""Armas!B3:G""), ""Select Col1 Where Col2 "&amp;"= '""&amp;Personagem!$U$10&amp;""' or Col2 = '""&amp;Personagem!$U$11&amp;""' ""),
if('Time 3'!C8 = ""Minh"", query(IMPORTRANGE(cd_planilha, ""Armas!B3:G""), ""Select Col1 Where Col2 = '""&amp;Personagem!$V$10&amp;""' or Col2 = '""&amp;Personagem!$V$11&amp;""' ""),
if('Time 3'!C8 = ""Mo"&amp;"jian"", query(IMPORTRANGE(cd_planilha, ""Armas!B3:G""), ""Select Col1 Where Col2 = '""&amp;Personagem!$W$10&amp;""' or Col2 = '""&amp;Personagem!$W$11&amp;""'""),
if('Time 3'!C8 = ""Nya"", query(IMPORTRANGE(cd_planilha, ""Armas!B3:G""), ""Select Col1 Where Col2 = '""&amp;Per"&amp;"sonagem!$X$10&amp;""' or Col2 = '""&amp;Personagem!$X$11&amp;""' ""),
if('Time 3'!C8 = ""Odette"", query(IMPORTRANGE(cd_planilha, ""Armas!B3:G""), ""Select Col1 Where Col2 = '""&amp;Personagem!$Y$10&amp;""' or Col2 = '""&amp;Personagem!$Y$11&amp;""'""),
if('Time 3'!C8 = ""Oneira"", "&amp;"query(IMPORTRANGE(cd_planilha, ""Armas!B3:G""), ""Select Col1 Where Col2 = '""&amp;Personagem!$Z$10&amp;""' or Col2 = '""&amp;Personagem!$Z$11&amp;""' ""),
if('Time 3'!C8 = ""Palash"", query(IMPORTRANGE(cd_planilha, ""Armas!B3:G""), ""Select Col1 Where Col2 = '""&amp;Persona"&amp;"gem!$AA$10&amp;""' or Col2 = '""&amp;Personagem!$AA$11&amp;""'""),
if('Time 3'!C8 = ""Theor"", query(IMPORTRANGE(cd_planilha, ""Armas!B3:G""), ""Select Col1 Where Col2 = '""&amp;Personagem!$AB$10&amp;""' or Col2 = '""&amp;Personagem!$AB$11&amp;""' ""),
if('Time 3'!C8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L600" s="242"/>
      <c r="M600" s="241" t="str">
        <f>IFERROR(__xludf.DUMMYFUNCTION("if('Time 3'!C3 = ""Albert"", query(IMPORTRANGE(cd_planilha, ""Armas!B3:G""), ""Select Col1 Where Col2 = '""&amp;Personagem!$B$12&amp;""' or Col2 = '""&amp;Personagem!$B$13&amp;""'""),     
if('Time 3'!C3 = ""Alicia"", query(IMPORTRANGE(cd_planilha, ""Armas!B3:G""), ""Sel"&amp;"ect Col1 Where Col2 = '""&amp;Personagem!$C$12&amp;""' or Col2 = '""&amp;Personagem!$C$13&amp;""'""),
if('Time 3'!C3 = ""Azula"", query(IMPORTRANGE(cd_planilha, ""Armas!B3:G""), ""Select Col1 Where Col2 = '""&amp;Personagem!$D$12&amp;""' or Col2 = '""&amp;Personagem!$D$13&amp;""' ""),
i"&amp;"f('Time 3'!C3 = ""Charles"", query(IMPORTRANGE(cd_planilha, ""Armas!B3:G""), ""Select Col1 Where Col2 = '""&amp;Personagem!$E$12&amp;""' or Col2 = '""&amp;Personagem!$E$13&amp;""'""),
if('Time 3'!C3 = ""Clovis"", query(IMPORTRANGE(cd_planilha, ""Armas!B3:G""), ""Select C"&amp;"ol1 Where Col2 = '""&amp;Personagem!$F$12&amp;""' or Col2 = '""&amp;Personagem!$F$13&amp;""' ""),
if('Time 3'!C3 = ""Darthos"", query(IMPORTRANGE(cd_planilha, ""Armas!B3:G""), ""Select Col1 Where Col2 = '""&amp;Personagem!$G$12&amp;""' or Col2 = '""&amp;Personagem!$G$13&amp;""'""),
if('"&amp;"Time 3'!C3 = ""Edward"", query(IMPORTRANGE(cd_planilha, ""Armas!B3:G""), ""Select Col1 Where Col2 = '""&amp;Personagem!$H$12&amp;""' or Col2 = '""&amp;Personagem!$H$13&amp;""' ""),
if('Time 3'!C3 = ""Fiora"", query(IMPORTRANGE(cd_planilha, ""Armas!B3:G""), ""Select Col1 "&amp;"Where Col2 = '""&amp;Personagem!$I$12&amp;""' or Col2 = '""&amp;Personagem!$I$13&amp;""' ""),
if('Time 3'!C3 = ""Francesca"", query(IMPORTRANGE(cd_planilha, ""Armas!B3:G""), ""Select Col1 Where Col2 = '""&amp;Personagem!$J$12&amp;""' or Col2 = '""&amp;Personagem!$J$13&amp;""'""),
if('Ti"&amp;"me 3'!C3 = ""Garreth"", query(IMPORTRANGE(cd_planilha, ""Armas!B3:G""), ""Select Col1 Where Col2 = '""&amp;Personagem!$K$12&amp;""' or Col2 = '""&amp;Personagem!$K$13&amp;""'""),
if('Time 3'!C3 = ""Gauvin"", query(IMPORTRANGE(cd_planilha, ""Armas!B3:G""), ""Select Col1 W"&amp;"here Col2 = '""&amp;Personagem!$L$12&amp;""' or Col2 = '""&amp;Personagem!$L$13&amp;""' ""),
if('Time 3'!C3 = ""Irene"", query(IMPORTRANGE(cd_planilha, ""Armas!B3:G""), ""Select Col1 Where Col2 = '""&amp;Personagem!$M$12&amp;""' or Col2 = '""&amp;Personagem!$M$13&amp;""' ""),
if('Time 3"&amp;"'!C3 = ""Karal"", query(IMPORTRANGE(cd_planilha, ""Armas!B3:G""), ""Select Col1 Where Col2 = '""&amp;Personagem!$N$12&amp;""' or Col2 = '""&amp;Personagem!$N$13&amp;""' ""),
if('Time 3'!C3 = ""Kuro Shobi"", query(IMPORTRANGE(cd_planilha, ""Armas!B3:G""), ""Select Col1 Wh"&amp;"ere Col2 = '""&amp;Personagem!$O$12&amp;""' or Col2 = '""&amp;Personagem!$O$13&amp;""'""),
if('Time 3'!C3 = ""Kurul"", query(IMPORTRANGE(cd_planilha, ""Armas!B3:G""), ""Select Col1 Where Col2 = '""&amp;Personagem!$P$12&amp;""' or Col2 = '""&amp;Personagem!$P$13&amp;""' ""),
if('Time 3'!"&amp;"C3 = ""Lancaster"", query(IMPORTRANGE(cd_planilha, ""Armas!B3:G""), ""Select Col1 Where Col2 = '""&amp;Personagem!$Q$12&amp;""' or Col2 = '""&amp;Personagem!$Q$13&amp;""'""),
if('Time 3'!C3 = ""Lorelei"", query(IMPORTRANGE(cd_planilha, ""Armas!B3:G""), ""Select Col1 Wher"&amp;"e Col2 = '""&amp;Personagem!$R$12&amp;""' or Col2 = '""&amp;Personagem!$R$13&amp;""' ""),
if('Time 3'!C3 = ""Louca"", query(IMPORTRANGE(cd_planilha, ""Armas!B3:G""), ""Select Col1 Where Col2 = '""&amp;Personagem!$S$12&amp;""' or Col2 = '""&amp;Personagem!$S$13&amp;""' ""),
if('Time 3'!C"&amp;"3 = ""Melina"", query(IMPORTRANGE(cd_planilha, ""Armas!B3:G""), ""Select Col1 Where Col2 = '""&amp;Personagem!$T$12&amp;""' or Col2 = '""&amp;Personagem!$T$13&amp;""'""),
if('Time 3'!C3 = ""Mila"", query(IMPORTRANGE(cd_planilha, ""Armas!B3:G""), ""Select Col1 Where Col2 "&amp;"= '""&amp;Personagem!$U$12&amp;""' or Col2 = '""&amp;Personagem!$U$13&amp;""' ""),
if('Time 3'!C3 = ""Minh"", query(IMPORTRANGE(cd_planilha, ""Armas!B3:G""), ""Select Col1 Where Col2 = '""&amp;Personagem!$V$12&amp;""' or Col2 = '""&amp;Personagem!$V$13&amp;""' ""),
if('Time 3'!C3 = ""Mo"&amp;"jian"", query(IMPORTRANGE(cd_planilha, ""Armas!B3:G""), ""Select Col1 Where Col2 = '""&amp;Personagem!$W$12&amp;""' or Col2 = '""&amp;Personagem!$W$13&amp;""'""),
if('Time 3'!C3 = ""Nya"", query(IMPORTRANGE(cd_planilha, ""Armas!B3:G""), ""Select Col1 Where Col2 = '""&amp;Per"&amp;"sonagem!$X$12&amp;""' or Col2 = '""&amp;Personagem!$X$13&amp;""' ""),
if('Time 3'!C3 = ""Odette"", query(IMPORTRANGE(cd_planilha, ""Armas!B3:G""), ""Select Col1 Where Col2 = '""&amp;Personagem!$Y$12&amp;""' or Col2 = '""&amp;Personagem!$Y$13&amp;""'""),
if('Time 3'!C3 = ""Oneira"", "&amp;"query(IMPORTRANGE(cd_planilha, ""Armas!B3:G""), ""Select Col1 Where Col2 = '""&amp;Personagem!$Z$12&amp;""' or Col2 = '""&amp;Personagem!$Z$13&amp;""' ""),
if('Time 3'!C3 = ""Palash"", query(IMPORTRANGE(cd_planilha, ""Armas!B3:G""), ""Select Col1 Where Col2 = '""&amp;Persona"&amp;"gem!$AA$12&amp;""' or Col2 = '""&amp;Personagem!$AA$13&amp;""'""),
if('Time 3'!C3 = ""Theor"", query(IMPORTRANGE(cd_planilha, ""Armas!B3:G""), ""Select Col1 Where Col2 = '""&amp;Personagem!$AB$12&amp;""' or Col2 = '""&amp;Personagem!$AB$13&amp;""' ""),
if('Time 3'!C3 = ""Yue"", quer"&amp;"y(IMPORTRANGE(cd_planilha, ""Armas!B3:G""), ""Select Col1 Where Col2 = '""&amp;Personagem!$AC$12&amp;""' or Col2 = '""&amp;Personagem!$AC$13&amp;""'""
)))))))))))))))))))))))))))))"),"Botas da Lua")</f>
        <v>Botas da Lua</v>
      </c>
      <c r="N600" s="241"/>
      <c r="O600" s="241" t="str">
        <f>IFERROR(__xludf.DUMMYFUNCTION("if('Time 3'!C4 = ""Albert"", query(IMPORTRANGE(cd_planilha, ""Armas!B3:G""), ""Select Col1 Where Col2 = '""&amp;Personagem!$B$12&amp;""' or Col2 = '""&amp;Personagem!$B$13&amp;""'""),     
if('Time 3'!C4 = ""Alicia"", query(IMPORTRANGE(cd_planilha, ""Armas!B3:G""), ""Sel"&amp;"ect Col1 Where Col2 = '""&amp;Personagem!$C$12&amp;""' or Col2 = '""&amp;Personagem!$C$13&amp;""'""),
if('Time 3'!C4 = ""Azula"", query(IMPORTRANGE(cd_planilha, ""Armas!B3:G""), ""Select Col1 Where Col2 = '""&amp;Personagem!$D$12&amp;""' or Col2 = '""&amp;Personagem!$D$13&amp;""' ""),
i"&amp;"f('Time 3'!C4 = ""Charles"", query(IMPORTRANGE(cd_planilha, ""Armas!B3:G""), ""Select Col1 Where Col2 = '""&amp;Personagem!$E$12&amp;""' or Col2 = '""&amp;Personagem!$E$13&amp;""'""),
if('Time 3'!C4 = ""Clovis"", query(IMPORTRANGE(cd_planilha, ""Armas!B3:G""), ""Select C"&amp;"ol1 Where Col2 = '""&amp;Personagem!$F$12&amp;""' or Col2 = '""&amp;Personagem!$F$13&amp;""' ""),
if('Time 3'!C4 = ""Darthos"", query(IMPORTRANGE(cd_planilha, ""Armas!B3:G""), ""Select Col1 Where Col2 = '""&amp;Personagem!$G$12&amp;""' or Col2 = '""&amp;Personagem!$G$13&amp;""'""),
if('"&amp;"Time 3'!C4 = ""Edward"", query(IMPORTRANGE(cd_planilha, ""Armas!B3:G""), ""Select Col1 Where Col2 = '""&amp;Personagem!$H$12&amp;""' or Col2 = '""&amp;Personagem!$H$13&amp;""' ""),
if('Time 3'!C4 = ""Fiora"", query(IMPORTRANGE(cd_planilha, ""Armas!B3:G""), ""Select Col1 "&amp;"Where Col2 = '""&amp;Personagem!$I$12&amp;""' or Col2 = '""&amp;Personagem!$I$13&amp;""' ""),
if('Time 3'!C4 = ""Francesca"", query(IMPORTRANGE(cd_planilha, ""Armas!B3:G""), ""Select Col1 Where Col2 = '""&amp;Personagem!$J$12&amp;""' or Col2 = '""&amp;Personagem!$J$13&amp;""'""),
if('Ti"&amp;"me 3'!C4 = ""Garreth"", query(IMPORTRANGE(cd_planilha, ""Armas!B3:G""), ""Select Col1 Where Col2 = '""&amp;Personagem!$K$12&amp;""' or Col2 = '""&amp;Personagem!$K$13&amp;""'""),
if('Time 3'!C4 = ""Gauvin"", query(IMPORTRANGE(cd_planilha, ""Armas!B3:G""), ""Select Col1 W"&amp;"here Col2 = '""&amp;Personagem!$L$12&amp;""' or Col2 = '""&amp;Personagem!$L$13&amp;""' ""),
if('Time 3'!C4 = ""Irene"", query(IMPORTRANGE(cd_planilha, ""Armas!B3:G""), ""Select Col1 Where Col2 = '""&amp;Personagem!$M$12&amp;""' or Col2 = '""&amp;Personagem!$M$13&amp;""' ""),
if('Time 3"&amp;"'!C4 = ""Karal"", query(IMPORTRANGE(cd_planilha, ""Armas!B3:G""), ""Select Col1 Where Col2 = '""&amp;Personagem!$N$12&amp;""' or Col2 = '""&amp;Personagem!$N$13&amp;""' ""),
if('Time 3'!C4 = ""Kuro Shobi"", query(IMPORTRANGE(cd_planilha, ""Armas!B3:G""), ""Select Col1 Wh"&amp;"ere Col2 = '""&amp;Personagem!$O$12&amp;""' or Col2 = '""&amp;Personagem!$O$13&amp;""'""),
if('Time 3'!C4 = ""Kurul"", query(IMPORTRANGE(cd_planilha, ""Armas!B3:G""), ""Select Col1 Where Col2 = '""&amp;Personagem!$P$12&amp;""' or Col2 = '""&amp;Personagem!$P$13&amp;""' ""),
if('Time 3'!"&amp;"C4 = ""Lancaster"", query(IMPORTRANGE(cd_planilha, ""Armas!B3:G""), ""Select Col1 Where Col2 = '""&amp;Personagem!$Q$12&amp;""' or Col2 = '""&amp;Personagem!$Q$13&amp;""'""),
if('Time 3'!C4 = ""Lorelei"", query(IMPORTRANGE(cd_planilha, ""Armas!B3:G""), ""Select Col1 Wher"&amp;"e Col2 = '""&amp;Personagem!$R$12&amp;""' or Col2 = '""&amp;Personagem!$R$13&amp;""' ""),
if('Time 3'!C4 = ""Louca"", query(IMPORTRANGE(cd_planilha, ""Armas!B3:G""), ""Select Col1 Where Col2 = '""&amp;Personagem!$S$12&amp;""' or Col2 = '""&amp;Personagem!$S$13&amp;""' ""),
if('Time 3'!C"&amp;"4 = ""Melina"", query(IMPORTRANGE(cd_planilha, ""Armas!B3:G""), ""Select Col1 Where Col2 = '""&amp;Personagem!$T$12&amp;""' or Col2 = '""&amp;Personagem!$T$13&amp;""'""),
if('Time 3'!C4 = ""Mila"", query(IMPORTRANGE(cd_planilha, ""Armas!B3:G""), ""Select Col1 Where Col2 "&amp;"= '""&amp;Personagem!$U$12&amp;""' or Col2 = '""&amp;Personagem!$U$13&amp;""' ""),
if('Time 3'!C4 = ""Minh"", query(IMPORTRANGE(cd_planilha, ""Armas!B3:G""), ""Select Col1 Where Col2 = '""&amp;Personagem!$V$12&amp;""' or Col2 = '""&amp;Personagem!$V$13&amp;""' ""),
if('Time 3'!C4 = ""Mo"&amp;"jian"", query(IMPORTRANGE(cd_planilha, ""Armas!B3:G""), ""Select Col1 Where Col2 = '""&amp;Personagem!$W$12&amp;""' or Col2 = '""&amp;Personagem!$W$13&amp;""'""),
if('Time 3'!C4 = ""Nya"", query(IMPORTRANGE(cd_planilha, ""Armas!B3:G""), ""Select Col1 Where Col2 = '""&amp;Per"&amp;"sonagem!$X$12&amp;""' or Col2 = '""&amp;Personagem!$X$13&amp;""' ""),
if('Time 3'!C4 = ""Odette"", query(IMPORTRANGE(cd_planilha, ""Armas!B3:G""), ""Select Col1 Where Col2 = '""&amp;Personagem!$Y$12&amp;""' or Col2 = '""&amp;Personagem!$Y$13&amp;""'""),
if('Time 3'!C4 = ""Oneira"", "&amp;"query(IMPORTRANGE(cd_planilha, ""Armas!B3:G""), ""Select Col1 Where Col2 = '""&amp;Personagem!$Z$12&amp;""' or Col2 = '""&amp;Personagem!$Z$13&amp;""' ""),
if('Time 3'!C4 = ""Palash"", query(IMPORTRANGE(cd_planilha, ""Armas!B3:G""), ""Select Col1 Where Col2 = '""&amp;Persona"&amp;"gem!$AA$12&amp;""' or Col2 = '""&amp;Personagem!$AA$13&amp;""'""),
if('Time 3'!C4 = ""Theor"", query(IMPORTRANGE(cd_planilha, ""Armas!B3:G""), ""Select Col1 Where Col2 = '""&amp;Personagem!$AB$12&amp;""' or Col2 = '""&amp;Personagem!$AB$13&amp;""' ""),
if('Time 3'!C4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P600" s="241"/>
      <c r="Q600" s="241" t="str">
        <f>IFERROR(__xludf.DUMMYFUNCTION("if('Time 3'!C5 = ""Albert"", query(IMPORTRANGE(cd_planilha, ""Armas!B3:G""), ""Select Col1 Where Col2 = '""&amp;Personagem!$B$12&amp;""' or Col2 = '""&amp;Personagem!$B$13&amp;""'""),     
if('Time 3'!C5 = ""Alicia"", query(IMPORTRANGE(cd_planilha, ""Armas!B3:G""), ""Sel"&amp;"ect Col1 Where Col2 = '""&amp;Personagem!$C$12&amp;""' or Col2 = '""&amp;Personagem!$C$13&amp;""'""),
if('Time 3'!C5 = ""Azula"", query(IMPORTRANGE(cd_planilha, ""Armas!B3:G""), ""Select Col1 Where Col2 = '""&amp;Personagem!$D$12&amp;""' or Col2 = '""&amp;Personagem!$D$13&amp;""' ""),
i"&amp;"f('Time 3'!C5 = ""Charles"", query(IMPORTRANGE(cd_planilha, ""Armas!B3:G""), ""Select Col1 Where Col2 = '""&amp;Personagem!$E$12&amp;""' or Col2 = '""&amp;Personagem!$E$13&amp;""'""),
if('Time 3'!C5 = ""Clovis"", query(IMPORTRANGE(cd_planilha, ""Armas!B3:G""), ""Select C"&amp;"ol1 Where Col2 = '""&amp;Personagem!$F$12&amp;""' or Col2 = '""&amp;Personagem!$F$13&amp;""' ""),
if('Time 3'!C5 = ""Darthos"", query(IMPORTRANGE(cd_planilha, ""Armas!B3:G""), ""Select Col1 Where Col2 = '""&amp;Personagem!$G$12&amp;""' or Col2 = '""&amp;Personagem!$G$13&amp;""'""),
if('"&amp;"Time 3'!C5 = ""Edward"", query(IMPORTRANGE(cd_planilha, ""Armas!B3:G""), ""Select Col1 Where Col2 = '""&amp;Personagem!$H$12&amp;""' or Col2 = '""&amp;Personagem!$H$13&amp;""' ""),
if('Time 3'!C5 = ""Fiora"", query(IMPORTRANGE(cd_planilha, ""Armas!B3:G""), ""Select Col1 "&amp;"Where Col2 = '""&amp;Personagem!$I$12&amp;""' or Col2 = '""&amp;Personagem!$I$13&amp;""' ""),
if('Time 3'!C5 = ""Francesca"", query(IMPORTRANGE(cd_planilha, ""Armas!B3:G""), ""Select Col1 Where Col2 = '""&amp;Personagem!$J$12&amp;""' or Col2 = '""&amp;Personagem!$J$13&amp;""'""),
if('Ti"&amp;"me 3'!C5 = ""Garreth"", query(IMPORTRANGE(cd_planilha, ""Armas!B3:G""), ""Select Col1 Where Col2 = '""&amp;Personagem!$K$12&amp;""' or Col2 = '""&amp;Personagem!$K$13&amp;""'""),
if('Time 3'!C5 = ""Gauvin"", query(IMPORTRANGE(cd_planilha, ""Armas!B3:G""), ""Select Col1 W"&amp;"here Col2 = '""&amp;Personagem!$L$12&amp;""' or Col2 = '""&amp;Personagem!$L$13&amp;""' ""),
if('Time 3'!C5 = ""Irene"", query(IMPORTRANGE(cd_planilha, ""Armas!B3:G""), ""Select Col1 Where Col2 = '""&amp;Personagem!$M$12&amp;""' or Col2 = '""&amp;Personagem!$M$13&amp;""' ""),
if('Time 3"&amp;"'!C5 = ""Karal"", query(IMPORTRANGE(cd_planilha, ""Armas!B3:G""), ""Select Col1 Where Col2 = '""&amp;Personagem!$N$12&amp;""' or Col2 = '""&amp;Personagem!$N$13&amp;""' ""),
if('Time 3'!C5 = ""Kuro Shobi"", query(IMPORTRANGE(cd_planilha, ""Armas!B3:G""), ""Select Col1 Wh"&amp;"ere Col2 = '""&amp;Personagem!$O$12&amp;""' or Col2 = '""&amp;Personagem!$O$13&amp;""'""),
if('Time 3'!C5 = ""Kurul"", query(IMPORTRANGE(cd_planilha, ""Armas!B3:G""), ""Select Col1 Where Col2 = '""&amp;Personagem!$P$12&amp;""' or Col2 = '""&amp;Personagem!$P$13&amp;""' ""),
if('Time 3'!"&amp;"C5 = ""Lancaster"", query(IMPORTRANGE(cd_planilha, ""Armas!B3:G""), ""Select Col1 Where Col2 = '""&amp;Personagem!$Q$12&amp;""' or Col2 = '""&amp;Personagem!$Q$13&amp;""'""),
if('Time 3'!C5 = ""Lorelei"", query(IMPORTRANGE(cd_planilha, ""Armas!B3:G""), ""Select Col1 Wher"&amp;"e Col2 = '""&amp;Personagem!$R$12&amp;""' or Col2 = '""&amp;Personagem!$R$13&amp;""' ""),
if('Time 3'!C5 = ""Louca"", query(IMPORTRANGE(cd_planilha, ""Armas!B3:G""), ""Select Col1 Where Col2 = '""&amp;Personagem!$S$12&amp;""' or Col2 = '""&amp;Personagem!$S$13&amp;""' ""),
if('Time 3'!C"&amp;"5 = ""Melina"", query(IMPORTRANGE(cd_planilha, ""Armas!B3:G""), ""Select Col1 Where Col2 = '""&amp;Personagem!$T$12&amp;""' or Col2 = '""&amp;Personagem!$T$13&amp;""'""),
if('Time 3'!C5 = ""Mila"", query(IMPORTRANGE(cd_planilha, ""Armas!B3:G""), ""Select Col1 Where Col2 "&amp;"= '""&amp;Personagem!$U$12&amp;""' or Col2 = '""&amp;Personagem!$U$13&amp;""' ""),
if('Time 3'!C5 = ""Minh"", query(IMPORTRANGE(cd_planilha, ""Armas!B3:G""), ""Select Col1 Where Col2 = '""&amp;Personagem!$V$12&amp;""' or Col2 = '""&amp;Personagem!$V$13&amp;""' ""),
if('Time 3'!C5 = ""Mo"&amp;"jian"", query(IMPORTRANGE(cd_planilha, ""Armas!B3:G""), ""Select Col1 Where Col2 = '""&amp;Personagem!$W$12&amp;""' or Col2 = '""&amp;Personagem!$W$13&amp;""'""),
if('Time 3'!C5 = ""Nya"", query(IMPORTRANGE(cd_planilha, ""Armas!B3:G""), ""Select Col1 Where Col2 = '""&amp;Per"&amp;"sonagem!$X$12&amp;""' or Col2 = '""&amp;Personagem!$X$13&amp;""' ""),
if('Time 3'!C5 = ""Odette"", query(IMPORTRANGE(cd_planilha, ""Armas!B3:G""), ""Select Col1 Where Col2 = '""&amp;Personagem!$Y$12&amp;""' or Col2 = '""&amp;Personagem!$Y$13&amp;""'""),
if('Time 3'!C5 = ""Oneira"", "&amp;"query(IMPORTRANGE(cd_planilha, ""Armas!B3:G""), ""Select Col1 Where Col2 = '""&amp;Personagem!$Z$12&amp;""' or Col2 = '""&amp;Personagem!$Z$13&amp;""' ""),
if('Time 3'!C5 = ""Palash"", query(IMPORTRANGE(cd_planilha, ""Armas!B3:G""), ""Select Col1 Where Col2 = '""&amp;Persona"&amp;"gem!$AA$12&amp;""' or Col2 = '""&amp;Personagem!$AA$13&amp;""'""),
if('Time 3'!C5 = ""Theor"", query(IMPORTRANGE(cd_planilha, ""Armas!B3:G""), ""Select Col1 Where Col2 = '""&amp;Personagem!$AB$12&amp;""' or Col2 = '""&amp;Personagem!$AB$13&amp;""' ""),
if('Time 3'!C5 = ""Yue"", quer"&amp;"y(IMPORTRANGE(cd_planilha, ""Armas!B3:G""), ""Select Col1 Where Col2 = '""&amp;Personagem!$AC$12&amp;""' or Col2 = '""&amp;Personagem!$AC$13&amp;""'""
)))))))))))))))))))))))))))))"),"Botas da Lua")</f>
        <v>Botas da Lua</v>
      </c>
      <c r="R600" s="241"/>
      <c r="S600" s="241" t="str">
        <f>IFERROR(__xludf.DUMMYFUNCTION("if('Time 3'!C6 = ""Albert"", query(IMPORTRANGE(cd_planilha, ""Armas!B3:G""), ""Select Col1 Where Col2 = '""&amp;Personagem!$B$12&amp;""' or Col2 = '""&amp;Personagem!$B$13&amp;""'""),     
if('Time 3'!C6 = ""Alicia"", query(IMPORTRANGE(cd_planilha, ""Armas!B3:G""), ""Sel"&amp;"ect Col1 Where Col2 = '""&amp;Personagem!$C$12&amp;""' or Col2 = '""&amp;Personagem!$C$13&amp;""'""),
if('Time 3'!C6 = ""Azula"", query(IMPORTRANGE(cd_planilha, ""Armas!B3:G""), ""Select Col1 Where Col2 = '""&amp;Personagem!$D$12&amp;""' or Col2 = '""&amp;Personagem!$D$13&amp;""' ""),
i"&amp;"f('Time 3'!C6 = ""Charles"", query(IMPORTRANGE(cd_planilha, ""Armas!B3:G""), ""Select Col1 Where Col2 = '""&amp;Personagem!$E$12&amp;""' or Col2 = '""&amp;Personagem!$E$13&amp;""'""),
if('Time 3'!C6 = ""Clovis"", query(IMPORTRANGE(cd_planilha, ""Armas!B3:G""), ""Select C"&amp;"ol1 Where Col2 = '""&amp;Personagem!$F$12&amp;""' or Col2 = '""&amp;Personagem!$F$13&amp;""' ""),
if('Time 3'!C6 = ""Darthos"", query(IMPORTRANGE(cd_planilha, ""Armas!B3:G""), ""Select Col1 Where Col2 = '""&amp;Personagem!$G$12&amp;""' or Col2 = '""&amp;Personagem!$G$13&amp;""'""),
if('"&amp;"Time 3'!C6 = ""Edward"", query(IMPORTRANGE(cd_planilha, ""Armas!B3:G""), ""Select Col1 Where Col2 = '""&amp;Personagem!$H$12&amp;""' or Col2 = '""&amp;Personagem!$H$13&amp;""' ""),
if('Time 3'!C6 = ""Fiora"", query(IMPORTRANGE(cd_planilha, ""Armas!B3:G""), ""Select Col1 "&amp;"Where Col2 = '""&amp;Personagem!$I$12&amp;""' or Col2 = '""&amp;Personagem!$I$13&amp;""' ""),
if('Time 3'!C6 = ""Francesca"", query(IMPORTRANGE(cd_planilha, ""Armas!B3:G""), ""Select Col1 Where Col2 = '""&amp;Personagem!$J$12&amp;""' or Col2 = '""&amp;Personagem!$J$13&amp;""'""),
if('Ti"&amp;"me 3'!C6 = ""Garreth"", query(IMPORTRANGE(cd_planilha, ""Armas!B3:G""), ""Select Col1 Where Col2 = '""&amp;Personagem!$K$12&amp;""' or Col2 = '""&amp;Personagem!$K$13&amp;""'""),
if('Time 3'!C6 = ""Gauvin"", query(IMPORTRANGE(cd_planilha, ""Armas!B3:G""), ""Select Col1 W"&amp;"here Col2 = '""&amp;Personagem!$L$12&amp;""' or Col2 = '""&amp;Personagem!$L$13&amp;""' ""),
if('Time 3'!C6 = ""Irene"", query(IMPORTRANGE(cd_planilha, ""Armas!B3:G""), ""Select Col1 Where Col2 = '""&amp;Personagem!$M$12&amp;""' or Col2 = '""&amp;Personagem!$M$13&amp;""' ""),
if('Time 3"&amp;"'!C6 = ""Karal"", query(IMPORTRANGE(cd_planilha, ""Armas!B3:G""), ""Select Col1 Where Col2 = '""&amp;Personagem!$N$12&amp;""' or Col2 = '""&amp;Personagem!$N$13&amp;""' ""),
if('Time 3'!C6 = ""Kuro Shobi"", query(IMPORTRANGE(cd_planilha, ""Armas!B3:G""), ""Select Col1 Wh"&amp;"ere Col2 = '""&amp;Personagem!$O$12&amp;""' or Col2 = '""&amp;Personagem!$O$13&amp;""'""),
if('Time 3'!C6 = ""Kurul"", query(IMPORTRANGE(cd_planilha, ""Armas!B3:G""), ""Select Col1 Where Col2 = '""&amp;Personagem!$P$12&amp;""' or Col2 = '""&amp;Personagem!$P$13&amp;""' ""),
if('Time 3'!"&amp;"C6 = ""Lancaster"", query(IMPORTRANGE(cd_planilha, ""Armas!B3:G""), ""Select Col1 Where Col2 = '""&amp;Personagem!$Q$12&amp;""' or Col2 = '""&amp;Personagem!$Q$13&amp;""'""),
if('Time 3'!C6 = ""Lorelei"", query(IMPORTRANGE(cd_planilha, ""Armas!B3:G""), ""Select Col1 Wher"&amp;"e Col2 = '""&amp;Personagem!$R$12&amp;""' or Col2 = '""&amp;Personagem!$R$13&amp;""' ""),
if('Time 3'!C6 = ""Louca"", query(IMPORTRANGE(cd_planilha, ""Armas!B3:G""), ""Select Col1 Where Col2 = '""&amp;Personagem!$S$12&amp;""' or Col2 = '""&amp;Personagem!$S$13&amp;""' ""),
if('Time 3'!C"&amp;"6 = ""Melina"", query(IMPORTRANGE(cd_planilha, ""Armas!B3:G""), ""Select Col1 Where Col2 = '""&amp;Personagem!$T$12&amp;""' or Col2 = '""&amp;Personagem!$T$13&amp;""'""),
if('Time 3'!C6 = ""Mila"", query(IMPORTRANGE(cd_planilha, ""Armas!B3:G""), ""Select Col1 Where Col2 "&amp;"= '""&amp;Personagem!$U$12&amp;""' or Col2 = '""&amp;Personagem!$U$13&amp;""' ""),
if('Time 3'!C6 = ""Minh"", query(IMPORTRANGE(cd_planilha, ""Armas!B3:G""), ""Select Col1 Where Col2 = '""&amp;Personagem!$V$12&amp;""' or Col2 = '""&amp;Personagem!$V$13&amp;""' ""),
if('Time 3'!C6 = ""Mo"&amp;"jian"", query(IMPORTRANGE(cd_planilha, ""Armas!B3:G""), ""Select Col1 Where Col2 = '""&amp;Personagem!$W$12&amp;""' or Col2 = '""&amp;Personagem!$W$13&amp;""'""),
if('Time 3'!C6 = ""Nya"", query(IMPORTRANGE(cd_planilha, ""Armas!B3:G""), ""Select Col1 Where Col2 = '""&amp;Per"&amp;"sonagem!$X$12&amp;""' or Col2 = '""&amp;Personagem!$X$13&amp;""' ""),
if('Time 3'!C6 = ""Odette"", query(IMPORTRANGE(cd_planilha, ""Armas!B3:G""), ""Select Col1 Where Col2 = '""&amp;Personagem!$Y$12&amp;""' or Col2 = '""&amp;Personagem!$Y$13&amp;""'""),
if('Time 3'!C6 = ""Oneira"", "&amp;"query(IMPORTRANGE(cd_planilha, ""Armas!B3:G""), ""Select Col1 Where Col2 = '""&amp;Personagem!$Z$12&amp;""' or Col2 = '""&amp;Personagem!$Z$13&amp;""' ""),
if('Time 3'!C6 = ""Palash"", query(IMPORTRANGE(cd_planilha, ""Armas!B3:G""), ""Select Col1 Where Col2 = '""&amp;Persona"&amp;"gem!$AA$12&amp;""' or Col2 = '""&amp;Personagem!$AA$13&amp;""'""),
if('Time 3'!C6 = ""Theor"", query(IMPORTRANGE(cd_planilha, ""Armas!B3:G""), ""Select Col1 Where Col2 = '""&amp;Personagem!$AB$12&amp;""' or Col2 = '""&amp;Personagem!$AB$13&amp;""' ""),
if('Time 3'!C6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T600" s="241"/>
      <c r="U600" s="241" t="str">
        <f>IFERROR(__xludf.DUMMYFUNCTION("if('Time 3'!C7 = ""Albert"", query(IMPORTRANGE(cd_planilha, ""Armas!B3:G""), ""Select Col1 Where Col2 = '""&amp;Personagem!$B$12&amp;""' or Col2 = '""&amp;Personagem!$B$13&amp;""'""),     
if('Time 3'!C7 = ""Alicia"", query(IMPORTRANGE(cd_planilha, ""Armas!B3:G""), ""Sel"&amp;"ect Col1 Where Col2 = '""&amp;Personagem!$C$12&amp;""' or Col2 = '""&amp;Personagem!$C$13&amp;""'""),
if('Time 3'!C7 = ""Azula"", query(IMPORTRANGE(cd_planilha, ""Armas!B3:G""), ""Select Col1 Where Col2 = '""&amp;Personagem!$D$12&amp;""' or Col2 = '""&amp;Personagem!$D$13&amp;""' ""),
i"&amp;"f('Time 3'!C7 = ""Charles"", query(IMPORTRANGE(cd_planilha, ""Armas!B3:G""), ""Select Col1 Where Col2 = '""&amp;Personagem!$E$12&amp;""' or Col2 = '""&amp;Personagem!$E$13&amp;""'""),
if('Time 3'!C7 = ""Clovis"", query(IMPORTRANGE(cd_planilha, ""Armas!B3:G""), ""Select C"&amp;"ol1 Where Col2 = '""&amp;Personagem!$F$12&amp;""' or Col2 = '""&amp;Personagem!$F$13&amp;""' ""),
if('Time 3'!C7 = ""Darthos"", query(IMPORTRANGE(cd_planilha, ""Armas!B3:G""), ""Select Col1 Where Col2 = '""&amp;Personagem!$G$12&amp;""' or Col2 = '""&amp;Personagem!$G$13&amp;""'""),
if('"&amp;"Time 3'!C7 = ""Edward"", query(IMPORTRANGE(cd_planilha, ""Armas!B3:G""), ""Select Col1 Where Col2 = '""&amp;Personagem!$H$12&amp;""' or Col2 = '""&amp;Personagem!$H$13&amp;""' ""),
if('Time 3'!C7 = ""Fiora"", query(IMPORTRANGE(cd_planilha, ""Armas!B3:G""), ""Select Col1 "&amp;"Where Col2 = '""&amp;Personagem!$I$12&amp;""' or Col2 = '""&amp;Personagem!$I$13&amp;""' ""),
if('Time 3'!C7 = ""Francesca"", query(IMPORTRANGE(cd_planilha, ""Armas!B3:G""), ""Select Col1 Where Col2 = '""&amp;Personagem!$J$12&amp;""' or Col2 = '""&amp;Personagem!$J$13&amp;""'""),
if('Ti"&amp;"me 3'!C7 = ""Garreth"", query(IMPORTRANGE(cd_planilha, ""Armas!B3:G""), ""Select Col1 Where Col2 = '""&amp;Personagem!$K$12&amp;""' or Col2 = '""&amp;Personagem!$K$13&amp;""'""),
if('Time 3'!C7 = ""Gauvin"", query(IMPORTRANGE(cd_planilha, ""Armas!B3:G""), ""Select Col1 W"&amp;"here Col2 = '""&amp;Personagem!$L$12&amp;""' or Col2 = '""&amp;Personagem!$L$13&amp;""' ""),
if('Time 3'!C7 = ""Irene"", query(IMPORTRANGE(cd_planilha, ""Armas!B3:G""), ""Select Col1 Where Col2 = '""&amp;Personagem!$M$12&amp;""' or Col2 = '""&amp;Personagem!$M$13&amp;""' ""),
if('Time 3"&amp;"'!C7 = ""Karal"", query(IMPORTRANGE(cd_planilha, ""Armas!B3:G""), ""Select Col1 Where Col2 = '""&amp;Personagem!$N$12&amp;""' or Col2 = '""&amp;Personagem!$N$13&amp;""' ""),
if('Time 3'!C7 = ""Kuro Shobi"", query(IMPORTRANGE(cd_planilha, ""Armas!B3:G""), ""Select Col1 Wh"&amp;"ere Col2 = '""&amp;Personagem!$O$12&amp;""' or Col2 = '""&amp;Personagem!$O$13&amp;""'""),
if('Time 3'!C7 = ""Kurul"", query(IMPORTRANGE(cd_planilha, ""Armas!B3:G""), ""Select Col1 Where Col2 = '""&amp;Personagem!$P$12&amp;""' or Col2 = '""&amp;Personagem!$P$13&amp;""' ""),
if('Time 3'!"&amp;"C7 = ""Lancaster"", query(IMPORTRANGE(cd_planilha, ""Armas!B3:G""), ""Select Col1 Where Col2 = '""&amp;Personagem!$Q$12&amp;""' or Col2 = '""&amp;Personagem!$Q$13&amp;""'""),
if('Time 3'!C7 = ""Lorelei"", query(IMPORTRANGE(cd_planilha, ""Armas!B3:G""), ""Select Col1 Wher"&amp;"e Col2 = '""&amp;Personagem!$R$12&amp;""' or Col2 = '""&amp;Personagem!$R$13&amp;""' ""),
if('Time 3'!C7 = ""Louca"", query(IMPORTRANGE(cd_planilha, ""Armas!B3:G""), ""Select Col1 Where Col2 = '""&amp;Personagem!$S$12&amp;""' or Col2 = '""&amp;Personagem!$S$13&amp;""' ""),
if('Time 3'!C"&amp;"7 = ""Melina"", query(IMPORTRANGE(cd_planilha, ""Armas!B3:G""), ""Select Col1 Where Col2 = '""&amp;Personagem!$T$12&amp;""' or Col2 = '""&amp;Personagem!$T$13&amp;""'""),
if('Time 3'!C7 = ""Mila"", query(IMPORTRANGE(cd_planilha, ""Armas!B3:G""), ""Select Col1 Where Col2 "&amp;"= '""&amp;Personagem!$U$12&amp;""' or Col2 = '""&amp;Personagem!$U$13&amp;""' ""),
if('Time 3'!C7 = ""Minh"", query(IMPORTRANGE(cd_planilha, ""Armas!B3:G""), ""Select Col1 Where Col2 = '""&amp;Personagem!$V$12&amp;""' or Col2 = '""&amp;Personagem!$V$13&amp;""' ""),
if('Time 3'!C7 = ""Mo"&amp;"jian"", query(IMPORTRANGE(cd_planilha, ""Armas!B3:G""), ""Select Col1 Where Col2 = '""&amp;Personagem!$W$12&amp;""' or Col2 = '""&amp;Personagem!$W$13&amp;""'""),
if('Time 3'!C7 = ""Nya"", query(IMPORTRANGE(cd_planilha, ""Armas!B3:G""), ""Select Col1 Where Col2 = '""&amp;Per"&amp;"sonagem!$X$12&amp;""' or Col2 = '""&amp;Personagem!$X$13&amp;""' ""),
if('Time 3'!C7 = ""Odette"", query(IMPORTRANGE(cd_planilha, ""Armas!B3:G""), ""Select Col1 Where Col2 = '""&amp;Personagem!$Y$12&amp;""' or Col2 = '""&amp;Personagem!$Y$13&amp;""'""),
if('Time 3'!C7 = ""Oneira"", "&amp;"query(IMPORTRANGE(cd_planilha, ""Armas!B3:G""), ""Select Col1 Where Col2 = '""&amp;Personagem!$Z$12&amp;""' or Col2 = '""&amp;Personagem!$Z$13&amp;""' ""),
if('Time 3'!C7 = ""Palash"", query(IMPORTRANGE(cd_planilha, ""Armas!B3:G""), ""Select Col1 Where Col2 = '""&amp;Persona"&amp;"gem!$AA$12&amp;""' or Col2 = '""&amp;Personagem!$AA$13&amp;""'""),
if('Time 3'!C7 = ""Theor"", query(IMPORTRANGE(cd_planilha, ""Armas!B3:G""), ""Select Col1 Where Col2 = '""&amp;Personagem!$AB$12&amp;""' or Col2 = '""&amp;Personagem!$AB$13&amp;""' ""),
if('Time 3'!C7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V600" s="241"/>
      <c r="W600" s="241" t="str">
        <f>IFERROR(__xludf.DUMMYFUNCTION("if('Time 3'!C8 = ""Albert"", query(IMPORTRANGE(cd_planilha, ""Armas!B3:G""), ""Select Col1 Where Col2 = '""&amp;Personagem!$B$12&amp;""' or Col2 = '""&amp;Personagem!$B$13&amp;""'""),     
if('Time 3'!C8 = ""Alicia"", query(IMPORTRANGE(cd_planilha, ""Armas!B3:G""), ""Sel"&amp;"ect Col1 Where Col2 = '""&amp;Personagem!$C$12&amp;""' or Col2 = '""&amp;Personagem!$C$13&amp;""'""),
if('Time 3'!C8 = ""Azula"", query(IMPORTRANGE(cd_planilha, ""Armas!B3:G""), ""Select Col1 Where Col2 = '""&amp;Personagem!$D$12&amp;""' or Col2 = '""&amp;Personagem!$D$13&amp;""' ""),
i"&amp;"f('Time 3'!C8 = ""Charles"", query(IMPORTRANGE(cd_planilha, ""Armas!B3:G""), ""Select Col1 Where Col2 = '""&amp;Personagem!$E$12&amp;""' or Col2 = '""&amp;Personagem!$E$13&amp;""'""),
if('Time 3'!C8 = ""Clovis"", query(IMPORTRANGE(cd_planilha, ""Armas!B3:G""), ""Select C"&amp;"ol1 Where Col2 = '""&amp;Personagem!$F$12&amp;""' or Col2 = '""&amp;Personagem!$F$13&amp;""' ""),
if('Time 3'!C8 = ""Darthos"", query(IMPORTRANGE(cd_planilha, ""Armas!B3:G""), ""Select Col1 Where Col2 = '""&amp;Personagem!$G$12&amp;""' or Col2 = '""&amp;Personagem!$G$13&amp;""'""),
if('"&amp;"Time 3'!C8 = ""Edward"", query(IMPORTRANGE(cd_planilha, ""Armas!B3:G""), ""Select Col1 Where Col2 = '""&amp;Personagem!$H$12&amp;""' or Col2 = '""&amp;Personagem!$H$13&amp;""' ""),
if('Time 3'!C8 = ""Fiora"", query(IMPORTRANGE(cd_planilha, ""Armas!B3:G""), ""Select Col1 "&amp;"Where Col2 = '""&amp;Personagem!$I$12&amp;""' or Col2 = '""&amp;Personagem!$I$13&amp;""' ""),
if('Time 3'!C8 = ""Francesca"", query(IMPORTRANGE(cd_planilha, ""Armas!B3:G""), ""Select Col1 Where Col2 = '""&amp;Personagem!$J$12&amp;""' or Col2 = '""&amp;Personagem!$J$13&amp;""'""),
if('Ti"&amp;"me 3'!C8 = ""Garreth"", query(IMPORTRANGE(cd_planilha, ""Armas!B3:G""), ""Select Col1 Where Col2 = '""&amp;Personagem!$K$12&amp;""' or Col2 = '""&amp;Personagem!$K$13&amp;""'""),
if('Time 3'!C8 = ""Gauvin"", query(IMPORTRANGE(cd_planilha, ""Armas!B3:G""), ""Select Col1 W"&amp;"here Col2 = '""&amp;Personagem!$L$12&amp;""' or Col2 = '""&amp;Personagem!$L$13&amp;""' ""),
if('Time 3'!C8 = ""Irene"", query(IMPORTRANGE(cd_planilha, ""Armas!B3:G""), ""Select Col1 Where Col2 = '""&amp;Personagem!$M$12&amp;""' or Col2 = '""&amp;Personagem!$M$13&amp;""' ""),
if('Time 3"&amp;"'!C8 = ""Karal"", query(IMPORTRANGE(cd_planilha, ""Armas!B3:G""), ""Select Col1 Where Col2 = '""&amp;Personagem!$N$12&amp;""' or Col2 = '""&amp;Personagem!$N$13&amp;""' ""),
if('Time 3'!C8 = ""Kuro Shobi"", query(IMPORTRANGE(cd_planilha, ""Armas!B3:G""), ""Select Col1 Wh"&amp;"ere Col2 = '""&amp;Personagem!$O$12&amp;""' or Col2 = '""&amp;Personagem!$O$13&amp;""'""),
if('Time 3'!C8 = ""Kurul"", query(IMPORTRANGE(cd_planilha, ""Armas!B3:G""), ""Select Col1 Where Col2 = '""&amp;Personagem!$P$12&amp;""' or Col2 = '""&amp;Personagem!$P$13&amp;""' ""),
if('Time 3'!"&amp;"C8 = ""Lancaster"", query(IMPORTRANGE(cd_planilha, ""Armas!B3:G""), ""Select Col1 Where Col2 = '""&amp;Personagem!$Q$12&amp;""' or Col2 = '""&amp;Personagem!$Q$13&amp;""'""),
if('Time 3'!C8 = ""Lorelei"", query(IMPORTRANGE(cd_planilha, ""Armas!B3:G""), ""Select Col1 Wher"&amp;"e Col2 = '""&amp;Personagem!$R$12&amp;""' or Col2 = '""&amp;Personagem!$R$13&amp;""' ""),
if('Time 3'!C8 = ""Louca"", query(IMPORTRANGE(cd_planilha, ""Armas!B3:G""), ""Select Col1 Where Col2 = '""&amp;Personagem!$S$12&amp;""' or Col2 = '""&amp;Personagem!$S$13&amp;""' ""),
if('Time 3'!C"&amp;"8 = ""Melina"", query(IMPORTRANGE(cd_planilha, ""Armas!B3:G""), ""Select Col1 Where Col2 = '""&amp;Personagem!$T$12&amp;""' or Col2 = '""&amp;Personagem!$T$13&amp;""'""),
if('Time 3'!C8 = ""Mila"", query(IMPORTRANGE(cd_planilha, ""Armas!B3:G""), ""Select Col1 Where Col2 "&amp;"= '""&amp;Personagem!$U$12&amp;""' or Col2 = '""&amp;Personagem!$U$13&amp;""' ""),
if('Time 3'!C8 = ""Minh"", query(IMPORTRANGE(cd_planilha, ""Armas!B3:G""), ""Select Col1 Where Col2 = '""&amp;Personagem!$V$12&amp;""' or Col2 = '""&amp;Personagem!$V$13&amp;""' ""),
if('Time 3'!C8 = ""Mo"&amp;"jian"", query(IMPORTRANGE(cd_planilha, ""Armas!B3:G""), ""Select Col1 Where Col2 = '""&amp;Personagem!$W$12&amp;""' or Col2 = '""&amp;Personagem!$W$13&amp;""'""),
if('Time 3'!C8 = ""Nya"", query(IMPORTRANGE(cd_planilha, ""Armas!B3:G""), ""Select Col1 Where Col2 = '""&amp;Per"&amp;"sonagem!$X$12&amp;""' or Col2 = '""&amp;Personagem!$X$13&amp;""' ""),
if('Time 3'!C8 = ""Odette"", query(IMPORTRANGE(cd_planilha, ""Armas!B3:G""), ""Select Col1 Where Col2 = '""&amp;Personagem!$Y$12&amp;""' or Col2 = '""&amp;Personagem!$Y$13&amp;""'""),
if('Time 3'!C8 = ""Oneira"", "&amp;"query(IMPORTRANGE(cd_planilha, ""Armas!B3:G""), ""Select Col1 Where Col2 = '""&amp;Personagem!$Z$12&amp;""' or Col2 = '""&amp;Personagem!$Z$13&amp;""' ""),
if('Time 3'!C8 = ""Palash"", query(IMPORTRANGE(cd_planilha, ""Armas!B3:G""), ""Select Col1 Where Col2 = '""&amp;Persona"&amp;"gem!$AA$12&amp;""' or Col2 = '""&amp;Personagem!$AA$13&amp;""'""),
if('Time 3'!C8 = ""Theor"", query(IMPORTRANGE(cd_planilha, ""Armas!B3:G""), ""Select Col1 Where Col2 = '""&amp;Personagem!$AB$12&amp;""' or Col2 = '""&amp;Personagem!$AB$13&amp;""' ""),
if('Time 3'!C8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X600" s="242"/>
      <c r="Y600" s="241" t="str">
        <f>IFERROR(__xludf.DUMMYFUNCTION("if('Time 3'!C3 = ""Albert"", query(IMPORTRANGE(cd_planilha, ""Armas!B3:G""), ""Select Col1 Where Col2 = '""&amp;Personagem!$B$14&amp;""' or Col2 = '""&amp;Personagem!$B$15&amp;""' or Col2 = '""&amp;Personagem!$B$16&amp;""'""),     
if('Time 3'!C3 = ""Alicia"", query(IMPORTRANGE("&amp;"cd_planilha, ""Armas!B3:G""), ""Select Col1 Where Col2 = '""&amp;Personagem!$C$14&amp;""'  or Col2 = '""&amp;Personagem!$C$16&amp;""'""),     
if('Time 3'!C3 = ""Azula"", query(IMPORTRANGE(cd_planilha, ""Armas!B3:G""), ""Select Col1 Where Col2 = '""&amp;Personagem!$D$14&amp;""' "&amp;"or Col2 = '""&amp;Personagem!$D$15&amp;""' or Col2 = '""&amp;Personagem!$D$16&amp;""'""),
if('Time 3'!C3 = ""Charles"", query(IMPORTRANGE(cd_planilha, ""Armas!B3:G""), ""Select Col1 Where Col2 = '""&amp;Personagem!$E$14&amp;""' or Col2 = '""&amp;Personagem!$E$15&amp;""'or Col2 = '""&amp;Per"&amp;"sonagem!$E$16&amp;""'""),
if('Time 3'!C3 = ""Clovis"", query(IMPORTRANGE(cd_planilha, ""Armas!B3:G""), ""Select Col1 Where Col2 = '""&amp;Personagem!$F$14&amp;""' or Col2 = '""&amp;Personagem!$F$15&amp;""' or Col2 = '""&amp;Personagem!$F$16&amp;""'""),
if('Time 3'!C3 = ""Darthos"", "&amp;"query(IMPORTRANGE(cd_planilha, ""Armas!B3:G""), ""Select Col1 Where Col2 = '""&amp;Personagem!$G$14&amp;""' or Col2 = '""&amp;Personagem!$G$15&amp;""'or Col2 = '""&amp;Personagem!$G$16&amp;""'""),
if('Time 3'!C3 = ""Edward"", query(IMPORTRANGE(cd_planilha, ""Armas!B3:G""), ""Sel"&amp;"ect Col1 Where Col2 = '""&amp;Personagem!$H$14&amp;""' or Col2 = '""&amp;Personagem!$H$15&amp;""' or Col2 = '""&amp;Personagem!$H$16&amp;""'""),
if('Time 3'!C3 = ""Fiora"", query(IMPORTRANGE(cd_planilha, ""Armas!B3:G""), ""Select Col1 Where Col2 = '""&amp;Personagem!$I$14&amp;""' or Col"&amp;"2 = '""&amp;Personagem!$I$15&amp;""' or Col2 = '""&amp;Personagem!$I$16&amp;""'""),
if('Time 3'!C3 = ""Francesca"", query(IMPORTRANGE(cd_planilha, ""Armas!B3:G""), ""Select Col1 Where Col2 = '""&amp;Personagem!$J$14&amp;""' or Col2 = '""&amp;Personagem!$J$15&amp;""'or Col2 = '""&amp;Persona"&amp;"gem!$J$16&amp;""'""),
if('Time 3'!C3 = ""Garreth"", query(IMPORTRANGE(cd_planilha, ""Armas!B3:G""), ""Select Col1 Where Col2 = '""&amp;Personagem!$K$14&amp;""' or Col2 = '""&amp;Personagem!$K$15&amp;""'or Col2 = '""&amp;Personagem!$K$16&amp;""'""),
if('Time 3'!C3 = ""Gauvin"", query"&amp;"(IMPORTRANGE(cd_planilha, ""Armas!B3:G""), ""Select Col1 Where Col2 = '""&amp;Personagem!$L$14&amp;""' or Col2 = '""&amp;Personagem!$L$15&amp;""'or Col2 = '""&amp;Personagem!$L$16&amp;""' ""),
if('Time 3'!C3 = ""Irene"", query(IMPORTRANGE(cd_planilha, ""Armas!B3:G""), ""Select C"&amp;"ol1 Where Col2 = '""&amp;Personagem!$M$14&amp;""' or Col2 = '""&amp;Personagem!$M$15&amp;""'or Col2 = '""&amp;Personagem!$M$16&amp;""' ""),
if('Time 3'!C3 = ""Karal"", query(IMPORTRANGE(cd_planilha, ""Armas!B3:G""), ""Select Col1 Where Col2 = '""&amp;Personagem!$N$14&amp;""' or Col2 = '"&amp;"""&amp;Personagem!$N$15&amp;""' or Col2 = '""&amp;Personagem!$N$16&amp;""'""),
if('Time 3'!C3 = ""Kuro Shobi"", query(IMPORTRANGE(cd_planilha, ""Armas!B3:G""), ""Select Col1 Where Col2 = '""&amp;Personagem!$O$14&amp;""' or Col2 = '""&amp;Personagem!$O$15&amp;""'or Col2 = '""&amp;Personagem!"&amp;"$O$16&amp;""'""),
if('Time 3'!C3 = ""Kurul"", query(IMPORTRANGE(cd_planilha, ""Armas!B3:G""), ""Select Col1 Where Col2 = '""&amp;Personagem!$P$14&amp;""' or Col2 = '""&amp;Personagem!$P$15&amp;""' or Col2 = '""&amp;Personagem!$P$16&amp;""'""),
if('Time 3'!C3 = ""Lancaster"", query(I"&amp;"MPORTRANGE(cd_planilha, ""Armas!B3:G""), ""Select Col1 Where Col2 = '""&amp;Personagem!$Q$14&amp;""' or Col2 = '""&amp;Personagem!$Q$15&amp;""'or Col2 = '""&amp;Personagem!$Q$16&amp;""'""),
if('Time 3'!C3 = ""Lorelei"", query(IMPORTRANGE(cd_planilha, ""Armas!B3:G""), ""Select Co"&amp;"l1 Where Col2 = '""&amp;Personagem!$R$14&amp;""' or Col2 = '""&amp;Personagem!$R$15&amp;""' or Col2 = '""&amp;Personagem!$R$16&amp;""'""),
if('Time 3'!C3 = ""Louca"", query(IMPORTRANGE(cd_planilha, ""Armas!B3:G""), ""Select Col1 Where Col2 = '""&amp;Personagem!$S$14&amp;""' or Col2 = '"&amp;"""&amp;Personagem!$S$15&amp;""'or Col2 = '""&amp;Personagem!$S$16&amp;""' ""),
if('Time 3'!C3 = ""Melina"", query(IMPORTRANGE(cd_planilha, ""Armas!B3:G""), ""Select Col1 Where Col2 = '""&amp;Personagem!$T$14&amp;""' or Col2 = '""&amp;Personagem!$T$15&amp;""'or Col2 = '""&amp;Personagem!$T$1"&amp;"6&amp;""'""),
if('Time 3'!C3 = ""Mila"", query(IMPORTRANGE(cd_planilha, ""Armas!B3:G""), ""Select Col1 Where Col2 = '""&amp;Personagem!$U$14&amp;""' or Col2 = '""&amp;Personagem!$U$15&amp;""' or Col2 = '""&amp;Personagem!$U$16&amp;""'""),
if('Time 3'!C3 = ""Minh"", query(IMPORTRANGE"&amp;"(cd_planilha, ""Armas!B3:G""), ""Select Col1 Where Col2 = '""&amp;Personagem!$V$14&amp;""' or Col2 = '""&amp;Personagem!$V$15&amp;""' or Col2 = '""&amp;Personagem!$V$16&amp;""'""),
if('Time 3'!C3 = ""Mojian"", query(IMPORTRANGE(cd_planilha, ""Armas!B3:G""), ""Select Col1 Where C"&amp;"ol2 = '""&amp;Personagem!$W$14&amp;""' or Col2 = '""&amp;Personagem!$W$15&amp;""'or Col2 = '""&amp;Personagem!$W$16&amp;""'""),
if('Time 3'!C3 = ""Nya"", query(IMPORTRANGE(cd_planilha, ""Armas!B3:G""), ""Select Col1 Where Col2 = '""&amp;Personagem!$X$14&amp;""' or Col2 = '""&amp;Personagem!"&amp;"$X$15&amp;""' or Col2 = '""&amp;Personagem!$X$16&amp;""'""),
if('Time 3'!C3 = ""Odette"", query(IMPORTRANGE(cd_planilha, ""Armas!B3:G""), ""Select Col1 Where Col2 = '""&amp;Personagem!$Y$14&amp;""' or Col2 = '""&amp;Personagem!$Y$15&amp;""'or Col2 = '""&amp;Personagem!$YB$16&amp;""'""),
if("&amp;"'Time 3'!C3 = ""Oneira"", query(IMPORTRANGE(cd_planilha, ""Armas!B3:G""), ""Select Col1 Where Col2 = '""&amp;Personagem!$Z$14&amp;""' or Col2 = '""&amp;Personagem!$Z$15&amp;""' or Col2 = '""&amp;Personagem!$Z$16&amp;""'""),
if('Time 3'!C3 = ""Palash"", query(IMPORTRANGE(cd_plani"&amp;"lha, ""Armas!B3:G""), ""Select Col1 Where Col2 = '""&amp;Personagem!$AA$14&amp;""' or Col2 = '""&amp;Personagem!$AA$15&amp;""'or Col2 = '""&amp;Personagem!$AA$16&amp;""'""),
if('Time 3'!C3 = ""Theor"", query(IMPORTRANGE(cd_planilha, ""Armas!B3:G""), ""Select Col1 Where Col2 = '"&amp;"""&amp;Personagem!$AB$14&amp;""' or Col2 = '""&amp;Personagem!$AB$15&amp;""' or Col2 = '""&amp;Personagem!$AB$16&amp;""'""),
if('Time 3'!C3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Z600" s="241"/>
      <c r="AA600" s="241" t="str">
        <f>IFERROR(__xludf.DUMMYFUNCTION("if('Time 3'!C4 = ""Albert"", query(IMPORTRANGE(cd_planilha, ""Armas!B3:G""), ""Select Col1 Where Col2 = '""&amp;Personagem!$B$14&amp;""' or Col2 = '""&amp;Personagem!$B$15&amp;""' or Col2 = '""&amp;Personagem!$B$16&amp;""'""),     
if('Time 3'!C4 = ""Alicia"", query(IMPORTRANGE("&amp;"cd_planilha, ""Armas!B3:G""), ""Select Col1 Where Col2 = '""&amp;Personagem!$C$14&amp;""'  or Col2 = '""&amp;Personagem!$C$16&amp;""'""),     
if('Time 3'!C4 = ""Azula"", query(IMPORTRANGE(cd_planilha, ""Armas!B3:G""), ""Select Col1 Where Col2 = '""&amp;Personagem!$D$14&amp;""' "&amp;"or Col2 = '""&amp;Personagem!$D$15&amp;""' or Col2 = '""&amp;Personagem!$D$16&amp;""'""),
if('Time 3'!C4 = ""Charles"", query(IMPORTRANGE(cd_planilha, ""Armas!B3:G""), ""Select Col1 Where Col2 = '""&amp;Personagem!$E$14&amp;""' or Col2 = '""&amp;Personagem!$E$15&amp;""'or Col2 = '""&amp;Per"&amp;"sonagem!$E$16&amp;""'""),
if('Time 3'!C4 = ""Clovis"", query(IMPORTRANGE(cd_planilha, ""Armas!B3:G""), ""Select Col1 Where Col2 = '""&amp;Personagem!$F$14&amp;""' or Col2 = '""&amp;Personagem!$F$15&amp;""' or Col2 = '""&amp;Personagem!$F$16&amp;""'""),
if('Time 3'!C4 = ""Darthos"", "&amp;"query(IMPORTRANGE(cd_planilha, ""Armas!B3:G""), ""Select Col1 Where Col2 = '""&amp;Personagem!$G$14&amp;""' or Col2 = '""&amp;Personagem!$G$15&amp;""'or Col2 = '""&amp;Personagem!$G$16&amp;""'""),
if('Time 3'!C4 = ""Edward"", query(IMPORTRANGE(cd_planilha, ""Armas!B3:G""), ""Sel"&amp;"ect Col1 Where Col2 = '""&amp;Personagem!$H$14&amp;""' or Col2 = '""&amp;Personagem!$H$15&amp;""' or Col2 = '""&amp;Personagem!$H$16&amp;""'""),
if('Time 3'!C4 = ""Fiora"", query(IMPORTRANGE(cd_planilha, ""Armas!B3:G""), ""Select Col1 Where Col2 = '""&amp;Personagem!$I$14&amp;""' or Col"&amp;"2 = '""&amp;Personagem!$I$15&amp;""' or Col2 = '""&amp;Personagem!$I$16&amp;""'""),
if('Time 3'!C4 = ""Francesca"", query(IMPORTRANGE(cd_planilha, ""Armas!B3:G""), ""Select Col1 Where Col2 = '""&amp;Personagem!$J$14&amp;""' or Col2 = '""&amp;Personagem!$J$15&amp;""'or Col2 = '""&amp;Persona"&amp;"gem!$J$16&amp;""'""),
if('Time 3'!C4 = ""Garreth"", query(IMPORTRANGE(cd_planilha, ""Armas!B3:G""), ""Select Col1 Where Col2 = '""&amp;Personagem!$K$14&amp;""' or Col2 = '""&amp;Personagem!$K$15&amp;""'or Col2 = '""&amp;Personagem!$K$16&amp;""'""),
if('Time 3'!C4 = ""Gauvin"", query"&amp;"(IMPORTRANGE(cd_planilha, ""Armas!B3:G""), ""Select Col1 Where Col2 = '""&amp;Personagem!$L$14&amp;""' or Col2 = '""&amp;Personagem!$L$15&amp;""'or Col2 = '""&amp;Personagem!$L$16&amp;""' ""),
if('Time 3'!C4 = ""Irene"", query(IMPORTRANGE(cd_planilha, ""Armas!B3:G""), ""Select C"&amp;"ol1 Where Col2 = '""&amp;Personagem!$M$14&amp;""' or Col2 = '""&amp;Personagem!$M$15&amp;""'or Col2 = '""&amp;Personagem!$M$16&amp;""' ""),
if('Time 3'!C4 = ""Karal"", query(IMPORTRANGE(cd_planilha, ""Armas!B3:G""), ""Select Col1 Where Col2 = '""&amp;Personagem!$N$14&amp;""' or Col2 = '"&amp;"""&amp;Personagem!$N$15&amp;""' or Col2 = '""&amp;Personagem!$N$16&amp;""'""),
if('Time 3'!C4 = ""Kuro Shobi"", query(IMPORTRANGE(cd_planilha, ""Armas!B3:G""), ""Select Col1 Where Col2 = '""&amp;Personagem!$O$14&amp;""' or Col2 = '""&amp;Personagem!$O$15&amp;""'or Col2 = '""&amp;Personagem!"&amp;"$O$16&amp;""'""),
if('Time 3'!C4 = ""Kurul"", query(IMPORTRANGE(cd_planilha, ""Armas!B3:G""), ""Select Col1 Where Col2 = '""&amp;Personagem!$P$14&amp;""' or Col2 = '""&amp;Personagem!$P$15&amp;""' or Col2 = '""&amp;Personagem!$P$16&amp;""'""),
if('Time 3'!C4 = ""Lancaster"", query(I"&amp;"MPORTRANGE(cd_planilha, ""Armas!B3:G""), ""Select Col1 Where Col2 = '""&amp;Personagem!$Q$14&amp;""' or Col2 = '""&amp;Personagem!$Q$15&amp;""'or Col2 = '""&amp;Personagem!$Q$16&amp;""'""),
if('Time 3'!C4 = ""Lorelei"", query(IMPORTRANGE(cd_planilha, ""Armas!B3:G""), ""Select Co"&amp;"l1 Where Col2 = '""&amp;Personagem!$R$14&amp;""' or Col2 = '""&amp;Personagem!$R$15&amp;""' or Col2 = '""&amp;Personagem!$R$16&amp;""'""),
if('Time 3'!C4 = ""Louca"", query(IMPORTRANGE(cd_planilha, ""Armas!B3:G""), ""Select Col1 Where Col2 = '""&amp;Personagem!$S$14&amp;""' or Col2 = '"&amp;"""&amp;Personagem!$S$15&amp;""'or Col2 = '""&amp;Personagem!$S$16&amp;""' ""),
if('Time 3'!C4 = ""Melina"", query(IMPORTRANGE(cd_planilha, ""Armas!B3:G""), ""Select Col1 Where Col2 = '""&amp;Personagem!$T$14&amp;""' or Col2 = '""&amp;Personagem!$T$15&amp;""'or Col2 = '""&amp;Personagem!$T$1"&amp;"6&amp;""'""),
if('Time 3'!C4 = ""Mila"", query(IMPORTRANGE(cd_planilha, ""Armas!B3:G""), ""Select Col1 Where Col2 = '""&amp;Personagem!$U$14&amp;""' or Col2 = '""&amp;Personagem!$U$15&amp;""' or Col2 = '""&amp;Personagem!$U$16&amp;""'""),
if('Time 3'!C4 = ""Minh"", query(IMPORTRANGE"&amp;"(cd_planilha, ""Armas!B3:G""), ""Select Col1 Where Col2 = '""&amp;Personagem!$V$14&amp;""' or Col2 = '""&amp;Personagem!$V$15&amp;""' or Col2 = '""&amp;Personagem!$V$16&amp;""'""),
if('Time 3'!C4 = ""Mojian"", query(IMPORTRANGE(cd_planilha, ""Armas!B3:G""), ""Select Col1 Where C"&amp;"ol2 = '""&amp;Personagem!$W$14&amp;""' or Col2 = '""&amp;Personagem!$W$15&amp;""'or Col2 = '""&amp;Personagem!$W$16&amp;""'""),
if('Time 3'!C4 = ""Nya"", query(IMPORTRANGE(cd_planilha, ""Armas!B3:G""), ""Select Col1 Where Col2 = '""&amp;Personagem!$X$14&amp;""' or Col2 = '""&amp;Personagem!"&amp;"$X$15&amp;""' or Col2 = '""&amp;Personagem!$X$16&amp;""'""),
if('Time 3'!C4 = ""Odette"", query(IMPORTRANGE(cd_planilha, ""Armas!B3:G""), ""Select Col1 Where Col2 = '""&amp;Personagem!$Y$14&amp;""' or Col2 = '""&amp;Personagem!$Y$15&amp;""'or Col2 = '""&amp;Personagem!$YB$16&amp;""'""),
if("&amp;"'Time 3'!C4 = ""Oneira"", query(IMPORTRANGE(cd_planilha, ""Armas!B3:G""), ""Select Col1 Where Col2 = '""&amp;Personagem!$Z$14&amp;""' or Col2 = '""&amp;Personagem!$Z$15&amp;""' or Col2 = '""&amp;Personagem!$Z$16&amp;""'""),
if('Time 3'!C4 = ""Palash"", query(IMPORTRANGE(cd_plani"&amp;"lha, ""Armas!B3:G""), ""Select Col1 Where Col2 = '""&amp;Personagem!$AA$14&amp;""' or Col2 = '""&amp;Personagem!$AA$15&amp;""'or Col2 = '""&amp;Personagem!$AA$16&amp;""'""),
if('Time 3'!C4 = ""Theor"", query(IMPORTRANGE(cd_planilha, ""Armas!B3:G""), ""Select Col1 Where Col2 = '"&amp;"""&amp;Personagem!$AB$14&amp;""' or Col2 = '""&amp;Personagem!$AB$15&amp;""' or Col2 = '""&amp;Personagem!$AB$16&amp;""'""),
if('Time 3'!C4 = ""Yue"", query(IMPORTRANGE(cd_planilha, ""Armas!B3:G""), ""Select Col1 Where Col2 = '""&amp;Personagem!$AC$14&amp;""' or Col2 = '""&amp;Personagem!$A"&amp;"C$15&amp;""'or Col2 = '""&amp;Personagem!$AC$16&amp;""'""
)))))))))))))))))))))))))))))"),"Flauta de Ferro")</f>
        <v>Flauta de Ferro</v>
      </c>
      <c r="AB600" s="241"/>
      <c r="AC600" s="241" t="str">
        <f>IFERROR(__xludf.DUMMYFUNCTION("if('Time 3'!C5 = ""Albert"", query(IMPORTRANGE(cd_planilha, ""Armas!B3:G""), ""Select Col1 Where Col2 = '""&amp;Personagem!$B$14&amp;""' or Col2 = '""&amp;Personagem!$B$15&amp;""' or Col2 = '""&amp;Personagem!$B$16&amp;""'""),     
if('Time 3'!C5 = ""Alicia"", query(IMPORTRANGE("&amp;"cd_planilha, ""Armas!B3:G""), ""Select Col1 Where Col2 = '""&amp;Personagem!$C$14&amp;""'  or Col2 = '""&amp;Personagem!$C$16&amp;""'""),     
if('Time 3'!C5 = ""Azula"", query(IMPORTRANGE(cd_planilha, ""Armas!B3:G""), ""Select Col1 Where Col2 = '""&amp;Personagem!$D$14&amp;""' "&amp;"or Col2 = '""&amp;Personagem!$D$15&amp;""' or Col2 = '""&amp;Personagem!$D$16&amp;""'""),
if('Time 3'!C5 = ""Charles"", query(IMPORTRANGE(cd_planilha, ""Armas!B3:G""), ""Select Col1 Where Col2 = '""&amp;Personagem!$E$14&amp;""' or Col2 = '""&amp;Personagem!$E$15&amp;""'or Col2 = '""&amp;Per"&amp;"sonagem!$E$16&amp;""'""),
if('Time 3'!C5 = ""Clovis"", query(IMPORTRANGE(cd_planilha, ""Armas!B3:G""), ""Select Col1 Where Col2 = '""&amp;Personagem!$F$14&amp;""' or Col2 = '""&amp;Personagem!$F$15&amp;""' or Col2 = '""&amp;Personagem!$F$16&amp;""'""),
if('Time 3'!C5 = ""Darthos"", "&amp;"query(IMPORTRANGE(cd_planilha, ""Armas!B3:G""), ""Select Col1 Where Col2 = '""&amp;Personagem!$G$14&amp;""' or Col2 = '""&amp;Personagem!$G$15&amp;""'or Col2 = '""&amp;Personagem!$G$16&amp;""'""),
if('Time 3'!C5 = ""Edward"", query(IMPORTRANGE(cd_planilha, ""Armas!B3:G""), ""Sel"&amp;"ect Col1 Where Col2 = '""&amp;Personagem!$H$14&amp;""' or Col2 = '""&amp;Personagem!$H$15&amp;""' or Col2 = '""&amp;Personagem!$H$16&amp;""'""),
if('Time 3'!C5 = ""Fiora"", query(IMPORTRANGE(cd_planilha, ""Armas!B3:G""), ""Select Col1 Where Col2 = '""&amp;Personagem!$I$14&amp;""' or Col"&amp;"2 = '""&amp;Personagem!$I$15&amp;""' or Col2 = '""&amp;Personagem!$I$16&amp;""'""),
if('Time 3'!C5 = ""Francesca"", query(IMPORTRANGE(cd_planilha, ""Armas!B3:G""), ""Select Col1 Where Col2 = '""&amp;Personagem!$J$14&amp;""' or Col2 = '""&amp;Personagem!$J$15&amp;""'or Col2 = '""&amp;Persona"&amp;"gem!$J$16&amp;""'""),
if('Time 3'!C5 = ""Garreth"", query(IMPORTRANGE(cd_planilha, ""Armas!B3:G""), ""Select Col1 Where Col2 = '""&amp;Personagem!$K$14&amp;""' or Col2 = '""&amp;Personagem!$K$15&amp;""'or Col2 = '""&amp;Personagem!$K$16&amp;""'""),
if('Time 3'!C5 = ""Gauvin"", query"&amp;"(IMPORTRANGE(cd_planilha, ""Armas!B3:G""), ""Select Col1 Where Col2 = '""&amp;Personagem!$L$14&amp;""' or Col2 = '""&amp;Personagem!$L$15&amp;""'or Col2 = '""&amp;Personagem!$L$16&amp;""' ""),
if('Time 3'!C5 = ""Irene"", query(IMPORTRANGE(cd_planilha, ""Armas!B3:G""), ""Select C"&amp;"ol1 Where Col2 = '""&amp;Personagem!$M$14&amp;""' or Col2 = '""&amp;Personagem!$M$15&amp;""'or Col2 = '""&amp;Personagem!$M$16&amp;""' ""),
if('Time 3'!C5 = ""Karal"", query(IMPORTRANGE(cd_planilha, ""Armas!B3:G""), ""Select Col1 Where Col2 = '""&amp;Personagem!$N$14&amp;""' or Col2 = '"&amp;"""&amp;Personagem!$N$15&amp;""' or Col2 = '""&amp;Personagem!$N$16&amp;""'""),
if('Time 3'!C5 = ""Kuro Shobi"", query(IMPORTRANGE(cd_planilha, ""Armas!B3:G""), ""Select Col1 Where Col2 = '""&amp;Personagem!$O$14&amp;""' or Col2 = '""&amp;Personagem!$O$15&amp;""'or Col2 = '""&amp;Personagem!"&amp;"$O$16&amp;""'""),
if('Time 3'!C5 = ""Kurul"", query(IMPORTRANGE(cd_planilha, ""Armas!B3:G""), ""Select Col1 Where Col2 = '""&amp;Personagem!$P$14&amp;""' or Col2 = '""&amp;Personagem!$P$15&amp;""' or Col2 = '""&amp;Personagem!$P$16&amp;""'""),
if('Time 3'!C5 = ""Lancaster"", query(I"&amp;"MPORTRANGE(cd_planilha, ""Armas!B3:G""), ""Select Col1 Where Col2 = '""&amp;Personagem!$Q$14&amp;""' or Col2 = '""&amp;Personagem!$Q$15&amp;""'or Col2 = '""&amp;Personagem!$Q$16&amp;""'""),
if('Time 3'!C5 = ""Lorelei"", query(IMPORTRANGE(cd_planilha, ""Armas!B3:G""), ""Select Co"&amp;"l1 Where Col2 = '""&amp;Personagem!$R$14&amp;""' or Col2 = '""&amp;Personagem!$R$15&amp;""' or Col2 = '""&amp;Personagem!$R$16&amp;""'""),
if('Time 3'!C5 = ""Louca"", query(IMPORTRANGE(cd_planilha, ""Armas!B3:G""), ""Select Col1 Where Col2 = '""&amp;Personagem!$S$14&amp;""' or Col2 = '"&amp;"""&amp;Personagem!$S$15&amp;""'or Col2 = '""&amp;Personagem!$S$16&amp;""' ""),
if('Time 3'!C5 = ""Melina"", query(IMPORTRANGE(cd_planilha, ""Armas!B3:G""), ""Select Col1 Where Col2 = '""&amp;Personagem!$T$14&amp;""' or Col2 = '""&amp;Personagem!$T$15&amp;""'or Col2 = '""&amp;Personagem!$T$1"&amp;"6&amp;""'""),
if('Time 3'!C5 = ""Mila"", query(IMPORTRANGE(cd_planilha, ""Armas!B3:G""), ""Select Col1 Where Col2 = '""&amp;Personagem!$U$14&amp;""' or Col2 = '""&amp;Personagem!$U$15&amp;""' or Col2 = '""&amp;Personagem!$U$16&amp;""'""),
if('Time 3'!C5 = ""Minh"", query(IMPORTRANGE"&amp;"(cd_planilha, ""Armas!B3:G""), ""Select Col1 Where Col2 = '""&amp;Personagem!$V$14&amp;""' or Col2 = '""&amp;Personagem!$V$15&amp;""' or Col2 = '""&amp;Personagem!$V$16&amp;""'""),
if('Time 3'!C5 = ""Mojian"", query(IMPORTRANGE(cd_planilha, ""Armas!B3:G""), ""Select Col1 Where C"&amp;"ol2 = '""&amp;Personagem!$W$14&amp;""' or Col2 = '""&amp;Personagem!$W$15&amp;""'or Col2 = '""&amp;Personagem!$W$16&amp;""'""),
if('Time 3'!C5 = ""Nya"", query(IMPORTRANGE(cd_planilha, ""Armas!B3:G""), ""Select Col1 Where Col2 = '""&amp;Personagem!$X$14&amp;""' or Col2 = '""&amp;Personagem!"&amp;"$X$15&amp;""' or Col2 = '""&amp;Personagem!$X$16&amp;""'""),
if('Time 3'!C5 = ""Odette"", query(IMPORTRANGE(cd_planilha, ""Armas!B3:G""), ""Select Col1 Where Col2 = '""&amp;Personagem!$Y$14&amp;""' or Col2 = '""&amp;Personagem!$Y$15&amp;""'or Col2 = '""&amp;Personagem!$YB$16&amp;""'""),
if("&amp;"'Time 3'!C5 = ""Oneira"", query(IMPORTRANGE(cd_planilha, ""Armas!B3:G""), ""Select Col1 Where Col2 = '""&amp;Personagem!$Z$14&amp;""' or Col2 = '""&amp;Personagem!$Z$15&amp;""' or Col2 = '""&amp;Personagem!$Z$16&amp;""'""),
if('Time 3'!C5 = ""Palash"", query(IMPORTRANGE(cd_plani"&amp;"lha, ""Armas!B3:G""), ""Select Col1 Where Col2 = '""&amp;Personagem!$AA$14&amp;""' or Col2 = '""&amp;Personagem!$AA$15&amp;""'or Col2 = '""&amp;Personagem!$AA$16&amp;""'""),
if('Time 3'!C5 = ""Theor"", query(IMPORTRANGE(cd_planilha, ""Armas!B3:G""), ""Select Col1 Where Col2 = '"&amp;"""&amp;Personagem!$AB$14&amp;""' or Col2 = '""&amp;Personagem!$AB$15&amp;""' or Col2 = '""&amp;Personagem!$AB$16&amp;""'""),
if('Time 3'!C5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D600" s="241"/>
      <c r="AE600" s="241" t="str">
        <f>IFERROR(__xludf.DUMMYFUNCTION("if('Time 3'!C6 = ""Albert"", query(IMPORTRANGE(cd_planilha, ""Armas!B3:G""), ""Select Col1 Where Col2 = '""&amp;Personagem!$B$14&amp;""' or Col2 = '""&amp;Personagem!$B$15&amp;""' or Col2 = '""&amp;Personagem!$B$16&amp;""'""),     
if('Time 3'!C6 = ""Alicia"", query(IMPORTRANGE("&amp;"cd_planilha, ""Armas!B3:G""), ""Select Col1 Where Col2 = '""&amp;Personagem!$C$14&amp;""'  or Col2 = '""&amp;Personagem!$C$16&amp;""'""),     
if('Time 3'!C6 = ""Azula"", query(IMPORTRANGE(cd_planilha, ""Armas!B3:G""), ""Select Col1 Where Col2 = '""&amp;Personagem!$D$14&amp;""' "&amp;"or Col2 = '""&amp;Personagem!$D$15&amp;""' or Col2 = '""&amp;Personagem!$D$16&amp;""'""),
if('Time 3'!C6 = ""Charles"", query(IMPORTRANGE(cd_planilha, ""Armas!B3:G""), ""Select Col1 Where Col2 = '""&amp;Personagem!$E$14&amp;""' or Col2 = '""&amp;Personagem!$E$15&amp;""'or Col2 = '""&amp;Per"&amp;"sonagem!$E$16&amp;""'""),
if('Time 3'!C6 = ""Clovis"", query(IMPORTRANGE(cd_planilha, ""Armas!B3:G""), ""Select Col1 Where Col2 = '""&amp;Personagem!$F$14&amp;""' or Col2 = '""&amp;Personagem!$F$15&amp;""' or Col2 = '""&amp;Personagem!$F$16&amp;""'""),
if('Time 3'!C6 = ""Darthos"", "&amp;"query(IMPORTRANGE(cd_planilha, ""Armas!B3:G""), ""Select Col1 Where Col2 = '""&amp;Personagem!$G$14&amp;""' or Col2 = '""&amp;Personagem!$G$15&amp;""'or Col2 = '""&amp;Personagem!$G$16&amp;""'""),
if('Time 3'!C6 = ""Edward"", query(IMPORTRANGE(cd_planilha, ""Armas!B3:G""), ""Sel"&amp;"ect Col1 Where Col2 = '""&amp;Personagem!$H$14&amp;""' or Col2 = '""&amp;Personagem!$H$15&amp;""' or Col2 = '""&amp;Personagem!$H$16&amp;""'""),
if('Time 3'!C6 = ""Fiora"", query(IMPORTRANGE(cd_planilha, ""Armas!B3:G""), ""Select Col1 Where Col2 = '""&amp;Personagem!$I$14&amp;""' or Col"&amp;"2 = '""&amp;Personagem!$I$15&amp;""' or Col2 = '""&amp;Personagem!$I$16&amp;""'""),
if('Time 3'!C6 = ""Francesca"", query(IMPORTRANGE(cd_planilha, ""Armas!B3:G""), ""Select Col1 Where Col2 = '""&amp;Personagem!$J$14&amp;""' or Col2 = '""&amp;Personagem!$J$15&amp;""'or Col2 = '""&amp;Persona"&amp;"gem!$J$16&amp;""'""),
if('Time 3'!C6 = ""Garreth"", query(IMPORTRANGE(cd_planilha, ""Armas!B3:G""), ""Select Col1 Where Col2 = '""&amp;Personagem!$K$14&amp;""' or Col2 = '""&amp;Personagem!$K$15&amp;""'or Col2 = '""&amp;Personagem!$K$16&amp;""'""),
if('Time 3'!C6 = ""Gauvin"", query"&amp;"(IMPORTRANGE(cd_planilha, ""Armas!B3:G""), ""Select Col1 Where Col2 = '""&amp;Personagem!$L$14&amp;""' or Col2 = '""&amp;Personagem!$L$15&amp;""'or Col2 = '""&amp;Personagem!$L$16&amp;""' ""),
if('Time 3'!C6 = ""Irene"", query(IMPORTRANGE(cd_planilha, ""Armas!B3:G""), ""Select C"&amp;"ol1 Where Col2 = '""&amp;Personagem!$M$14&amp;""' or Col2 = '""&amp;Personagem!$M$15&amp;""'or Col2 = '""&amp;Personagem!$M$16&amp;""' ""),
if('Time 3'!C6 = ""Karal"", query(IMPORTRANGE(cd_planilha, ""Armas!B3:G""), ""Select Col1 Where Col2 = '""&amp;Personagem!$N$14&amp;""' or Col2 = '"&amp;"""&amp;Personagem!$N$15&amp;""' or Col2 = '""&amp;Personagem!$N$16&amp;""'""),
if('Time 3'!C6 = ""Kuro Shobi"", query(IMPORTRANGE(cd_planilha, ""Armas!B3:G""), ""Select Col1 Where Col2 = '""&amp;Personagem!$O$14&amp;""' or Col2 = '""&amp;Personagem!$O$15&amp;""'or Col2 = '""&amp;Personagem!"&amp;"$O$16&amp;""'""),
if('Time 3'!C6 = ""Kurul"", query(IMPORTRANGE(cd_planilha, ""Armas!B3:G""), ""Select Col1 Where Col2 = '""&amp;Personagem!$P$14&amp;""' or Col2 = '""&amp;Personagem!$P$15&amp;""' or Col2 = '""&amp;Personagem!$P$16&amp;""'""),
if('Time 3'!C6 = ""Lancaster"", query(I"&amp;"MPORTRANGE(cd_planilha, ""Armas!B3:G""), ""Select Col1 Where Col2 = '""&amp;Personagem!$Q$14&amp;""' or Col2 = '""&amp;Personagem!$Q$15&amp;""'or Col2 = '""&amp;Personagem!$Q$16&amp;""'""),
if('Time 3'!C6 = ""Lorelei"", query(IMPORTRANGE(cd_planilha, ""Armas!B3:G""), ""Select Co"&amp;"l1 Where Col2 = '""&amp;Personagem!$R$14&amp;""' or Col2 = '""&amp;Personagem!$R$15&amp;""' or Col2 = '""&amp;Personagem!$R$16&amp;""'""),
if('Time 3'!C6 = ""Louca"", query(IMPORTRANGE(cd_planilha, ""Armas!B3:G""), ""Select Col1 Where Col2 = '""&amp;Personagem!$S$14&amp;""' or Col2 = '"&amp;"""&amp;Personagem!$S$15&amp;""'or Col2 = '""&amp;Personagem!$S$16&amp;""' ""),
if('Time 3'!C6 = ""Melina"", query(IMPORTRANGE(cd_planilha, ""Armas!B3:G""), ""Select Col1 Where Col2 = '""&amp;Personagem!$T$14&amp;""' or Col2 = '""&amp;Personagem!$T$15&amp;""'or Col2 = '""&amp;Personagem!$T$1"&amp;"6&amp;""'""),
if('Time 3'!C6 = ""Mila"", query(IMPORTRANGE(cd_planilha, ""Armas!B3:G""), ""Select Col1 Where Col2 = '""&amp;Personagem!$U$14&amp;""' or Col2 = '""&amp;Personagem!$U$15&amp;""' or Col2 = '""&amp;Personagem!$U$16&amp;""'""),
if('Time 3'!C6 = ""Minh"", query(IMPORTRANGE"&amp;"(cd_planilha, ""Armas!B3:G""), ""Select Col1 Where Col2 = '""&amp;Personagem!$V$14&amp;""' or Col2 = '""&amp;Personagem!$V$15&amp;""' or Col2 = '""&amp;Personagem!$V$16&amp;""'""),
if('Time 3'!C6 = ""Mojian"", query(IMPORTRANGE(cd_planilha, ""Armas!B3:G""), ""Select Col1 Where C"&amp;"ol2 = '""&amp;Personagem!$W$14&amp;""' or Col2 = '""&amp;Personagem!$W$15&amp;""'or Col2 = '""&amp;Personagem!$W$16&amp;""'""),
if('Time 3'!C6 = ""Nya"", query(IMPORTRANGE(cd_planilha, ""Armas!B3:G""), ""Select Col1 Where Col2 = '""&amp;Personagem!$X$14&amp;""' or Col2 = '""&amp;Personagem!"&amp;"$X$15&amp;""' or Col2 = '""&amp;Personagem!$X$16&amp;""'""),
if('Time 3'!C6 = ""Odette"", query(IMPORTRANGE(cd_planilha, ""Armas!B3:G""), ""Select Col1 Where Col2 = '""&amp;Personagem!$Y$14&amp;""' or Col2 = '""&amp;Personagem!$Y$15&amp;""'or Col2 = '""&amp;Personagem!$YB$16&amp;""'""),
if("&amp;"'Time 3'!C6 = ""Oneira"", query(IMPORTRANGE(cd_planilha, ""Armas!B3:G""), ""Select Col1 Where Col2 = '""&amp;Personagem!$Z$14&amp;""' or Col2 = '""&amp;Personagem!$Z$15&amp;""' or Col2 = '""&amp;Personagem!$Z$16&amp;""'""),
if('Time 3'!C6 = ""Palash"", query(IMPORTRANGE(cd_plani"&amp;"lha, ""Armas!B3:G""), ""Select Col1 Where Col2 = '""&amp;Personagem!$AA$14&amp;""' or Col2 = '""&amp;Personagem!$AA$15&amp;""'or Col2 = '""&amp;Personagem!$AA$16&amp;""'""),
if('Time 3'!C6 = ""Theor"", query(IMPORTRANGE(cd_planilha, ""Armas!B3:G""), ""Select Col1 Where Col2 = '"&amp;"""&amp;Personagem!$AB$14&amp;""' or Col2 = '""&amp;Personagem!$AB$15&amp;""' or Col2 = '""&amp;Personagem!$AB$16&amp;""'""),
if('Time 3'!C6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F600" s="241"/>
      <c r="AG600" s="241" t="str">
        <f>IFERROR(__xludf.DUMMYFUNCTION("if('Time 3'!C7 = ""Albert"", query(IMPORTRANGE(cd_planilha, ""Armas!B3:G""), ""Select Col1 Where Col2 = '""&amp;Personagem!$B$14&amp;""' or Col2 = '""&amp;Personagem!$B$15&amp;""' or Col2 = '""&amp;Personagem!$B$16&amp;""'""),     
if('Time 3'!C7 = ""Alicia"", query(IMPORTRANGE("&amp;"cd_planilha, ""Armas!B3:G""), ""Select Col1 Where Col2 = '""&amp;Personagem!$C$14&amp;""'  or Col2 = '""&amp;Personagem!$C$16&amp;""'""),     
if('Time 3'!C7 = ""Azula"", query(IMPORTRANGE(cd_planilha, ""Armas!B3:G""), ""Select Col1 Where Col2 = '""&amp;Personagem!$D$14&amp;""' "&amp;"or Col2 = '""&amp;Personagem!$D$15&amp;""' or Col2 = '""&amp;Personagem!$D$16&amp;""'""),
if('Time 3'!C7 = ""Charles"", query(IMPORTRANGE(cd_planilha, ""Armas!B3:G""), ""Select Col1 Where Col2 = '""&amp;Personagem!$E$14&amp;""' or Col2 = '""&amp;Personagem!$E$15&amp;""'or Col2 = '""&amp;Per"&amp;"sonagem!$E$16&amp;""'""),
if('Time 3'!C7 = ""Clovis"", query(IMPORTRANGE(cd_planilha, ""Armas!B3:G""), ""Select Col1 Where Col2 = '""&amp;Personagem!$F$14&amp;""' or Col2 = '""&amp;Personagem!$F$15&amp;""' or Col2 = '""&amp;Personagem!$F$16&amp;""'""),
if('Time 3'!C7 = ""Darthos"", "&amp;"query(IMPORTRANGE(cd_planilha, ""Armas!B3:G""), ""Select Col1 Where Col2 = '""&amp;Personagem!$G$14&amp;""' or Col2 = '""&amp;Personagem!$G$15&amp;""'or Col2 = '""&amp;Personagem!$G$16&amp;""'""),
if('Time 3'!C7 = ""Edward"", query(IMPORTRANGE(cd_planilha, ""Armas!B3:G""), ""Sel"&amp;"ect Col1 Where Col2 = '""&amp;Personagem!$H$14&amp;""' or Col2 = '""&amp;Personagem!$H$15&amp;""' or Col2 = '""&amp;Personagem!$H$16&amp;""'""),
if('Time 3'!C7 = ""Fiora"", query(IMPORTRANGE(cd_planilha, ""Armas!B3:G""), ""Select Col1 Where Col2 = '""&amp;Personagem!$I$14&amp;""' or Col"&amp;"2 = '""&amp;Personagem!$I$15&amp;""' or Col2 = '""&amp;Personagem!$I$16&amp;""'""),
if('Time 3'!C7 = ""Francesca"", query(IMPORTRANGE(cd_planilha, ""Armas!B3:G""), ""Select Col1 Where Col2 = '""&amp;Personagem!$J$14&amp;""' or Col2 = '""&amp;Personagem!$J$15&amp;""'or Col2 = '""&amp;Persona"&amp;"gem!$J$16&amp;""'""),
if('Time 3'!C7 = ""Garreth"", query(IMPORTRANGE(cd_planilha, ""Armas!B3:G""), ""Select Col1 Where Col2 = '""&amp;Personagem!$K$14&amp;""' or Col2 = '""&amp;Personagem!$K$15&amp;""'or Col2 = '""&amp;Personagem!$K$16&amp;""'""),
if('Time 3'!C7 = ""Gauvin"", query"&amp;"(IMPORTRANGE(cd_planilha, ""Armas!B3:G""), ""Select Col1 Where Col2 = '""&amp;Personagem!$L$14&amp;""' or Col2 = '""&amp;Personagem!$L$15&amp;""'or Col2 = '""&amp;Personagem!$L$16&amp;""' ""),
if('Time 3'!C7 = ""Irene"", query(IMPORTRANGE(cd_planilha, ""Armas!B3:G""), ""Select C"&amp;"ol1 Where Col2 = '""&amp;Personagem!$M$14&amp;""' or Col2 = '""&amp;Personagem!$M$15&amp;""'or Col2 = '""&amp;Personagem!$M$16&amp;""' ""),
if('Time 3'!C7 = ""Karal"", query(IMPORTRANGE(cd_planilha, ""Armas!B3:G""), ""Select Col1 Where Col2 = '""&amp;Personagem!$N$14&amp;""' or Col2 = '"&amp;"""&amp;Personagem!$N$15&amp;""' or Col2 = '""&amp;Personagem!$N$16&amp;""'""),
if('Time 3'!C7 = ""Kuro Shobi"", query(IMPORTRANGE(cd_planilha, ""Armas!B3:G""), ""Select Col1 Where Col2 = '""&amp;Personagem!$O$14&amp;""' or Col2 = '""&amp;Personagem!$O$15&amp;""'or Col2 = '""&amp;Personagem!"&amp;"$O$16&amp;""'""),
if('Time 3'!C7 = ""Kurul"", query(IMPORTRANGE(cd_planilha, ""Armas!B3:G""), ""Select Col1 Where Col2 = '""&amp;Personagem!$P$14&amp;""' or Col2 = '""&amp;Personagem!$P$15&amp;""' or Col2 = '""&amp;Personagem!$P$16&amp;""'""),
if('Time 3'!C7 = ""Lancaster"", query(I"&amp;"MPORTRANGE(cd_planilha, ""Armas!B3:G""), ""Select Col1 Where Col2 = '""&amp;Personagem!$Q$14&amp;""' or Col2 = '""&amp;Personagem!$Q$15&amp;""'or Col2 = '""&amp;Personagem!$Q$16&amp;""'""),
if('Time 3'!C7 = ""Lorelei"", query(IMPORTRANGE(cd_planilha, ""Armas!B3:G""), ""Select Co"&amp;"l1 Where Col2 = '""&amp;Personagem!$R$14&amp;""' or Col2 = '""&amp;Personagem!$R$15&amp;""' or Col2 = '""&amp;Personagem!$R$16&amp;""'""),
if('Time 3'!C7 = ""Louca"", query(IMPORTRANGE(cd_planilha, ""Armas!B3:G""), ""Select Col1 Where Col2 = '""&amp;Personagem!$S$14&amp;""' or Col2 = '"&amp;"""&amp;Personagem!$S$15&amp;""'or Col2 = '""&amp;Personagem!$S$16&amp;""' ""),
if('Time 3'!C7 = ""Melina"", query(IMPORTRANGE(cd_planilha, ""Armas!B3:G""), ""Select Col1 Where Col2 = '""&amp;Personagem!$T$14&amp;""' or Col2 = '""&amp;Personagem!$T$15&amp;""'or Col2 = '""&amp;Personagem!$T$1"&amp;"6&amp;""'""),
if('Time 3'!C7 = ""Mila"", query(IMPORTRANGE(cd_planilha, ""Armas!B3:G""), ""Select Col1 Where Col2 = '""&amp;Personagem!$U$14&amp;""' or Col2 = '""&amp;Personagem!$U$15&amp;""' or Col2 = '""&amp;Personagem!$U$16&amp;""'""),
if('Time 3'!C7 = ""Minh"", query(IMPORTRANGE"&amp;"(cd_planilha, ""Armas!B3:G""), ""Select Col1 Where Col2 = '""&amp;Personagem!$V$14&amp;""' or Col2 = '""&amp;Personagem!$V$15&amp;""' or Col2 = '""&amp;Personagem!$V$16&amp;""'""),
if('Time 3'!C7 = ""Mojian"", query(IMPORTRANGE(cd_planilha, ""Armas!B3:G""), ""Select Col1 Where C"&amp;"ol2 = '""&amp;Personagem!$W$14&amp;""' or Col2 = '""&amp;Personagem!$W$15&amp;""'or Col2 = '""&amp;Personagem!$W$16&amp;""'""),
if('Time 3'!C7 = ""Nya"", query(IMPORTRANGE(cd_planilha, ""Armas!B3:G""), ""Select Col1 Where Col2 = '""&amp;Personagem!$X$14&amp;""' or Col2 = '""&amp;Personagem!"&amp;"$X$15&amp;""' or Col2 = '""&amp;Personagem!$X$16&amp;""'""),
if('Time 3'!C7 = ""Odette"", query(IMPORTRANGE(cd_planilha, ""Armas!B3:G""), ""Select Col1 Where Col2 = '""&amp;Personagem!$Y$14&amp;""' or Col2 = '""&amp;Personagem!$Y$15&amp;""'or Col2 = '""&amp;Personagem!$YB$16&amp;""'""),
if("&amp;"'Time 3'!C7 = ""Oneira"", query(IMPORTRANGE(cd_planilha, ""Armas!B3:G""), ""Select Col1 Where Col2 = '""&amp;Personagem!$Z$14&amp;""' or Col2 = '""&amp;Personagem!$Z$15&amp;""' or Col2 = '""&amp;Personagem!$Z$16&amp;""'""),
if('Time 3'!C7 = ""Palash"", query(IMPORTRANGE(cd_plani"&amp;"lha, ""Armas!B3:G""), ""Select Col1 Where Col2 = '""&amp;Personagem!$AA$14&amp;""' or Col2 = '""&amp;Personagem!$AA$15&amp;""'or Col2 = '""&amp;Personagem!$AA$16&amp;""'""),
if('Time 3'!C7 = ""Theor"", query(IMPORTRANGE(cd_planilha, ""Armas!B3:G""), ""Select Col1 Where Col2 = '"&amp;"""&amp;Personagem!$AB$14&amp;""' or Col2 = '""&amp;Personagem!$AB$15&amp;""' or Col2 = '""&amp;Personagem!$AB$16&amp;""'""),
if('Time 3'!C7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H600" s="241"/>
      <c r="AI600" s="241" t="str">
        <f>IFERROR(__xludf.DUMMYFUNCTION("if('Time 3'!C8 = ""Albert"", query(IMPORTRANGE(cd_planilha, ""Armas!B3:G""), ""Select Col1 Where Col2 = '""&amp;Personagem!$B$14&amp;""' or Col2 = '""&amp;Personagem!$B$15&amp;""' or Col2 = '""&amp;Personagem!$B$16&amp;""'""),     
if('Time 3'!C8 = ""Alicia"", query(IMPORTRANGE("&amp;"cd_planilha, ""Armas!B3:G""), ""Select Col1 Where Col2 = '""&amp;Personagem!$C$14&amp;""'  or Col2 = '""&amp;Personagem!$C$16&amp;""'""),     
if('Time 3'!C8 = ""Azula"", query(IMPORTRANGE(cd_planilha, ""Armas!B3:G""), ""Select Col1 Where Col2 = '""&amp;Personagem!$D$14&amp;""' "&amp;"or Col2 = '""&amp;Personagem!$D$15&amp;""' or Col2 = '""&amp;Personagem!$D$16&amp;""'""),
if('Time 3'!C8 = ""Charles"", query(IMPORTRANGE(cd_planilha, ""Armas!B3:G""), ""Select Col1 Where Col2 = '""&amp;Personagem!$E$14&amp;""' or Col2 = '""&amp;Personagem!$E$15&amp;""'or Col2 = '""&amp;Per"&amp;"sonagem!$E$16&amp;""'""),
if('Time 3'!C8 = ""Clovis"", query(IMPORTRANGE(cd_planilha, ""Armas!B3:G""), ""Select Col1 Where Col2 = '""&amp;Personagem!$F$14&amp;""' or Col2 = '""&amp;Personagem!$F$15&amp;""' or Col2 = '""&amp;Personagem!$F$16&amp;""'""),
if('Time 3'!C8 = ""Darthos"", "&amp;"query(IMPORTRANGE(cd_planilha, ""Armas!B3:G""), ""Select Col1 Where Col2 = '""&amp;Personagem!$G$14&amp;""' or Col2 = '""&amp;Personagem!$G$15&amp;""'or Col2 = '""&amp;Personagem!$G$16&amp;""'""),
if('Time 3'!C8 = ""Edward"", query(IMPORTRANGE(cd_planilha, ""Armas!B3:G""), ""Sel"&amp;"ect Col1 Where Col2 = '""&amp;Personagem!$H$14&amp;""' or Col2 = '""&amp;Personagem!$H$15&amp;""' or Col2 = '""&amp;Personagem!$H$16&amp;""'""),
if('Time 3'!C8 = ""Fiora"", query(IMPORTRANGE(cd_planilha, ""Armas!B3:G""), ""Select Col1 Where Col2 = '""&amp;Personagem!$I$14&amp;""' or Col"&amp;"2 = '""&amp;Personagem!$I$15&amp;""' or Col2 = '""&amp;Personagem!$I$16&amp;""'""),
if('Time 3'!C8 = ""Francesca"", query(IMPORTRANGE(cd_planilha, ""Armas!B3:G""), ""Select Col1 Where Col2 = '""&amp;Personagem!$J$14&amp;""' or Col2 = '""&amp;Personagem!$J$15&amp;""'or Col2 = '""&amp;Persona"&amp;"gem!$J$16&amp;""'""),
if('Time 3'!C8 = ""Garreth"", query(IMPORTRANGE(cd_planilha, ""Armas!B3:G""), ""Select Col1 Where Col2 = '""&amp;Personagem!$K$14&amp;""' or Col2 = '""&amp;Personagem!$K$15&amp;""'or Col2 = '""&amp;Personagem!$K$16&amp;""'""),
if('Time 3'!C8 = ""Gauvin"", query"&amp;"(IMPORTRANGE(cd_planilha, ""Armas!B3:G""), ""Select Col1 Where Col2 = '""&amp;Personagem!$L$14&amp;""' or Col2 = '""&amp;Personagem!$L$15&amp;""'or Col2 = '""&amp;Personagem!$L$16&amp;""' ""),
if('Time 3'!C8 = ""Irene"", query(IMPORTRANGE(cd_planilha, ""Armas!B3:G""), ""Select C"&amp;"ol1 Where Col2 = '""&amp;Personagem!$M$14&amp;""' or Col2 = '""&amp;Personagem!$M$15&amp;""'or Col2 = '""&amp;Personagem!$M$16&amp;""' ""),
if('Time 3'!C8 = ""Karal"", query(IMPORTRANGE(cd_planilha, ""Armas!B3:G""), ""Select Col1 Where Col2 = '""&amp;Personagem!$N$14&amp;""' or Col2 = '"&amp;"""&amp;Personagem!$N$15&amp;""' or Col2 = '""&amp;Personagem!$N$16&amp;""'""),
if('Time 3'!C8 = ""Kuro Shobi"", query(IMPORTRANGE(cd_planilha, ""Armas!B3:G""), ""Select Col1 Where Col2 = '""&amp;Personagem!$O$14&amp;""' or Col2 = '""&amp;Personagem!$O$15&amp;""'or Col2 = '""&amp;Personagem!"&amp;"$O$16&amp;""'""),
if('Time 3'!C8 = ""Kurul"", query(IMPORTRANGE(cd_planilha, ""Armas!B3:G""), ""Select Col1 Where Col2 = '""&amp;Personagem!$P$14&amp;""' or Col2 = '""&amp;Personagem!$P$15&amp;""' or Col2 = '""&amp;Personagem!$P$16&amp;""'""),
if('Time 3'!C8 = ""Lancaster"", query(I"&amp;"MPORTRANGE(cd_planilha, ""Armas!B3:G""), ""Select Col1 Where Col2 = '""&amp;Personagem!$Q$14&amp;""' or Col2 = '""&amp;Personagem!$Q$15&amp;""'or Col2 = '""&amp;Personagem!$Q$16&amp;""'""),
if('Time 3'!C8 = ""Lorelei"", query(IMPORTRANGE(cd_planilha, ""Armas!B3:G""), ""Select Co"&amp;"l1 Where Col2 = '""&amp;Personagem!$R$14&amp;""' or Col2 = '""&amp;Personagem!$R$15&amp;""' or Col2 = '""&amp;Personagem!$R$16&amp;""'""),
if('Time 3'!C8 = ""Louca"", query(IMPORTRANGE(cd_planilha, ""Armas!B3:G""), ""Select Col1 Where Col2 = '""&amp;Personagem!$S$14&amp;""' or Col2 = '"&amp;"""&amp;Personagem!$S$15&amp;""'or Col2 = '""&amp;Personagem!$S$16&amp;""' ""),
if('Time 3'!C8 = ""Melina"", query(IMPORTRANGE(cd_planilha, ""Armas!B3:G""), ""Select Col1 Where Col2 = '""&amp;Personagem!$T$14&amp;""' or Col2 = '""&amp;Personagem!$T$15&amp;""'or Col2 = '""&amp;Personagem!$T$1"&amp;"6&amp;""'""),
if('Time 3'!C8 = ""Mila"", query(IMPORTRANGE(cd_planilha, ""Armas!B3:G""), ""Select Col1 Where Col2 = '""&amp;Personagem!$U$14&amp;""' or Col2 = '""&amp;Personagem!$U$15&amp;""' or Col2 = '""&amp;Personagem!$U$16&amp;""'""),
if('Time 3'!C8 = ""Minh"", query(IMPORTRANGE"&amp;"(cd_planilha, ""Armas!B3:G""), ""Select Col1 Where Col2 = '""&amp;Personagem!$V$14&amp;""' or Col2 = '""&amp;Personagem!$V$15&amp;""' or Col2 = '""&amp;Personagem!$V$16&amp;""'""),
if('Time 3'!C8 = ""Mojian"", query(IMPORTRANGE(cd_planilha, ""Armas!B3:G""), ""Select Col1 Where C"&amp;"ol2 = '""&amp;Personagem!$W$14&amp;""' or Col2 = '""&amp;Personagem!$W$15&amp;""'or Col2 = '""&amp;Personagem!$W$16&amp;""'""),
if('Time 3'!C8 = ""Nya"", query(IMPORTRANGE(cd_planilha, ""Armas!B3:G""), ""Select Col1 Where Col2 = '""&amp;Personagem!$X$14&amp;""' or Col2 = '""&amp;Personagem!"&amp;"$X$15&amp;""' or Col2 = '""&amp;Personagem!$X$16&amp;""'""),
if('Time 3'!C8 = ""Odette"", query(IMPORTRANGE(cd_planilha, ""Armas!B3:G""), ""Select Col1 Where Col2 = '""&amp;Personagem!$Y$14&amp;""' or Col2 = '""&amp;Personagem!$Y$15&amp;""'or Col2 = '""&amp;Personagem!$YB$16&amp;""'""),
if("&amp;"'Time 3'!C8 = ""Oneira"", query(IMPORTRANGE(cd_planilha, ""Armas!B3:G""), ""Select Col1 Where Col2 = '""&amp;Personagem!$Z$14&amp;""' or Col2 = '""&amp;Personagem!$Z$15&amp;""' or Col2 = '""&amp;Personagem!$Z$16&amp;""'""),
if('Time 3'!C8 = ""Palash"", query(IMPORTRANGE(cd_plani"&amp;"lha, ""Armas!B3:G""), ""Select Col1 Where Col2 = '""&amp;Personagem!$AA$14&amp;""' or Col2 = '""&amp;Personagem!$AA$15&amp;""'or Col2 = '""&amp;Personagem!$AA$16&amp;""'""),
if('Time 3'!C8 = ""Theor"", query(IMPORTRANGE(cd_planilha, ""Armas!B3:G""), ""Select Col1 Where Col2 = '"&amp;"""&amp;Personagem!$AB$14&amp;""' or Col2 = '""&amp;Personagem!$AB$15&amp;""' or Col2 = '""&amp;Personagem!$AB$16&amp;""'""),
if('Time 3'!C8 = ""Yue"", query(IMPORTRANGE(cd_planilha, ""Armas!B3:G""), ""Select Col1 Where Col2 = '""&amp;Personagem!$AC$14&amp;""' or Col2 = '""&amp;Personagem!$A"&amp;"C$15&amp;""'or Col2 = '""&amp;Personagem!$AC$16&amp;""'""
)))))))))))))))))))))))))))))"),"Flauta de Ferro")</f>
        <v>Flauta de Ferro</v>
      </c>
      <c r="AJ600" s="242"/>
    </row>
    <row r="601">
      <c r="A601" s="241" t="str">
        <f>IFERROR(__xludf.DUMMYFUNCTION("""COMPUTED_VALUE"""),"Guardian Protector")</f>
        <v>Guardian Protector</v>
      </c>
      <c r="B601" s="241"/>
      <c r="C601" s="241" t="str">
        <f>IFERROR(__xludf.DUMMYFUNCTION("""COMPUTED_VALUE"""),"Guardian Protector")</f>
        <v>Guardian Protector</v>
      </c>
      <c r="D601" s="241"/>
      <c r="E601" s="241" t="str">
        <f>IFERROR(__xludf.DUMMYFUNCTION("""COMPUTED_VALUE"""),"Gancho mão de metal")</f>
        <v>Gancho mão de metal</v>
      </c>
      <c r="F601" s="241"/>
      <c r="G601" s="241" t="str">
        <f>IFERROR(__xludf.DUMMYFUNCTION("""COMPUTED_VALUE"""),"Guardian Protector")</f>
        <v>Guardian Protector</v>
      </c>
      <c r="H601" s="241"/>
      <c r="I601" s="241" t="str">
        <f>IFERROR(__xludf.DUMMYFUNCTION("""COMPUTED_VALUE"""),"Guardian Protector")</f>
        <v>Guardian Protector</v>
      </c>
      <c r="J601" s="241"/>
      <c r="K601" s="241" t="str">
        <f>IFERROR(__xludf.DUMMYFUNCTION("""COMPUTED_VALUE"""),"Guardian Protector")</f>
        <v>Guardian Protector</v>
      </c>
      <c r="L601" s="242"/>
      <c r="M601" s="241" t="str">
        <f>IFERROR(__xludf.DUMMYFUNCTION("""COMPUTED_VALUE"""),"Botas do leão")</f>
        <v>Botas do leão</v>
      </c>
      <c r="N601" s="241"/>
      <c r="O601" s="241" t="str">
        <f>IFERROR(__xludf.DUMMYFUNCTION("""COMPUTED_VALUE"""),"Calçado Lunar ")</f>
        <v>Calçado Lunar </v>
      </c>
      <c r="P601" s="241"/>
      <c r="Q601" s="241" t="str">
        <f>IFERROR(__xludf.DUMMYFUNCTION("""COMPUTED_VALUE"""),"Botas do leão")</f>
        <v>Botas do leão</v>
      </c>
      <c r="R601" s="241"/>
      <c r="S601" s="241" t="str">
        <f>IFERROR(__xludf.DUMMYFUNCTION("""COMPUTED_VALUE"""),"Calçado Lunar ")</f>
        <v>Calçado Lunar </v>
      </c>
      <c r="T601" s="241"/>
      <c r="U601" s="241" t="str">
        <f>IFERROR(__xludf.DUMMYFUNCTION("""COMPUTED_VALUE"""),"Calçado Lunar ")</f>
        <v>Calçado Lunar </v>
      </c>
      <c r="V601" s="241"/>
      <c r="W601" s="241" t="str">
        <f>IFERROR(__xludf.DUMMYFUNCTION("""COMPUTED_VALUE"""),"Calçado Lunar ")</f>
        <v>Calçado Lunar </v>
      </c>
      <c r="X601" s="242"/>
      <c r="Y601" s="241" t="str">
        <f>IFERROR(__xludf.DUMMYFUNCTION("""COMPUTED_VALUE"""),"Interesseiro")</f>
        <v>Interesseiro</v>
      </c>
      <c r="Z601" s="241"/>
      <c r="AA601" s="241" t="str">
        <f>IFERROR(__xludf.DUMMYFUNCTION("""COMPUTED_VALUE"""),"Harpa Congelada")</f>
        <v>Harpa Congelada</v>
      </c>
      <c r="AB601" s="241"/>
      <c r="AC601" s="241" t="str">
        <f>IFERROR(__xludf.DUMMYFUNCTION("""COMPUTED_VALUE"""),"Contra Fogo")</f>
        <v>Contra Fogo</v>
      </c>
      <c r="AD601" s="241"/>
      <c r="AE601" s="241" t="str">
        <f>IFERROR(__xludf.DUMMYFUNCTION("""COMPUTED_VALUE"""),"Interesseiro")</f>
        <v>Interesseiro</v>
      </c>
      <c r="AF601" s="241"/>
      <c r="AG601" s="241" t="str">
        <f>IFERROR(__xludf.DUMMYFUNCTION("""COMPUTED_VALUE"""),"Interesseiro")</f>
        <v>Interesseiro</v>
      </c>
      <c r="AH601" s="241"/>
      <c r="AI601" s="241" t="str">
        <f>IFERROR(__xludf.DUMMYFUNCTION("""COMPUTED_VALUE"""),"Harpa Congelada")</f>
        <v>Harpa Congelada</v>
      </c>
      <c r="AJ601" s="242"/>
    </row>
    <row r="602" hidden="1">
      <c r="A602" s="241" t="str">
        <f>IFERROR(__xludf.DUMMYFUNCTION("""COMPUTED_VALUE"""),"Luvas do Grão Mestre")</f>
        <v>Luvas do Grão Mestre</v>
      </c>
      <c r="B602" s="241"/>
      <c r="C602" s="241" t="str">
        <f>IFERROR(__xludf.DUMMYFUNCTION("""COMPUTED_VALUE"""),"Luvas do Grão Mestre")</f>
        <v>Luvas do Grão Mestre</v>
      </c>
      <c r="D602" s="241"/>
      <c r="E602" s="241" t="str">
        <f>IFERROR(__xludf.DUMMYFUNCTION("""COMPUTED_VALUE"""),"Garra Gelada")</f>
        <v>Garra Gelada</v>
      </c>
      <c r="F602" s="241"/>
      <c r="G602" s="241" t="str">
        <f>IFERROR(__xludf.DUMMYFUNCTION("""COMPUTED_VALUE"""),"Luvas do Grão Mestre")</f>
        <v>Luvas do Grão Mestre</v>
      </c>
      <c r="H602" s="241"/>
      <c r="I602" s="241" t="str">
        <f>IFERROR(__xludf.DUMMYFUNCTION("""COMPUTED_VALUE"""),"Luvas do Grão Mestre")</f>
        <v>Luvas do Grão Mestre</v>
      </c>
      <c r="J602" s="241"/>
      <c r="K602" s="241" t="str">
        <f>IFERROR(__xludf.DUMMYFUNCTION("""COMPUTED_VALUE"""),"Luvas do Grão Mestre")</f>
        <v>Luvas do Grão Mestre</v>
      </c>
      <c r="L602" s="242"/>
      <c r="M602" s="241" t="str">
        <f>IFERROR(__xludf.DUMMYFUNCTION("""COMPUTED_VALUE"""),"Botas do Aventureiro")</f>
        <v>Botas do Aventureiro</v>
      </c>
      <c r="N602" s="241"/>
      <c r="O602" s="241" t="str">
        <f>IFERROR(__xludf.DUMMYFUNCTION("""COMPUTED_VALUE"""),"Meh-ticulosamente Feito")</f>
        <v>Meh-ticulosamente Feito</v>
      </c>
      <c r="P602" s="241"/>
      <c r="Q602" s="241" t="str">
        <f>IFERROR(__xludf.DUMMYFUNCTION("""COMPUTED_VALUE"""),"Botas do Aventureiro")</f>
        <v>Botas do Aventureiro</v>
      </c>
      <c r="R602" s="241"/>
      <c r="S602" s="241" t="str">
        <f>IFERROR(__xludf.DUMMYFUNCTION("""COMPUTED_VALUE"""),"Meh-ticulosamente Feito")</f>
        <v>Meh-ticulosamente Feito</v>
      </c>
      <c r="T602" s="241"/>
      <c r="U602" s="241" t="str">
        <f>IFERROR(__xludf.DUMMYFUNCTION("""COMPUTED_VALUE"""),"Meh-ticulosamente Feito")</f>
        <v>Meh-ticulosamente Feito</v>
      </c>
      <c r="V602" s="241"/>
      <c r="W602" s="241" t="str">
        <f>IFERROR(__xludf.DUMMYFUNCTION("""COMPUTED_VALUE"""),"Meh-ticulosamente Feito")</f>
        <v>Meh-ticulosamente Feito</v>
      </c>
      <c r="X602" s="242"/>
      <c r="Y602" s="241" t="str">
        <f>IFERROR(__xludf.DUMMYFUNCTION("""COMPUTED_VALUE"""),"Anel ferradura")</f>
        <v>Anel ferradura</v>
      </c>
      <c r="Z602" s="241"/>
      <c r="AA602" s="241" t="str">
        <f>IFERROR(__xludf.DUMMYFUNCTION("""COMPUTED_VALUE"""),"Flauta Ygg")</f>
        <v>Flauta Ygg</v>
      </c>
      <c r="AB602" s="241"/>
      <c r="AC602" s="241" t="str">
        <f>IFERROR(__xludf.DUMMYFUNCTION("""COMPUTED_VALUE"""),"Scarab Shield")</f>
        <v>Scarab Shield</v>
      </c>
      <c r="AD602" s="241"/>
      <c r="AE602" s="241" t="str">
        <f>IFERROR(__xludf.DUMMYFUNCTION("""COMPUTED_VALUE"""),"Anel ferradura")</f>
        <v>Anel ferradura</v>
      </c>
      <c r="AF602" s="241"/>
      <c r="AG602" s="241" t="str">
        <f>IFERROR(__xludf.DUMMYFUNCTION("""COMPUTED_VALUE"""),"Anel ferradura")</f>
        <v>Anel ferradura</v>
      </c>
      <c r="AH602" s="241"/>
      <c r="AI602" s="241" t="str">
        <f>IFERROR(__xludf.DUMMYFUNCTION("""COMPUTED_VALUE"""),"Flauta Ygg")</f>
        <v>Flauta Ygg</v>
      </c>
      <c r="AJ602" s="242"/>
    </row>
    <row r="603" hidden="1">
      <c r="A603" s="241" t="str">
        <f>IFERROR(__xludf.DUMMYFUNCTION("""COMPUTED_VALUE"""),"Luvas das Sombras")</f>
        <v>Luvas das Sombras</v>
      </c>
      <c r="B603" s="241"/>
      <c r="C603" s="241" t="str">
        <f>IFERROR(__xludf.DUMMYFUNCTION("""COMPUTED_VALUE"""),"Luvas das Sombras")</f>
        <v>Luvas das Sombras</v>
      </c>
      <c r="D603" s="241"/>
      <c r="E603" s="241" t="str">
        <f>IFERROR(__xludf.DUMMYFUNCTION("""COMPUTED_VALUE"""),"Manoplas do Rei")</f>
        <v>Manoplas do Rei</v>
      </c>
      <c r="F603" s="241"/>
      <c r="G603" s="241" t="str">
        <f>IFERROR(__xludf.DUMMYFUNCTION("""COMPUTED_VALUE"""),"Luvas das Sombras")</f>
        <v>Luvas das Sombras</v>
      </c>
      <c r="H603" s="241"/>
      <c r="I603" s="241" t="str">
        <f>IFERROR(__xludf.DUMMYFUNCTION("""COMPUTED_VALUE"""),"Luvas das Sombras")</f>
        <v>Luvas das Sombras</v>
      </c>
      <c r="J603" s="241"/>
      <c r="K603" s="241" t="str">
        <f>IFERROR(__xludf.DUMMYFUNCTION("""COMPUTED_VALUE"""),"Luvas das Sombras")</f>
        <v>Luvas das Sombras</v>
      </c>
      <c r="L603" s="242"/>
      <c r="M603" s="241" t="str">
        <f>IFERROR(__xludf.DUMMYFUNCTION("""COMPUTED_VALUE"""),"Grevas da chama")</f>
        <v>Grevas da chama</v>
      </c>
      <c r="N603" s="241"/>
      <c r="O603" s="241" t="str">
        <f>IFERROR(__xludf.DUMMYFUNCTION("""COMPUTED_VALUE"""),"Sandálias de Asas ")</f>
        <v>Sandálias de Asas </v>
      </c>
      <c r="P603" s="241"/>
      <c r="Q603" s="241" t="str">
        <f>IFERROR(__xludf.DUMMYFUNCTION("""COMPUTED_VALUE"""),"Grevas da chama")</f>
        <v>Grevas da chama</v>
      </c>
      <c r="R603" s="241"/>
      <c r="S603" s="241" t="str">
        <f>IFERROR(__xludf.DUMMYFUNCTION("""COMPUTED_VALUE"""),"Sandálias de Asas ")</f>
        <v>Sandálias de Asas </v>
      </c>
      <c r="T603" s="241"/>
      <c r="U603" s="241" t="str">
        <f>IFERROR(__xludf.DUMMYFUNCTION("""COMPUTED_VALUE"""),"Sandálias de Asas ")</f>
        <v>Sandálias de Asas </v>
      </c>
      <c r="V603" s="241"/>
      <c r="W603" s="241" t="str">
        <f>IFERROR(__xludf.DUMMYFUNCTION("""COMPUTED_VALUE"""),"Sandálias de Asas ")</f>
        <v>Sandálias de Asas </v>
      </c>
      <c r="X603" s="242"/>
      <c r="Y603" s="241" t="str">
        <f>IFERROR(__xludf.DUMMYFUNCTION("""COMPUTED_VALUE"""),"Perseguindo a lua")</f>
        <v>Perseguindo a lua</v>
      </c>
      <c r="Z603" s="241"/>
      <c r="AA603" s="241" t="str">
        <f>IFERROR(__xludf.DUMMYFUNCTION("""COMPUTED_VALUE"""),"Chifre de Serpente ")</f>
        <v>Chifre de Serpente </v>
      </c>
      <c r="AB603" s="241"/>
      <c r="AC603" s="241" t="str">
        <f>IFERROR(__xludf.DUMMYFUNCTION("""COMPUTED_VALUE"""),"Égide ")</f>
        <v>Égide </v>
      </c>
      <c r="AD603" s="241"/>
      <c r="AE603" s="241" t="str">
        <f>IFERROR(__xludf.DUMMYFUNCTION("""COMPUTED_VALUE"""),"Perseguindo a lua")</f>
        <v>Perseguindo a lua</v>
      </c>
      <c r="AF603" s="241"/>
      <c r="AG603" s="241" t="str">
        <f>IFERROR(__xludf.DUMMYFUNCTION("""COMPUTED_VALUE"""),"Perseguindo a lua")</f>
        <v>Perseguindo a lua</v>
      </c>
      <c r="AH603" s="241"/>
      <c r="AI603" s="241" t="str">
        <f>IFERROR(__xludf.DUMMYFUNCTION("""COMPUTED_VALUE"""),"Chifre de Serpente ")</f>
        <v>Chifre de Serpente </v>
      </c>
      <c r="AJ603" s="242"/>
    </row>
    <row r="604" hidden="1">
      <c r="A604" s="241" t="str">
        <f>IFERROR(__xludf.DUMMYFUNCTION("""COMPUTED_VALUE"""),"Braceletes gélidos")</f>
        <v>Braceletes gélidos</v>
      </c>
      <c r="B604" s="241"/>
      <c r="C604" s="241" t="str">
        <f>IFERROR(__xludf.DUMMYFUNCTION("""COMPUTED_VALUE"""),"Braceletes gélidos")</f>
        <v>Braceletes gélidos</v>
      </c>
      <c r="D604" s="241"/>
      <c r="E604" s="241" t="str">
        <f>IFERROR(__xludf.DUMMYFUNCTION("""COMPUTED_VALUE"""),"Chocantes ")</f>
        <v>Chocantes </v>
      </c>
      <c r="F604" s="241"/>
      <c r="G604" s="241" t="str">
        <f>IFERROR(__xludf.DUMMYFUNCTION("""COMPUTED_VALUE"""),"Braceletes gélidos")</f>
        <v>Braceletes gélidos</v>
      </c>
      <c r="H604" s="241"/>
      <c r="I604" s="241" t="str">
        <f>IFERROR(__xludf.DUMMYFUNCTION("""COMPUTED_VALUE"""),"Braceletes gélidos")</f>
        <v>Braceletes gélidos</v>
      </c>
      <c r="J604" s="241"/>
      <c r="K604" s="241" t="str">
        <f>IFERROR(__xludf.DUMMYFUNCTION("""COMPUTED_VALUE"""),"Braceletes gélidos")</f>
        <v>Braceletes gélidos</v>
      </c>
      <c r="L604" s="242"/>
      <c r="M604" s="241" t="str">
        <f>IFERROR(__xludf.DUMMYFUNCTION("""COMPUTED_VALUE"""),"Calçados mágicos")</f>
        <v>Calçados mágicos</v>
      </c>
      <c r="N604" s="241"/>
      <c r="O604" s="241" t="str">
        <f>IFERROR(__xludf.DUMMYFUNCTION("""COMPUTED_VALUE"""),"Encontra-Caminho")</f>
        <v>Encontra-Caminho</v>
      </c>
      <c r="P604" s="241"/>
      <c r="Q604" s="241" t="str">
        <f>IFERROR(__xludf.DUMMYFUNCTION("""COMPUTED_VALUE"""),"Calçados mágicos")</f>
        <v>Calçados mágicos</v>
      </c>
      <c r="R604" s="241"/>
      <c r="S604" s="241" t="str">
        <f>IFERROR(__xludf.DUMMYFUNCTION("""COMPUTED_VALUE"""),"Encontra-Caminho")</f>
        <v>Encontra-Caminho</v>
      </c>
      <c r="T604" s="241"/>
      <c r="U604" s="241" t="str">
        <f>IFERROR(__xludf.DUMMYFUNCTION("""COMPUTED_VALUE"""),"Encontra-Caminho")</f>
        <v>Encontra-Caminho</v>
      </c>
      <c r="V604" s="241"/>
      <c r="W604" s="241" t="str">
        <f>IFERROR(__xludf.DUMMYFUNCTION("""COMPUTED_VALUE"""),"Encontra-Caminho")</f>
        <v>Encontra-Caminho</v>
      </c>
      <c r="X604" s="242"/>
      <c r="Y604" s="241" t="str">
        <f>IFERROR(__xludf.DUMMYFUNCTION("""COMPUTED_VALUE"""),"Anel do Cruzado")</f>
        <v>Anel do Cruzado</v>
      </c>
      <c r="Z604" s="241"/>
      <c r="AA604" s="241" t="str">
        <f>IFERROR(__xludf.DUMMYFUNCTION("""COMPUTED_VALUE"""),"Gu Zheng")</f>
        <v>Gu Zheng</v>
      </c>
      <c r="AB604" s="241"/>
      <c r="AC604" s="241" t="str">
        <f>IFERROR(__xludf.DUMMYFUNCTION("""COMPUTED_VALUE"""),"Escudo Estrelado")</f>
        <v>Escudo Estrelado</v>
      </c>
      <c r="AD604" s="241"/>
      <c r="AE604" s="241" t="str">
        <f>IFERROR(__xludf.DUMMYFUNCTION("""COMPUTED_VALUE"""),"Anel do Cruzado")</f>
        <v>Anel do Cruzado</v>
      </c>
      <c r="AF604" s="241"/>
      <c r="AG604" s="241" t="str">
        <f>IFERROR(__xludf.DUMMYFUNCTION("""COMPUTED_VALUE"""),"Anel do Cruzado")</f>
        <v>Anel do Cruzado</v>
      </c>
      <c r="AH604" s="241"/>
      <c r="AI604" s="241" t="str">
        <f>IFERROR(__xludf.DUMMYFUNCTION("""COMPUTED_VALUE"""),"Gu Zheng")</f>
        <v>Gu Zheng</v>
      </c>
      <c r="AJ604" s="242"/>
    </row>
    <row r="605" hidden="1">
      <c r="A605" s="241" t="str">
        <f>IFERROR(__xludf.DUMMYFUNCTION("""COMPUTED_VALUE"""),"Luvas do espreitador")</f>
        <v>Luvas do espreitador</v>
      </c>
      <c r="B605" s="241"/>
      <c r="C605" s="241" t="str">
        <f>IFERROR(__xludf.DUMMYFUNCTION("""COMPUTED_VALUE"""),"Luvas do espreitador")</f>
        <v>Luvas do espreitador</v>
      </c>
      <c r="D605" s="241"/>
      <c r="E605" s="241" t="str">
        <f>IFERROR(__xludf.DUMMYFUNCTION("""COMPUTED_VALUE"""),"Manopla de escamas de Dragão")</f>
        <v>Manopla de escamas de Dragão</v>
      </c>
      <c r="F605" s="241"/>
      <c r="G605" s="241" t="str">
        <f>IFERROR(__xludf.DUMMYFUNCTION("""COMPUTED_VALUE"""),"Luvas do espreitador")</f>
        <v>Luvas do espreitador</v>
      </c>
      <c r="H605" s="241"/>
      <c r="I605" s="241" t="str">
        <f>IFERROR(__xludf.DUMMYFUNCTION("""COMPUTED_VALUE"""),"Luvas do espreitador")</f>
        <v>Luvas do espreitador</v>
      </c>
      <c r="J605" s="241"/>
      <c r="K605" s="241" t="str">
        <f>IFERROR(__xludf.DUMMYFUNCTION("""COMPUTED_VALUE"""),"Luvas do espreitador")</f>
        <v>Luvas do espreitador</v>
      </c>
      <c r="L605" s="242"/>
      <c r="M605" s="241" t="str">
        <f>IFERROR(__xludf.DUMMYFUNCTION("""COMPUTED_VALUE"""),"Pisa-em-crânios")</f>
        <v>Pisa-em-crânios</v>
      </c>
      <c r="N605" s="241"/>
      <c r="O605" s="241" t="str">
        <f>IFERROR(__xludf.DUMMYFUNCTION("""COMPUTED_VALUE"""),"Botas piratas")</f>
        <v>Botas piratas</v>
      </c>
      <c r="P605" s="241"/>
      <c r="Q605" s="241" t="str">
        <f>IFERROR(__xludf.DUMMYFUNCTION("""COMPUTED_VALUE"""),"Pisa-em-crânios")</f>
        <v>Pisa-em-crânios</v>
      </c>
      <c r="R605" s="241"/>
      <c r="S605" s="241" t="str">
        <f>IFERROR(__xludf.DUMMYFUNCTION("""COMPUTED_VALUE"""),"Botas piratas")</f>
        <v>Botas piratas</v>
      </c>
      <c r="T605" s="241"/>
      <c r="U605" s="241" t="str">
        <f>IFERROR(__xludf.DUMMYFUNCTION("""COMPUTED_VALUE"""),"Botas piratas")</f>
        <v>Botas piratas</v>
      </c>
      <c r="V605" s="241"/>
      <c r="W605" s="241" t="str">
        <f>IFERROR(__xludf.DUMMYFUNCTION("""COMPUTED_VALUE"""),"Botas piratas")</f>
        <v>Botas piratas</v>
      </c>
      <c r="X605" s="242"/>
      <c r="Y605" s="241" t="str">
        <f>IFERROR(__xludf.DUMMYFUNCTION("""COMPUTED_VALUE"""),"Dragão sinete")</f>
        <v>Dragão sinete</v>
      </c>
      <c r="Z605" s="241"/>
      <c r="AA605" s="241" t="str">
        <f>IFERROR(__xludf.DUMMYFUNCTION("""COMPUTED_VALUE"""),"Batimento Dracônico ")</f>
        <v>Batimento Dracônico </v>
      </c>
      <c r="AB605" s="241"/>
      <c r="AC605" s="241" t="str">
        <f>IFERROR(__xludf.DUMMYFUNCTION("""COMPUTED_VALUE"""),"Escudo de cristal")</f>
        <v>Escudo de cristal</v>
      </c>
      <c r="AD605" s="241"/>
      <c r="AE605" s="241" t="str">
        <f>IFERROR(__xludf.DUMMYFUNCTION("""COMPUTED_VALUE"""),"Dragão sinete")</f>
        <v>Dragão sinete</v>
      </c>
      <c r="AF605" s="241"/>
      <c r="AG605" s="241" t="str">
        <f>IFERROR(__xludf.DUMMYFUNCTION("""COMPUTED_VALUE"""),"Dragão sinete")</f>
        <v>Dragão sinete</v>
      </c>
      <c r="AH605" s="241"/>
      <c r="AI605" s="241" t="str">
        <f>IFERROR(__xludf.DUMMYFUNCTION("""COMPUTED_VALUE"""),"Batimento Dracônico ")</f>
        <v>Batimento Dracônico </v>
      </c>
      <c r="AJ605" s="242"/>
    </row>
    <row r="606" hidden="1">
      <c r="A606" s="241" t="str">
        <f>IFERROR(__xludf.DUMMYFUNCTION("""COMPUTED_VALUE"""),"Celtic Bracer")</f>
        <v>Celtic Bracer</v>
      </c>
      <c r="B606" s="241"/>
      <c r="C606" s="241" t="str">
        <f>IFERROR(__xludf.DUMMYFUNCTION("""COMPUTED_VALUE"""),"Celtic Bracer")</f>
        <v>Celtic Bracer</v>
      </c>
      <c r="D606" s="241"/>
      <c r="E606" s="241" t="str">
        <f>IFERROR(__xludf.DUMMYFUNCTION("""COMPUTED_VALUE"""),"Punhos de Adamantium")</f>
        <v>Punhos de Adamantium</v>
      </c>
      <c r="F606" s="241"/>
      <c r="G606" s="241" t="str">
        <f>IFERROR(__xludf.DUMMYFUNCTION("""COMPUTED_VALUE"""),"Celtic Bracer")</f>
        <v>Celtic Bracer</v>
      </c>
      <c r="H606" s="241"/>
      <c r="I606" s="241" t="str">
        <f>IFERROR(__xludf.DUMMYFUNCTION("""COMPUTED_VALUE"""),"Celtic Bracer")</f>
        <v>Celtic Bracer</v>
      </c>
      <c r="J606" s="241"/>
      <c r="K606" s="241" t="str">
        <f>IFERROR(__xludf.DUMMYFUNCTION("""COMPUTED_VALUE"""),"Celtic Bracer")</f>
        <v>Celtic Bracer</v>
      </c>
      <c r="L606" s="242"/>
      <c r="M606" s="241" t="str">
        <f>IFERROR(__xludf.DUMMYFUNCTION("""COMPUTED_VALUE"""),"Grevas Dracônicas")</f>
        <v>Grevas Dracônicas</v>
      </c>
      <c r="N606" s="241"/>
      <c r="O606" s="241" t="str">
        <f>IFERROR(__xludf.DUMMYFUNCTION("""COMPUTED_VALUE"""),"Anda-em-planos")</f>
        <v>Anda-em-planos</v>
      </c>
      <c r="P606" s="241"/>
      <c r="Q606" s="241" t="str">
        <f>IFERROR(__xludf.DUMMYFUNCTION("""COMPUTED_VALUE"""),"Grevas Dracônicas")</f>
        <v>Grevas Dracônicas</v>
      </c>
      <c r="R606" s="241"/>
      <c r="S606" s="241" t="str">
        <f>IFERROR(__xludf.DUMMYFUNCTION("""COMPUTED_VALUE"""),"Anda-em-planos")</f>
        <v>Anda-em-planos</v>
      </c>
      <c r="T606" s="241"/>
      <c r="U606" s="241" t="str">
        <f>IFERROR(__xludf.DUMMYFUNCTION("""COMPUTED_VALUE"""),"Anda-em-planos")</f>
        <v>Anda-em-planos</v>
      </c>
      <c r="V606" s="241"/>
      <c r="W606" s="241" t="str">
        <f>IFERROR(__xludf.DUMMYFUNCTION("""COMPUTED_VALUE"""),"Anda-em-planos")</f>
        <v>Anda-em-planos</v>
      </c>
      <c r="X606" s="242"/>
      <c r="Y606" s="241" t="str">
        <f>IFERROR(__xludf.DUMMYFUNCTION("""COMPUTED_VALUE"""),"Anel de reza")</f>
        <v>Anel de reza</v>
      </c>
      <c r="Z606" s="241"/>
      <c r="AA606" s="241" t="str">
        <f>IFERROR(__xludf.DUMMYFUNCTION("""COMPUTED_VALUE"""),"Cordas angelicais")</f>
        <v>Cordas angelicais</v>
      </c>
      <c r="AB606" s="241"/>
      <c r="AC606" s="241" t="str">
        <f>IFERROR(__xludf.DUMMYFUNCTION("""COMPUTED_VALUE"""),"Crânio de Dragão")</f>
        <v>Crânio de Dragão</v>
      </c>
      <c r="AD606" s="241"/>
      <c r="AE606" s="241" t="str">
        <f>IFERROR(__xludf.DUMMYFUNCTION("""COMPUTED_VALUE"""),"Anel de reza")</f>
        <v>Anel de reza</v>
      </c>
      <c r="AF606" s="241"/>
      <c r="AG606" s="241" t="str">
        <f>IFERROR(__xludf.DUMMYFUNCTION("""COMPUTED_VALUE"""),"Anel de reza")</f>
        <v>Anel de reza</v>
      </c>
      <c r="AH606" s="241"/>
      <c r="AI606" s="241" t="str">
        <f>IFERROR(__xludf.DUMMYFUNCTION("""COMPUTED_VALUE"""),"Cordas angelicais")</f>
        <v>Cordas angelicais</v>
      </c>
      <c r="AJ606" s="242"/>
    </row>
    <row r="607" hidden="1">
      <c r="A607" s="241" t="str">
        <f>IFERROR(__xludf.DUMMYFUNCTION("""COMPUTED_VALUE"""),"Garra da morte")</f>
        <v>Garra da morte</v>
      </c>
      <c r="B607" s="241"/>
      <c r="C607" s="241" t="str">
        <f>IFERROR(__xludf.DUMMYFUNCTION("""COMPUTED_VALUE"""),"Garra da morte")</f>
        <v>Garra da morte</v>
      </c>
      <c r="D607" s="241"/>
      <c r="E607" s="241" t="str">
        <f>IFERROR(__xludf.DUMMYFUNCTION("""COMPUTED_VALUE"""),"Manoplas do Berserker")</f>
        <v>Manoplas do Berserker</v>
      </c>
      <c r="F607" s="241"/>
      <c r="G607" s="241" t="str">
        <f>IFERROR(__xludf.DUMMYFUNCTION("""COMPUTED_VALUE"""),"Garra da morte")</f>
        <v>Garra da morte</v>
      </c>
      <c r="H607" s="241"/>
      <c r="I607" s="241" t="str">
        <f>IFERROR(__xludf.DUMMYFUNCTION("""COMPUTED_VALUE"""),"Garra da morte")</f>
        <v>Garra da morte</v>
      </c>
      <c r="J607" s="241"/>
      <c r="K607" s="241" t="str">
        <f>IFERROR(__xludf.DUMMYFUNCTION("""COMPUTED_VALUE"""),"Garra da morte")</f>
        <v>Garra da morte</v>
      </c>
      <c r="L607" s="242"/>
      <c r="M607" s="241" t="str">
        <f>IFERROR(__xludf.DUMMYFUNCTION("""COMPUTED_VALUE"""),"Os Aflitos da Guerra de Kratos")</f>
        <v>Os Aflitos da Guerra de Kratos</v>
      </c>
      <c r="N607" s="241"/>
      <c r="O607" s="241" t="str">
        <f>IFERROR(__xludf.DUMMYFUNCTION("""COMPUTED_VALUE"""),"Botas dracônicas")</f>
        <v>Botas dracônicas</v>
      </c>
      <c r="P607" s="241"/>
      <c r="Q607" s="241" t="str">
        <f>IFERROR(__xludf.DUMMYFUNCTION("""COMPUTED_VALUE"""),"Os Aflitos da Guerra de Kratos")</f>
        <v>Os Aflitos da Guerra de Kratos</v>
      </c>
      <c r="R607" s="241"/>
      <c r="S607" s="241" t="str">
        <f>IFERROR(__xludf.DUMMYFUNCTION("""COMPUTED_VALUE"""),"Botas dracônicas")</f>
        <v>Botas dracônicas</v>
      </c>
      <c r="T607" s="241"/>
      <c r="U607" s="241" t="str">
        <f>IFERROR(__xludf.DUMMYFUNCTION("""COMPUTED_VALUE"""),"Botas dracônicas")</f>
        <v>Botas dracônicas</v>
      </c>
      <c r="V607" s="241"/>
      <c r="W607" s="241" t="str">
        <f>IFERROR(__xludf.DUMMYFUNCTION("""COMPUTED_VALUE"""),"Botas dracônicas")</f>
        <v>Botas dracônicas</v>
      </c>
      <c r="X607" s="242"/>
      <c r="Y607" s="241" t="str">
        <f>IFERROR(__xludf.DUMMYFUNCTION("""COMPUTED_VALUE"""),"Marca Divina")</f>
        <v>Marca Divina</v>
      </c>
      <c r="Z607" s="241"/>
      <c r="AA607" s="241" t="str">
        <f>IFERROR(__xludf.DUMMYFUNCTION("""COMPUTED_VALUE"""),"Ceremonial Er-hu")</f>
        <v>Ceremonial Er-hu</v>
      </c>
      <c r="AB607" s="241"/>
      <c r="AC607" s="241" t="str">
        <f>IFERROR(__xludf.DUMMYFUNCTION("""COMPUTED_VALUE"""),"Escudo gigante")</f>
        <v>Escudo gigante</v>
      </c>
      <c r="AD607" s="241"/>
      <c r="AE607" s="241" t="str">
        <f>IFERROR(__xludf.DUMMYFUNCTION("""COMPUTED_VALUE"""),"Marca Divina")</f>
        <v>Marca Divina</v>
      </c>
      <c r="AF607" s="241"/>
      <c r="AG607" s="241" t="str">
        <f>IFERROR(__xludf.DUMMYFUNCTION("""COMPUTED_VALUE"""),"Marca Divina")</f>
        <v>Marca Divina</v>
      </c>
      <c r="AH607" s="241"/>
      <c r="AI607" s="241" t="str">
        <f>IFERROR(__xludf.DUMMYFUNCTION("""COMPUTED_VALUE"""),"Ceremonial Er-hu")</f>
        <v>Ceremonial Er-hu</v>
      </c>
      <c r="AJ607" s="242"/>
    </row>
    <row r="608" hidden="1">
      <c r="A608" s="241" t="str">
        <f>IFERROR(__xludf.DUMMYFUNCTION("""COMPUTED_VALUE"""),"Luvas de MIdas")</f>
        <v>Luvas de MIdas</v>
      </c>
      <c r="B608" s="241"/>
      <c r="C608" s="241" t="str">
        <f>IFERROR(__xludf.DUMMYFUNCTION("""COMPUTED_VALUE"""),"Luvas de MIdas")</f>
        <v>Luvas de MIdas</v>
      </c>
      <c r="D608" s="241"/>
      <c r="E608" s="241" t="str">
        <f>IFERROR(__xludf.DUMMYFUNCTION("""COMPUTED_VALUE"""),"Luvas Cibernéticas")</f>
        <v>Luvas Cibernéticas</v>
      </c>
      <c r="F608" s="241"/>
      <c r="G608" s="241" t="str">
        <f>IFERROR(__xludf.DUMMYFUNCTION("""COMPUTED_VALUE"""),"Luvas de MIdas")</f>
        <v>Luvas de MIdas</v>
      </c>
      <c r="H608" s="241"/>
      <c r="I608" s="241" t="str">
        <f>IFERROR(__xludf.DUMMYFUNCTION("""COMPUTED_VALUE"""),"Luvas de MIdas")</f>
        <v>Luvas de MIdas</v>
      </c>
      <c r="J608" s="241"/>
      <c r="K608" s="241" t="str">
        <f>IFERROR(__xludf.DUMMYFUNCTION("""COMPUTED_VALUE"""),"Luvas de MIdas")</f>
        <v>Luvas de MIdas</v>
      </c>
      <c r="L608" s="242"/>
      <c r="M608" s="241" t="str">
        <f>IFERROR(__xludf.DUMMYFUNCTION("""COMPUTED_VALUE"""),"Grevas de obsidiana")</f>
        <v>Grevas de obsidiana</v>
      </c>
      <c r="N608" s="241"/>
      <c r="O608" s="241" t="str">
        <f>IFERROR(__xludf.DUMMYFUNCTION("""COMPUTED_VALUE"""),"Sapatos do fogo-gelo")</f>
        <v>Sapatos do fogo-gelo</v>
      </c>
      <c r="P608" s="241"/>
      <c r="Q608" s="241" t="str">
        <f>IFERROR(__xludf.DUMMYFUNCTION("""COMPUTED_VALUE"""),"Grevas de obsidiana")</f>
        <v>Grevas de obsidiana</v>
      </c>
      <c r="R608" s="241"/>
      <c r="S608" s="241" t="str">
        <f>IFERROR(__xludf.DUMMYFUNCTION("""COMPUTED_VALUE"""),"Sapatos do fogo-gelo")</f>
        <v>Sapatos do fogo-gelo</v>
      </c>
      <c r="T608" s="241"/>
      <c r="U608" s="241" t="str">
        <f>IFERROR(__xludf.DUMMYFUNCTION("""COMPUTED_VALUE"""),"Sapatos do fogo-gelo")</f>
        <v>Sapatos do fogo-gelo</v>
      </c>
      <c r="V608" s="241"/>
      <c r="W608" s="241" t="str">
        <f>IFERROR(__xludf.DUMMYFUNCTION("""COMPUTED_VALUE"""),"Sapatos do fogo-gelo")</f>
        <v>Sapatos do fogo-gelo</v>
      </c>
      <c r="X608" s="242"/>
      <c r="Y608" s="241" t="str">
        <f>IFERROR(__xludf.DUMMYFUNCTION("""COMPUTED_VALUE"""),"Anel real")</f>
        <v>Anel real</v>
      </c>
      <c r="Z608" s="241"/>
      <c r="AA608" s="241" t="str">
        <f>IFERROR(__xludf.DUMMYFUNCTION("""COMPUTED_VALUE"""),"Harpa do Fogo Gelo")</f>
        <v>Harpa do Fogo Gelo</v>
      </c>
      <c r="AB608" s="241"/>
      <c r="AC608" s="241" t="str">
        <f>IFERROR(__xludf.DUMMYFUNCTION("""COMPUTED_VALUE"""),"Escudo do Aventureiro")</f>
        <v>Escudo do Aventureiro</v>
      </c>
      <c r="AD608" s="241"/>
      <c r="AE608" s="241" t="str">
        <f>IFERROR(__xludf.DUMMYFUNCTION("""COMPUTED_VALUE"""),"Anel real")</f>
        <v>Anel real</v>
      </c>
      <c r="AF608" s="241"/>
      <c r="AG608" s="241" t="str">
        <f>IFERROR(__xludf.DUMMYFUNCTION("""COMPUTED_VALUE"""),"Anel real")</f>
        <v>Anel real</v>
      </c>
      <c r="AH608" s="241"/>
      <c r="AI608" s="241" t="str">
        <f>IFERROR(__xludf.DUMMYFUNCTION("""COMPUTED_VALUE"""),"Harpa do Fogo Gelo")</f>
        <v>Harpa do Fogo Gelo</v>
      </c>
      <c r="AJ608" s="242"/>
    </row>
    <row r="609" hidden="1">
      <c r="A609" s="241" t="str">
        <f>IFERROR(__xludf.DUMMYFUNCTION("""COMPUTED_VALUE"""),"Luva de fogo gelo")</f>
        <v>Luva de fogo gelo</v>
      </c>
      <c r="B609" s="241"/>
      <c r="C609" s="241" t="str">
        <f>IFERROR(__xludf.DUMMYFUNCTION("""COMPUTED_VALUE"""),"Luva de fogo gelo")</f>
        <v>Luva de fogo gelo</v>
      </c>
      <c r="D609" s="241"/>
      <c r="E609" s="241" t="str">
        <f>IFERROR(__xludf.DUMMYFUNCTION("""COMPUTED_VALUE"""),"Esmagadores Vulcânicos")</f>
        <v>Esmagadores Vulcânicos</v>
      </c>
      <c r="F609" s="241"/>
      <c r="G609" s="241" t="str">
        <f>IFERROR(__xludf.DUMMYFUNCTION("""COMPUTED_VALUE"""),"Luva de fogo gelo")</f>
        <v>Luva de fogo gelo</v>
      </c>
      <c r="H609" s="241"/>
      <c r="I609" s="241" t="str">
        <f>IFERROR(__xludf.DUMMYFUNCTION("""COMPUTED_VALUE"""),"Luva de fogo gelo")</f>
        <v>Luva de fogo gelo</v>
      </c>
      <c r="J609" s="241"/>
      <c r="K609" s="241" t="str">
        <f>IFERROR(__xludf.DUMMYFUNCTION("""COMPUTED_VALUE"""),"Luva de fogo gelo")</f>
        <v>Luva de fogo gelo</v>
      </c>
      <c r="L609" s="242"/>
      <c r="M609" s="241" t="str">
        <f>IFERROR(__xludf.DUMMYFUNCTION("""COMPUTED_VALUE"""),"Pés do titã")</f>
        <v>Pés do titã</v>
      </c>
      <c r="N609" s="241"/>
      <c r="O609" s="241" t="str">
        <f>IFERROR(__xludf.DUMMYFUNCTION("""COMPUTED_VALUE"""),"Marcha ardente")</f>
        <v>Marcha ardente</v>
      </c>
      <c r="P609" s="241"/>
      <c r="Q609" s="241" t="str">
        <f>IFERROR(__xludf.DUMMYFUNCTION("""COMPUTED_VALUE"""),"Pés do titã")</f>
        <v>Pés do titã</v>
      </c>
      <c r="R609" s="241"/>
      <c r="S609" s="241" t="str">
        <f>IFERROR(__xludf.DUMMYFUNCTION("""COMPUTED_VALUE"""),"Marcha ardente")</f>
        <v>Marcha ardente</v>
      </c>
      <c r="T609" s="241"/>
      <c r="U609" s="241" t="str">
        <f>IFERROR(__xludf.DUMMYFUNCTION("""COMPUTED_VALUE"""),"Marcha ardente")</f>
        <v>Marcha ardente</v>
      </c>
      <c r="V609" s="241"/>
      <c r="W609" s="241" t="str">
        <f>IFERROR(__xludf.DUMMYFUNCTION("""COMPUTED_VALUE"""),"Marcha ardente")</f>
        <v>Marcha ardente</v>
      </c>
      <c r="X609" s="242"/>
      <c r="Y609" s="241" t="str">
        <f>IFERROR(__xludf.DUMMYFUNCTION("""COMPUTED_VALUE"""),"Oráculo")</f>
        <v>Oráculo</v>
      </c>
      <c r="Z609" s="241"/>
      <c r="AA609" s="241" t="str">
        <f>IFERROR(__xludf.DUMMYFUNCTION("""COMPUTED_VALUE"""),"Flauta de gaia ")</f>
        <v>Flauta de gaia </v>
      </c>
      <c r="AB609" s="241"/>
      <c r="AC609" s="241" t="str">
        <f>IFERROR(__xludf.DUMMYFUNCTION("""COMPUTED_VALUE"""),"Shark Bite")</f>
        <v>Shark Bite</v>
      </c>
      <c r="AD609" s="241"/>
      <c r="AE609" s="241" t="str">
        <f>IFERROR(__xludf.DUMMYFUNCTION("""COMPUTED_VALUE"""),"Oráculo")</f>
        <v>Oráculo</v>
      </c>
      <c r="AF609" s="241"/>
      <c r="AG609" s="241" t="str">
        <f>IFERROR(__xludf.DUMMYFUNCTION("""COMPUTED_VALUE"""),"Oráculo")</f>
        <v>Oráculo</v>
      </c>
      <c r="AH609" s="241"/>
      <c r="AI609" s="241" t="str">
        <f>IFERROR(__xludf.DUMMYFUNCTION("""COMPUTED_VALUE"""),"Flauta de gaia ")</f>
        <v>Flauta de gaia </v>
      </c>
      <c r="AJ609" s="242"/>
    </row>
    <row r="610" hidden="1">
      <c r="A610" s="241" t="str">
        <f>IFERROR(__xludf.DUMMYFUNCTION("""COMPUTED_VALUE"""),"Starry Gloves")</f>
        <v>Starry Gloves</v>
      </c>
      <c r="B610" s="241"/>
      <c r="C610" s="241" t="str">
        <f>IFERROR(__xludf.DUMMYFUNCTION("""COMPUTED_VALUE"""),"Starry Gloves")</f>
        <v>Starry Gloves</v>
      </c>
      <c r="D610" s="241"/>
      <c r="E610" s="241" t="str">
        <f>IFERROR(__xludf.DUMMYFUNCTION("""COMPUTED_VALUE"""),"Gauntlet do Chieftain")</f>
        <v>Gauntlet do Chieftain</v>
      </c>
      <c r="F610" s="241"/>
      <c r="G610" s="241" t="str">
        <f>IFERROR(__xludf.DUMMYFUNCTION("""COMPUTED_VALUE"""),"Starry Gloves")</f>
        <v>Starry Gloves</v>
      </c>
      <c r="H610" s="241"/>
      <c r="I610" s="241" t="str">
        <f>IFERROR(__xludf.DUMMYFUNCTION("""COMPUTED_VALUE"""),"Starry Gloves")</f>
        <v>Starry Gloves</v>
      </c>
      <c r="J610" s="241"/>
      <c r="K610" s="241" t="str">
        <f>IFERROR(__xludf.DUMMYFUNCTION("""COMPUTED_VALUE"""),"Starry Gloves")</f>
        <v>Starry Gloves</v>
      </c>
      <c r="L610" s="242"/>
      <c r="M610" s="241" t="str">
        <f>IFERROR(__xludf.DUMMYFUNCTION("""COMPUTED_VALUE"""),"Botas selvagens")</f>
        <v>Botas selvagens</v>
      </c>
      <c r="N610" s="241"/>
      <c r="O610" s="241" t="str">
        <f>IFERROR(__xludf.DUMMYFUNCTION("""COMPUTED_VALUE"""),"Ice Walkers")</f>
        <v>Ice Walkers</v>
      </c>
      <c r="P610" s="241"/>
      <c r="Q610" s="241" t="str">
        <f>IFERROR(__xludf.DUMMYFUNCTION("""COMPUTED_VALUE"""),"Botas selvagens")</f>
        <v>Botas selvagens</v>
      </c>
      <c r="R610" s="241"/>
      <c r="S610" s="241" t="str">
        <f>IFERROR(__xludf.DUMMYFUNCTION("""COMPUTED_VALUE"""),"Ice Walkers")</f>
        <v>Ice Walkers</v>
      </c>
      <c r="T610" s="241"/>
      <c r="U610" s="241" t="str">
        <f>IFERROR(__xludf.DUMMYFUNCTION("""COMPUTED_VALUE"""),"Ice Walkers")</f>
        <v>Ice Walkers</v>
      </c>
      <c r="V610" s="241"/>
      <c r="W610" s="241" t="str">
        <f>IFERROR(__xludf.DUMMYFUNCTION("""COMPUTED_VALUE"""),"Ice Walkers")</f>
        <v>Ice Walkers</v>
      </c>
      <c r="X610" s="242"/>
      <c r="Y610" s="241" t="str">
        <f>IFERROR(__xludf.DUMMYFUNCTION("""COMPUTED_VALUE"""),"Anel Místico")</f>
        <v>Anel Místico</v>
      </c>
      <c r="Z610" s="241"/>
      <c r="AA610" s="241" t="str">
        <f>IFERROR(__xludf.DUMMYFUNCTION("""COMPUTED_VALUE"""),"Flauta Convocadora")</f>
        <v>Flauta Convocadora</v>
      </c>
      <c r="AB610" s="241"/>
      <c r="AC610" s="241" t="str">
        <f>IFERROR(__xludf.DUMMYFUNCTION("""COMPUTED_VALUE"""),"Buckler de Atena")</f>
        <v>Buckler de Atena</v>
      </c>
      <c r="AD610" s="241"/>
      <c r="AE610" s="241" t="str">
        <f>IFERROR(__xludf.DUMMYFUNCTION("""COMPUTED_VALUE"""),"Anel Místico")</f>
        <v>Anel Místico</v>
      </c>
      <c r="AF610" s="241"/>
      <c r="AG610" s="241" t="str">
        <f>IFERROR(__xludf.DUMMYFUNCTION("""COMPUTED_VALUE"""),"Anel Místico")</f>
        <v>Anel Místico</v>
      </c>
      <c r="AH610" s="241"/>
      <c r="AI610" s="241" t="str">
        <f>IFERROR(__xludf.DUMMYFUNCTION("""COMPUTED_VALUE"""),"Flauta Convocadora")</f>
        <v>Flauta Convocadora</v>
      </c>
      <c r="AJ610" s="242"/>
    </row>
    <row r="611" hidden="1">
      <c r="A611" s="241" t="str">
        <f>IFERROR(__xludf.DUMMYFUNCTION("""COMPUTED_VALUE"""),"Luvas do Arcanjo")</f>
        <v>Luvas do Arcanjo</v>
      </c>
      <c r="B611" s="241"/>
      <c r="C611" s="241" t="str">
        <f>IFERROR(__xludf.DUMMYFUNCTION("""COMPUTED_VALUE"""),"Luvas do Arcanjo")</f>
        <v>Luvas do Arcanjo</v>
      </c>
      <c r="D611" s="241"/>
      <c r="E611" s="241" t="str">
        <f>IFERROR(__xludf.DUMMYFUNCTION("""COMPUTED_VALUE"""),"Runic Gauntlets")</f>
        <v>Runic Gauntlets</v>
      </c>
      <c r="F611" s="241"/>
      <c r="G611" s="241" t="str">
        <f>IFERROR(__xludf.DUMMYFUNCTION("""COMPUTED_VALUE"""),"Luvas do Arcanjo")</f>
        <v>Luvas do Arcanjo</v>
      </c>
      <c r="H611" s="241"/>
      <c r="I611" s="241" t="str">
        <f>IFERROR(__xludf.DUMMYFUNCTION("""COMPUTED_VALUE"""),"Luvas do Arcanjo")</f>
        <v>Luvas do Arcanjo</v>
      </c>
      <c r="J611" s="241"/>
      <c r="K611" s="241" t="str">
        <f>IFERROR(__xludf.DUMMYFUNCTION("""COMPUTED_VALUE"""),"Luvas do Arcanjo")</f>
        <v>Luvas do Arcanjo</v>
      </c>
      <c r="L611" s="242"/>
      <c r="M611" s="241" t="str">
        <f>IFERROR(__xludf.DUMMYFUNCTION("""COMPUTED_VALUE"""),"Starfrost Skates")</f>
        <v>Starfrost Skates</v>
      </c>
      <c r="N611" s="241"/>
      <c r="O611" s="241" t="str">
        <f>IFERROR(__xludf.DUMMYFUNCTION("""COMPUTED_VALUE"""),"Swimming Fins")</f>
        <v>Swimming Fins</v>
      </c>
      <c r="P611" s="241"/>
      <c r="Q611" s="241" t="str">
        <f>IFERROR(__xludf.DUMMYFUNCTION("""COMPUTED_VALUE"""),"Starfrost Skates")</f>
        <v>Starfrost Skates</v>
      </c>
      <c r="R611" s="241"/>
      <c r="S611" s="241" t="str">
        <f>IFERROR(__xludf.DUMMYFUNCTION("""COMPUTED_VALUE"""),"Swimming Fins")</f>
        <v>Swimming Fins</v>
      </c>
      <c r="T611" s="241"/>
      <c r="U611" s="241" t="str">
        <f>IFERROR(__xludf.DUMMYFUNCTION("""COMPUTED_VALUE"""),"Swimming Fins")</f>
        <v>Swimming Fins</v>
      </c>
      <c r="V611" s="241"/>
      <c r="W611" s="241" t="str">
        <f>IFERROR(__xludf.DUMMYFUNCTION("""COMPUTED_VALUE"""),"Swimming Fins")</f>
        <v>Swimming Fins</v>
      </c>
      <c r="X611" s="242"/>
      <c r="Y611" s="241" t="str">
        <f>IFERROR(__xludf.DUMMYFUNCTION("""COMPUTED_VALUE"""),"Anel Grotesco")</f>
        <v>Anel Grotesco</v>
      </c>
      <c r="Z611" s="241"/>
      <c r="AA611" s="241" t="str">
        <f>IFERROR(__xludf.DUMMYFUNCTION("""COMPUTED_VALUE"""),"Feitiço do Vento ")</f>
        <v>Feitiço do Vento </v>
      </c>
      <c r="AB611" s="241"/>
      <c r="AC611" s="241" t="str">
        <f>IFERROR(__xludf.DUMMYFUNCTION("""COMPUTED_VALUE"""),"Broquel da Medusa")</f>
        <v>Broquel da Medusa</v>
      </c>
      <c r="AD611" s="241"/>
      <c r="AE611" s="241" t="str">
        <f>IFERROR(__xludf.DUMMYFUNCTION("""COMPUTED_VALUE"""),"Anel Grotesco")</f>
        <v>Anel Grotesco</v>
      </c>
      <c r="AF611" s="241"/>
      <c r="AG611" s="241" t="str">
        <f>IFERROR(__xludf.DUMMYFUNCTION("""COMPUTED_VALUE"""),"Anel Grotesco")</f>
        <v>Anel Grotesco</v>
      </c>
      <c r="AH611" s="241"/>
      <c r="AI611" s="241"/>
      <c r="AJ611" s="242"/>
    </row>
    <row r="612" hidden="1">
      <c r="A612" s="241" t="str">
        <f>IFERROR(__xludf.DUMMYFUNCTION("""COMPUTED_VALUE"""),"Luvas do subterrâneo")</f>
        <v>Luvas do subterrâneo</v>
      </c>
      <c r="B612" s="241"/>
      <c r="C612" s="241" t="str">
        <f>IFERROR(__xludf.DUMMYFUNCTION("""COMPUTED_VALUE"""),"Luvas do subterrâneo")</f>
        <v>Luvas do subterrâneo</v>
      </c>
      <c r="D612" s="241"/>
      <c r="E612" s="241" t="str">
        <f>IFERROR(__xludf.DUMMYFUNCTION("""COMPUTED_VALUE"""),"Punhos de Zeus")</f>
        <v>Punhos de Zeus</v>
      </c>
      <c r="F612" s="241"/>
      <c r="G612" s="241" t="str">
        <f>IFERROR(__xludf.DUMMYFUNCTION("""COMPUTED_VALUE"""),"Luvas do subterrâneo")</f>
        <v>Luvas do subterrâneo</v>
      </c>
      <c r="H612" s="241"/>
      <c r="I612" s="241" t="str">
        <f>IFERROR(__xludf.DUMMYFUNCTION("""COMPUTED_VALUE"""),"Luvas do subterrâneo")</f>
        <v>Luvas do subterrâneo</v>
      </c>
      <c r="J612" s="241"/>
      <c r="K612" s="241" t="str">
        <f>IFERROR(__xludf.DUMMYFUNCTION("""COMPUTED_VALUE"""),"Luvas do subterrâneo")</f>
        <v>Luvas do subterrâneo</v>
      </c>
      <c r="L612" s="242"/>
      <c r="M612" s="241" t="str">
        <f>IFERROR(__xludf.DUMMYFUNCTION("""COMPUTED_VALUE"""),"Proto-skate")</f>
        <v>Proto-skate</v>
      </c>
      <c r="N612" s="241"/>
      <c r="O612" s="241" t="str">
        <f>IFERROR(__xludf.DUMMYFUNCTION("""COMPUTED_VALUE"""),"Rodas Celestiais de Fogo")</f>
        <v>Rodas Celestiais de Fogo</v>
      </c>
      <c r="P612" s="241"/>
      <c r="Q612" s="241" t="str">
        <f>IFERROR(__xludf.DUMMYFUNCTION("""COMPUTED_VALUE"""),"Proto-skate")</f>
        <v>Proto-skate</v>
      </c>
      <c r="R612" s="241"/>
      <c r="S612" s="241" t="str">
        <f>IFERROR(__xludf.DUMMYFUNCTION("""COMPUTED_VALUE"""),"Rodas Celestiais de Fogo")</f>
        <v>Rodas Celestiais de Fogo</v>
      </c>
      <c r="T612" s="241"/>
      <c r="U612" s="241" t="str">
        <f>IFERROR(__xludf.DUMMYFUNCTION("""COMPUTED_VALUE"""),"Rodas Celestiais de Fogo")</f>
        <v>Rodas Celestiais de Fogo</v>
      </c>
      <c r="V612" s="241"/>
      <c r="W612" s="241" t="str">
        <f>IFERROR(__xludf.DUMMYFUNCTION("""COMPUTED_VALUE"""),"Rodas Celestiais de Fogo")</f>
        <v>Rodas Celestiais de Fogo</v>
      </c>
      <c r="X612" s="242"/>
      <c r="Y612" s="241" t="str">
        <f>IFERROR(__xludf.DUMMYFUNCTION("""COMPUTED_VALUE"""),"Anel Azulado")</f>
        <v>Anel Azulado</v>
      </c>
      <c r="Z612" s="241"/>
      <c r="AA612" s="241" t="str">
        <f>IFERROR(__xludf.DUMMYFUNCTION("""COMPUTED_VALUE"""),"Símbolo do Exorcismo")</f>
        <v>Símbolo do Exorcismo</v>
      </c>
      <c r="AB612" s="241"/>
      <c r="AC612" s="241" t="str">
        <f>IFERROR(__xludf.DUMMYFUNCTION("""COMPUTED_VALUE"""),"Escudo do oráculo")</f>
        <v>Escudo do oráculo</v>
      </c>
      <c r="AD612" s="241"/>
      <c r="AE612" s="241" t="str">
        <f>IFERROR(__xludf.DUMMYFUNCTION("""COMPUTED_VALUE"""),"Anel Azulado")</f>
        <v>Anel Azulado</v>
      </c>
      <c r="AF612" s="241"/>
      <c r="AG612" s="241" t="str">
        <f>IFERROR(__xludf.DUMMYFUNCTION("""COMPUTED_VALUE"""),"Anel Azulado")</f>
        <v>Anel Azulado</v>
      </c>
      <c r="AH612" s="241"/>
      <c r="AI612" s="241"/>
      <c r="AJ612" s="242"/>
    </row>
    <row r="613" hidden="1">
      <c r="A613" s="241" t="str">
        <f>IFERROR(__xludf.DUMMYFUNCTION("""COMPUTED_VALUE"""),"Mummy Hands")</f>
        <v>Mummy Hands</v>
      </c>
      <c r="B613" s="241"/>
      <c r="C613" s="241" t="str">
        <f>IFERROR(__xludf.DUMMYFUNCTION("""COMPUTED_VALUE"""),"Mummy Hands")</f>
        <v>Mummy Hands</v>
      </c>
      <c r="D613" s="241"/>
      <c r="E613" s="241"/>
      <c r="F613" s="241"/>
      <c r="G613" s="241" t="str">
        <f>IFERROR(__xludf.DUMMYFUNCTION("""COMPUTED_VALUE"""),"Mummy Hands")</f>
        <v>Mummy Hands</v>
      </c>
      <c r="H613" s="241"/>
      <c r="I613" s="241" t="str">
        <f>IFERROR(__xludf.DUMMYFUNCTION("""COMPUTED_VALUE"""),"Mummy Hands")</f>
        <v>Mummy Hands</v>
      </c>
      <c r="J613" s="241"/>
      <c r="K613" s="241" t="str">
        <f>IFERROR(__xludf.DUMMYFUNCTION("""COMPUTED_VALUE"""),"Mummy Hands")</f>
        <v>Mummy Hands</v>
      </c>
      <c r="L613" s="242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2"/>
      <c r="Y613" s="241" t="str">
        <f>IFERROR(__xludf.DUMMYFUNCTION("""COMPUTED_VALUE"""),"Anel de casamento")</f>
        <v>Anel de casamento</v>
      </c>
      <c r="Z613" s="241"/>
      <c r="AA613" s="241" t="str">
        <f>IFERROR(__xludf.DUMMYFUNCTION("""COMPUTED_VALUE"""),"Proteção defensora")</f>
        <v>Proteção defensora</v>
      </c>
      <c r="AB613" s="241"/>
      <c r="AC613" s="241" t="str">
        <f>IFERROR(__xludf.DUMMYFUNCTION("""COMPUTED_VALUE"""),"Mãe Natureza")</f>
        <v>Mãe Natureza</v>
      </c>
      <c r="AD613" s="241"/>
      <c r="AE613" s="241" t="str">
        <f>IFERROR(__xludf.DUMMYFUNCTION("""COMPUTED_VALUE"""),"Anel de casamento")</f>
        <v>Anel de casamento</v>
      </c>
      <c r="AF613" s="241"/>
      <c r="AG613" s="241" t="str">
        <f>IFERROR(__xludf.DUMMYFUNCTION("""COMPUTED_VALUE"""),"Anel de casamento")</f>
        <v>Anel de casamento</v>
      </c>
      <c r="AH613" s="241"/>
      <c r="AI613" s="241"/>
      <c r="AJ613" s="242"/>
    </row>
    <row r="614" hidden="1">
      <c r="A614" s="241" t="str">
        <f>IFERROR(__xludf.DUMMYFUNCTION("""COMPUTED_VALUE"""),"Toque de Fluffle")</f>
        <v>Toque de Fluffle</v>
      </c>
      <c r="B614" s="241"/>
      <c r="C614" s="241" t="str">
        <f>IFERROR(__xludf.DUMMYFUNCTION("""COMPUTED_VALUE"""),"Toque de Fluffle")</f>
        <v>Toque de Fluffle</v>
      </c>
      <c r="D614" s="241"/>
      <c r="E614" s="241"/>
      <c r="F614" s="241"/>
      <c r="G614" s="241" t="str">
        <f>IFERROR(__xludf.DUMMYFUNCTION("""COMPUTED_VALUE"""),"Toque de Fluffle")</f>
        <v>Toque de Fluffle</v>
      </c>
      <c r="H614" s="241"/>
      <c r="I614" s="241" t="str">
        <f>IFERROR(__xludf.DUMMYFUNCTION("""COMPUTED_VALUE"""),"Toque de Fluffle")</f>
        <v>Toque de Fluffle</v>
      </c>
      <c r="J614" s="241"/>
      <c r="K614" s="241" t="str">
        <f>IFERROR(__xludf.DUMMYFUNCTION("""COMPUTED_VALUE"""),"Toque de Fluffle")</f>
        <v>Toque de Fluffle</v>
      </c>
      <c r="L614" s="242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2"/>
      <c r="Y614" s="241" t="str">
        <f>IFERROR(__xludf.DUMMYFUNCTION("""COMPUTED_VALUE"""),"Círculo de antimagia")</f>
        <v>Círculo de antimagia</v>
      </c>
      <c r="Z614" s="241"/>
      <c r="AA614" s="241" t="str">
        <f>IFERROR(__xludf.DUMMYFUNCTION("""COMPUTED_VALUE"""),"Amuleto Ankh")</f>
        <v>Amuleto Ankh</v>
      </c>
      <c r="AB614" s="241"/>
      <c r="AC614" s="241" t="str">
        <f>IFERROR(__xludf.DUMMYFUNCTION("""COMPUTED_VALUE"""),"Escudo Meia Lua")</f>
        <v>Escudo Meia Lua</v>
      </c>
      <c r="AD614" s="241"/>
      <c r="AE614" s="241" t="str">
        <f>IFERROR(__xludf.DUMMYFUNCTION("""COMPUTED_VALUE"""),"Círculo de antimagia")</f>
        <v>Círculo de antimagia</v>
      </c>
      <c r="AF614" s="241"/>
      <c r="AG614" s="241" t="str">
        <f>IFERROR(__xludf.DUMMYFUNCTION("""COMPUTED_VALUE"""),"Círculo de antimagia")</f>
        <v>Círculo de antimagia</v>
      </c>
      <c r="AH614" s="241"/>
      <c r="AI614" s="241"/>
      <c r="AJ614" s="242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2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2"/>
      <c r="Y615" s="241" t="str">
        <f>IFERROR(__xludf.DUMMYFUNCTION("""COMPUTED_VALUE"""),"Anel de Midas")</f>
        <v>Anel de Midas</v>
      </c>
      <c r="Z615" s="241"/>
      <c r="AA615" s="241" t="str">
        <f>IFERROR(__xludf.DUMMYFUNCTION("""COMPUTED_VALUE"""),"Coração de Lich")</f>
        <v>Coração de Lich</v>
      </c>
      <c r="AB615" s="241"/>
      <c r="AC615" s="241" t="str">
        <f>IFERROR(__xludf.DUMMYFUNCTION("""COMPUTED_VALUE"""),"Celtic Shield")</f>
        <v>Celtic Shield</v>
      </c>
      <c r="AD615" s="241"/>
      <c r="AE615" s="241" t="str">
        <f>IFERROR(__xludf.DUMMYFUNCTION("""COMPUTED_VALUE"""),"Anel de Midas")</f>
        <v>Anel de Midas</v>
      </c>
      <c r="AF615" s="241"/>
      <c r="AG615" s="241" t="str">
        <f>IFERROR(__xludf.DUMMYFUNCTION("""COMPUTED_VALUE"""),"Anel de Midas")</f>
        <v>Anel de Midas</v>
      </c>
      <c r="AH615" s="241"/>
      <c r="AI615" s="241"/>
      <c r="AJ615" s="242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2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2"/>
      <c r="Y616" s="241" t="str">
        <f>IFERROR(__xludf.DUMMYFUNCTION("""COMPUTED_VALUE"""),"Anel do Conhecimento")</f>
        <v>Anel do Conhecimento</v>
      </c>
      <c r="Z616" s="241"/>
      <c r="AA616" s="241" t="str">
        <f>IFERROR(__xludf.DUMMYFUNCTION("""COMPUTED_VALUE"""),"Amuleto dracônico")</f>
        <v>Amuleto dracônico</v>
      </c>
      <c r="AB616" s="241"/>
      <c r="AC616" s="241" t="str">
        <f>IFERROR(__xludf.DUMMYFUNCTION("""COMPUTED_VALUE"""),"Painel Refrator")</f>
        <v>Painel Refrator</v>
      </c>
      <c r="AD616" s="241"/>
      <c r="AE616" s="241" t="str">
        <f>IFERROR(__xludf.DUMMYFUNCTION("""COMPUTED_VALUE"""),"Anel do Conhecimento")</f>
        <v>Anel do Conhecimento</v>
      </c>
      <c r="AF616" s="241"/>
      <c r="AG616" s="241" t="str">
        <f>IFERROR(__xludf.DUMMYFUNCTION("""COMPUTED_VALUE"""),"Anel do Conhecimento")</f>
        <v>Anel do Conhecimento</v>
      </c>
      <c r="AH616" s="241"/>
      <c r="AI616" s="241"/>
      <c r="AJ616" s="242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2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2"/>
      <c r="Y617" s="241" t="str">
        <f>IFERROR(__xludf.DUMMYFUNCTION("""COMPUTED_VALUE"""),"Protetor")</f>
        <v>Protetor</v>
      </c>
      <c r="Z617" s="241"/>
      <c r="AA617" s="241" t="str">
        <f>IFERROR(__xludf.DUMMYFUNCTION("""COMPUTED_VALUE"""),"Lágrima da Deusa")</f>
        <v>Lágrima da Deusa</v>
      </c>
      <c r="AB617" s="241"/>
      <c r="AC617" s="241" t="str">
        <f>IFERROR(__xludf.DUMMYFUNCTION("""COMPUTED_VALUE"""),"Feitiço do Vento ")</f>
        <v>Feitiço do Vento </v>
      </c>
      <c r="AD617" s="241"/>
      <c r="AE617" s="241" t="str">
        <f>IFERROR(__xludf.DUMMYFUNCTION("""COMPUTED_VALUE"""),"Feitiço do Vento ")</f>
        <v>Feitiço do Vento </v>
      </c>
      <c r="AF617" s="241"/>
      <c r="AG617" s="241" t="str">
        <f>IFERROR(__xludf.DUMMYFUNCTION("""COMPUTED_VALUE"""),"Flauta de Ferro")</f>
        <v>Flauta de Ferro</v>
      </c>
      <c r="AH617" s="241"/>
      <c r="AI617" s="241"/>
      <c r="AJ617" s="242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2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2"/>
      <c r="Y618" s="241" t="str">
        <f>IFERROR(__xludf.DUMMYFUNCTION("""COMPUTED_VALUE"""),"Contra Fogo")</f>
        <v>Contra Fogo</v>
      </c>
      <c r="Z618" s="241"/>
      <c r="AA618" s="241" t="str">
        <f>IFERROR(__xludf.DUMMYFUNCTION("""COMPUTED_VALUE"""),"Coração do Sol")</f>
        <v>Coração do Sol</v>
      </c>
      <c r="AB618" s="241"/>
      <c r="AC618" s="241" t="str">
        <f>IFERROR(__xludf.DUMMYFUNCTION("""COMPUTED_VALUE"""),"Símbolo do Exorcismo")</f>
        <v>Símbolo do Exorcismo</v>
      </c>
      <c r="AD618" s="241"/>
      <c r="AE618" s="241" t="str">
        <f>IFERROR(__xludf.DUMMYFUNCTION("""COMPUTED_VALUE"""),"Símbolo do Exorcismo")</f>
        <v>Símbolo do Exorcismo</v>
      </c>
      <c r="AF618" s="241"/>
      <c r="AG618" s="241" t="str">
        <f>IFERROR(__xludf.DUMMYFUNCTION("""COMPUTED_VALUE"""),"Harpa Congelada")</f>
        <v>Harpa Congelada</v>
      </c>
      <c r="AH618" s="241"/>
      <c r="AI618" s="241"/>
      <c r="AJ618" s="242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2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2"/>
      <c r="Y619" s="241" t="str">
        <f>IFERROR(__xludf.DUMMYFUNCTION("""COMPUTED_VALUE"""),"Scarab Shield")</f>
        <v>Scarab Shield</v>
      </c>
      <c r="Z619" s="241"/>
      <c r="AA619" s="241" t="str">
        <f>IFERROR(__xludf.DUMMYFUNCTION("""COMPUTED_VALUE"""),"Herança de Azbandar")</f>
        <v>Herança de Azbandar</v>
      </c>
      <c r="AB619" s="241"/>
      <c r="AC619" s="241" t="str">
        <f>IFERROR(__xludf.DUMMYFUNCTION("""COMPUTED_VALUE"""),"Proteção defensora")</f>
        <v>Proteção defensora</v>
      </c>
      <c r="AD619" s="241"/>
      <c r="AE619" s="241" t="str">
        <f>IFERROR(__xludf.DUMMYFUNCTION("""COMPUTED_VALUE"""),"Proteção defensora")</f>
        <v>Proteção defensora</v>
      </c>
      <c r="AF619" s="241"/>
      <c r="AG619" s="241" t="str">
        <f>IFERROR(__xludf.DUMMYFUNCTION("""COMPUTED_VALUE"""),"Flauta Ygg")</f>
        <v>Flauta Ygg</v>
      </c>
      <c r="AH619" s="241"/>
      <c r="AI619" s="241"/>
      <c r="AJ619" s="242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2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2"/>
      <c r="Y620" s="241" t="str">
        <f>IFERROR(__xludf.DUMMYFUNCTION("""COMPUTED_VALUE"""),"Égide ")</f>
        <v>Égide </v>
      </c>
      <c r="Z620" s="241"/>
      <c r="AA620" s="241" t="str">
        <f>IFERROR(__xludf.DUMMYFUNCTION("""COMPUTED_VALUE"""),"Herança de Família")</f>
        <v>Herança de Família</v>
      </c>
      <c r="AB620" s="241"/>
      <c r="AC620" s="241" t="str">
        <f>IFERROR(__xludf.DUMMYFUNCTION("""COMPUTED_VALUE"""),"Amuleto Ankh")</f>
        <v>Amuleto Ankh</v>
      </c>
      <c r="AD620" s="241"/>
      <c r="AE620" s="241" t="str">
        <f>IFERROR(__xludf.DUMMYFUNCTION("""COMPUTED_VALUE"""),"Amuleto Ankh")</f>
        <v>Amuleto Ankh</v>
      </c>
      <c r="AF620" s="241"/>
      <c r="AG620" s="241" t="str">
        <f>IFERROR(__xludf.DUMMYFUNCTION("""COMPUTED_VALUE"""),"Chifre de Serpente ")</f>
        <v>Chifre de Serpente </v>
      </c>
      <c r="AH620" s="241"/>
      <c r="AI620" s="241"/>
      <c r="AJ620" s="242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2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2"/>
      <c r="Y621" s="241" t="str">
        <f>IFERROR(__xludf.DUMMYFUNCTION("""COMPUTED_VALUE"""),"Escudo Estrelado")</f>
        <v>Escudo Estrelado</v>
      </c>
      <c r="Z621" s="241"/>
      <c r="AA621" s="241" t="str">
        <f>IFERROR(__xludf.DUMMYFUNCTION("""COMPUTED_VALUE"""),"Talismã do fogo-gelo")</f>
        <v>Talismã do fogo-gelo</v>
      </c>
      <c r="AB621" s="241"/>
      <c r="AC621" s="241" t="str">
        <f>IFERROR(__xludf.DUMMYFUNCTION("""COMPUTED_VALUE"""),"Coração de Lich")</f>
        <v>Coração de Lich</v>
      </c>
      <c r="AD621" s="241"/>
      <c r="AE621" s="241" t="str">
        <f>IFERROR(__xludf.DUMMYFUNCTION("""COMPUTED_VALUE"""),"Coração de Lich")</f>
        <v>Coração de Lich</v>
      </c>
      <c r="AF621" s="241"/>
      <c r="AG621" s="241" t="str">
        <f>IFERROR(__xludf.DUMMYFUNCTION("""COMPUTED_VALUE"""),"Gu Zheng")</f>
        <v>Gu Zheng</v>
      </c>
      <c r="AH621" s="241"/>
      <c r="AI621" s="241"/>
      <c r="AJ621" s="242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2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2"/>
      <c r="Y622" s="241" t="str">
        <f>IFERROR(__xludf.DUMMYFUNCTION("""COMPUTED_VALUE"""),"Escudo de cristal")</f>
        <v>Escudo de cristal</v>
      </c>
      <c r="Z622" s="241"/>
      <c r="AA622" s="241" t="str">
        <f>IFERROR(__xludf.DUMMYFUNCTION("""COMPUTED_VALUE"""),"Coração de Gaia")</f>
        <v>Coração de Gaia</v>
      </c>
      <c r="AB622" s="241"/>
      <c r="AC622" s="241" t="str">
        <f>IFERROR(__xludf.DUMMYFUNCTION("""COMPUTED_VALUE"""),"Amuleto dracônico")</f>
        <v>Amuleto dracônico</v>
      </c>
      <c r="AD622" s="241"/>
      <c r="AE622" s="241" t="str">
        <f>IFERROR(__xludf.DUMMYFUNCTION("""COMPUTED_VALUE"""),"Amuleto dracônico")</f>
        <v>Amuleto dracônico</v>
      </c>
      <c r="AF622" s="241"/>
      <c r="AG622" s="241" t="str">
        <f>IFERROR(__xludf.DUMMYFUNCTION("""COMPUTED_VALUE"""),"Batimento Dracônico ")</f>
        <v>Batimento Dracônico </v>
      </c>
      <c r="AH622" s="241"/>
      <c r="AI622" s="241"/>
      <c r="AJ622" s="242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2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2"/>
      <c r="Y623" s="241" t="str">
        <f>IFERROR(__xludf.DUMMYFUNCTION("""COMPUTED_VALUE"""),"Crânio de Dragão")</f>
        <v>Crânio de Dragão</v>
      </c>
      <c r="Z623" s="241"/>
      <c r="AA623" s="241" t="str">
        <f>IFERROR(__xludf.DUMMYFUNCTION("""COMPUTED_VALUE"""),"Amuleto primordial")</f>
        <v>Amuleto primordial</v>
      </c>
      <c r="AB623" s="241"/>
      <c r="AC623" s="241" t="str">
        <f>IFERROR(__xludf.DUMMYFUNCTION("""COMPUTED_VALUE"""),"Lágrima da Deusa")</f>
        <v>Lágrima da Deusa</v>
      </c>
      <c r="AD623" s="241"/>
      <c r="AE623" s="241" t="str">
        <f>IFERROR(__xludf.DUMMYFUNCTION("""COMPUTED_VALUE"""),"Lágrima da Deusa")</f>
        <v>Lágrima da Deusa</v>
      </c>
      <c r="AF623" s="241"/>
      <c r="AG623" s="241" t="str">
        <f>IFERROR(__xludf.DUMMYFUNCTION("""COMPUTED_VALUE"""),"Cordas angelicais")</f>
        <v>Cordas angelicais</v>
      </c>
      <c r="AH623" s="241"/>
      <c r="AI623" s="241"/>
      <c r="AJ623" s="242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2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2"/>
      <c r="Y624" s="241" t="str">
        <f>IFERROR(__xludf.DUMMYFUNCTION("""COMPUTED_VALUE"""),"Escudo gigante")</f>
        <v>Escudo gigante</v>
      </c>
      <c r="Z624" s="241"/>
      <c r="AA624" s="241" t="str">
        <f>IFERROR(__xludf.DUMMYFUNCTION("""COMPUTED_VALUE"""),"Ominous Charm")</f>
        <v>Ominous Charm</v>
      </c>
      <c r="AB624" s="241"/>
      <c r="AC624" s="241" t="str">
        <f>IFERROR(__xludf.DUMMYFUNCTION("""COMPUTED_VALUE"""),"Coração do Sol")</f>
        <v>Coração do Sol</v>
      </c>
      <c r="AD624" s="241"/>
      <c r="AE624" s="241" t="str">
        <f>IFERROR(__xludf.DUMMYFUNCTION("""COMPUTED_VALUE"""),"Coração do Sol")</f>
        <v>Coração do Sol</v>
      </c>
      <c r="AF624" s="241"/>
      <c r="AG624" s="241" t="str">
        <f>IFERROR(__xludf.DUMMYFUNCTION("""COMPUTED_VALUE"""),"Ceremonial Er-hu")</f>
        <v>Ceremonial Er-hu</v>
      </c>
      <c r="AH624" s="241"/>
      <c r="AI624" s="241"/>
      <c r="AJ624" s="242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2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2"/>
      <c r="Y625" s="241" t="str">
        <f>IFERROR(__xludf.DUMMYFUNCTION("""COMPUTED_VALUE"""),"Escudo do Aventureiro")</f>
        <v>Escudo do Aventureiro</v>
      </c>
      <c r="Z625" s="241"/>
      <c r="AA625" s="241"/>
      <c r="AB625" s="241"/>
      <c r="AC625" s="241" t="str">
        <f>IFERROR(__xludf.DUMMYFUNCTION("""COMPUTED_VALUE"""),"Herança de Azbandar")</f>
        <v>Herança de Azbandar</v>
      </c>
      <c r="AD625" s="241"/>
      <c r="AE625" s="241" t="str">
        <f>IFERROR(__xludf.DUMMYFUNCTION("""COMPUTED_VALUE"""),"Herança de Azbandar")</f>
        <v>Herança de Azbandar</v>
      </c>
      <c r="AF625" s="241"/>
      <c r="AG625" s="241" t="str">
        <f>IFERROR(__xludf.DUMMYFUNCTION("""COMPUTED_VALUE"""),"Harpa do Fogo Gelo")</f>
        <v>Harpa do Fogo Gelo</v>
      </c>
      <c r="AH625" s="241"/>
      <c r="AI625" s="241"/>
      <c r="AJ625" s="242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2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2"/>
      <c r="Y626" s="241" t="str">
        <f>IFERROR(__xludf.DUMMYFUNCTION("""COMPUTED_VALUE"""),"Shark Bite")</f>
        <v>Shark Bite</v>
      </c>
      <c r="Z626" s="241"/>
      <c r="AA626" s="241"/>
      <c r="AB626" s="241"/>
      <c r="AC626" s="241" t="str">
        <f>IFERROR(__xludf.DUMMYFUNCTION("""COMPUTED_VALUE"""),"Herança de Família")</f>
        <v>Herança de Família</v>
      </c>
      <c r="AD626" s="241"/>
      <c r="AE626" s="241" t="str">
        <f>IFERROR(__xludf.DUMMYFUNCTION("""COMPUTED_VALUE"""),"Herança de Família")</f>
        <v>Herança de Família</v>
      </c>
      <c r="AF626" s="241"/>
      <c r="AG626" s="241" t="str">
        <f>IFERROR(__xludf.DUMMYFUNCTION("""COMPUTED_VALUE"""),"Flauta de gaia ")</f>
        <v>Flauta de gaia </v>
      </c>
      <c r="AH626" s="241"/>
      <c r="AI626" s="241"/>
      <c r="AJ626" s="242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2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2"/>
      <c r="Y627" s="241" t="str">
        <f>IFERROR(__xludf.DUMMYFUNCTION("""COMPUTED_VALUE"""),"Buckler de Atena")</f>
        <v>Buckler de Atena</v>
      </c>
      <c r="Z627" s="241"/>
      <c r="AA627" s="241"/>
      <c r="AB627" s="241"/>
      <c r="AC627" s="241" t="str">
        <f>IFERROR(__xludf.DUMMYFUNCTION("""COMPUTED_VALUE"""),"Talismã do fogo-gelo")</f>
        <v>Talismã do fogo-gelo</v>
      </c>
      <c r="AD627" s="241"/>
      <c r="AE627" s="241" t="str">
        <f>IFERROR(__xludf.DUMMYFUNCTION("""COMPUTED_VALUE"""),"Talismã do fogo-gelo")</f>
        <v>Talismã do fogo-gelo</v>
      </c>
      <c r="AF627" s="241"/>
      <c r="AG627" s="241" t="str">
        <f>IFERROR(__xludf.DUMMYFUNCTION("""COMPUTED_VALUE"""),"Flauta Convocadora")</f>
        <v>Flauta Convocadora</v>
      </c>
      <c r="AH627" s="241"/>
      <c r="AI627" s="241"/>
      <c r="AJ627" s="242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2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2"/>
      <c r="Y628" s="241" t="str">
        <f>IFERROR(__xludf.DUMMYFUNCTION("""COMPUTED_VALUE"""),"Broquel da Medusa")</f>
        <v>Broquel da Medusa</v>
      </c>
      <c r="Z628" s="241"/>
      <c r="AA628" s="241"/>
      <c r="AB628" s="241"/>
      <c r="AC628" s="241" t="str">
        <f>IFERROR(__xludf.DUMMYFUNCTION("""COMPUTED_VALUE"""),"Coração de Gaia")</f>
        <v>Coração de Gaia</v>
      </c>
      <c r="AD628" s="241"/>
      <c r="AE628" s="241" t="str">
        <f>IFERROR(__xludf.DUMMYFUNCTION("""COMPUTED_VALUE"""),"Coração de Gaia")</f>
        <v>Coração de Gaia</v>
      </c>
      <c r="AF628" s="241"/>
      <c r="AG628" s="241"/>
      <c r="AH628" s="241"/>
      <c r="AI628" s="241"/>
      <c r="AJ628" s="242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2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2"/>
      <c r="Y629" s="241" t="str">
        <f>IFERROR(__xludf.DUMMYFUNCTION("""COMPUTED_VALUE"""),"Escudo do oráculo")</f>
        <v>Escudo do oráculo</v>
      </c>
      <c r="Z629" s="241"/>
      <c r="AA629" s="241"/>
      <c r="AB629" s="241"/>
      <c r="AC629" s="241" t="str">
        <f>IFERROR(__xludf.DUMMYFUNCTION("""COMPUTED_VALUE"""),"Amuleto primordial")</f>
        <v>Amuleto primordial</v>
      </c>
      <c r="AD629" s="241"/>
      <c r="AE629" s="241" t="str">
        <f>IFERROR(__xludf.DUMMYFUNCTION("""COMPUTED_VALUE"""),"Amuleto primordial")</f>
        <v>Amuleto primordial</v>
      </c>
      <c r="AF629" s="241"/>
      <c r="AG629" s="241"/>
      <c r="AH629" s="241"/>
      <c r="AI629" s="241"/>
      <c r="AJ629" s="242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2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2"/>
      <c r="Y630" s="241" t="str">
        <f>IFERROR(__xludf.DUMMYFUNCTION("""COMPUTED_VALUE"""),"Mãe Natureza")</f>
        <v>Mãe Natureza</v>
      </c>
      <c r="Z630" s="241"/>
      <c r="AA630" s="241"/>
      <c r="AB630" s="241"/>
      <c r="AC630" s="241" t="str">
        <f>IFERROR(__xludf.DUMMYFUNCTION("""COMPUTED_VALUE"""),"Ominous Charm")</f>
        <v>Ominous Charm</v>
      </c>
      <c r="AD630" s="241"/>
      <c r="AE630" s="241" t="str">
        <f>IFERROR(__xludf.DUMMYFUNCTION("""COMPUTED_VALUE"""),"Ominous Charm")</f>
        <v>Ominous Charm</v>
      </c>
      <c r="AF630" s="241"/>
      <c r="AG630" s="241"/>
      <c r="AH630" s="241"/>
      <c r="AI630" s="241"/>
      <c r="AJ630" s="242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2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2"/>
      <c r="Y631" s="241" t="str">
        <f>IFERROR(__xludf.DUMMYFUNCTION("""COMPUTED_VALUE"""),"Escudo Meia Lua")</f>
        <v>Escudo Meia Lua</v>
      </c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2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2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2"/>
      <c r="Y632" s="241" t="str">
        <f>IFERROR(__xludf.DUMMYFUNCTION("""COMPUTED_VALUE"""),"Celtic Shield")</f>
        <v>Celtic Shield</v>
      </c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2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2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2"/>
      <c r="Y633" s="241" t="str">
        <f>IFERROR(__xludf.DUMMYFUNCTION("""COMPUTED_VALUE"""),"Painel Refrator")</f>
        <v>Painel Refrator</v>
      </c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2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2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2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2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2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2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2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2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2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2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2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2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2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2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2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2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2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2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2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2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2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2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2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2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2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2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2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2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2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2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2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2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2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2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2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2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2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2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2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2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2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2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2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2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2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2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2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2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2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2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2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2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2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2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2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2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2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2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2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2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2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2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2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2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2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2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2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2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2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2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2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2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2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2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2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2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2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2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2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2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2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2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2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2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2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2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2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2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2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2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2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2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2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2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2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2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2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2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2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2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2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2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2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2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2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2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2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2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2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2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2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2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2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2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2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2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2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2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2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2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2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2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2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2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2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2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2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2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2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2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2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2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2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2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2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2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2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2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2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2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2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2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2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2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2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2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2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2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2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2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2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2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2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2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2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2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2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2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2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2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2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2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2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2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2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2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2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2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2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2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2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2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2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2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2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2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2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2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2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2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2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2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2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2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2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2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2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2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2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2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2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2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2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2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2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2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2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2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2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2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2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2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2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2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2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2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2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2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2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2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2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2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2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2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2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2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2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2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2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2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2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2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2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2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2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2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2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2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2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2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2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2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2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2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2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2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2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2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2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2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2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2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2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2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2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2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2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2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2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2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2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2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2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2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2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2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2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2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2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2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2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2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2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2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2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2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2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2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2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2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2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2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2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2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2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2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2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2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2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2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2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2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2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2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2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2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2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2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2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2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2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2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2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2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2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2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2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2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2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2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2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2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2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2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2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2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2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2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2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2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2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2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2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2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2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2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2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2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2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2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2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2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2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2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2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2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2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2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2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2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2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2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2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2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2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2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2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2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2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2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2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2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2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2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2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2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2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2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2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2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2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2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2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2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2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2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2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2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2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2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2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2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2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2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2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2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2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2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2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2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2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2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2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2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2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2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2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2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2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2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2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2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2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2"/>
    </row>
    <row r="763" hidden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2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2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2"/>
    </row>
    <row r="764" hidden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2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2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2"/>
    </row>
    <row r="765" hidden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2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2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2"/>
    </row>
    <row r="766" hidden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2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2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2"/>
    </row>
    <row r="767" hidden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2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2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2"/>
    </row>
    <row r="768" hidden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2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2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2"/>
    </row>
    <row r="769" hidden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2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2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2"/>
    </row>
    <row r="770" hidden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2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2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2"/>
    </row>
    <row r="771" hidden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2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2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2"/>
    </row>
    <row r="772" hidden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2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2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2"/>
    </row>
    <row r="773" hidden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2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2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2"/>
    </row>
    <row r="774" hidden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2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2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2"/>
    </row>
    <row r="775" hidden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2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2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2"/>
    </row>
    <row r="776" hidden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2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2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2"/>
    </row>
    <row r="777" hidden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2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2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2"/>
    </row>
    <row r="778" hidden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2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2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2"/>
    </row>
    <row r="779" hidden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2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2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2"/>
    </row>
    <row r="780" hidden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2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2"/>
    </row>
    <row r="781" hidden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2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2"/>
    </row>
    <row r="782" hidden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2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2"/>
    </row>
    <row r="783" hidden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2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2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2"/>
    </row>
    <row r="784" hidden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2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2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2"/>
    </row>
    <row r="785" hidden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2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2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2"/>
    </row>
    <row r="786" hidden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2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2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2"/>
    </row>
    <row r="787" hidden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2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2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2"/>
    </row>
    <row r="788" hidden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2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2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2"/>
    </row>
    <row r="789" hidden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2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2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2"/>
    </row>
    <row r="790" hidden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2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2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2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2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2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2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2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2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2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2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2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2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2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2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2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2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2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2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2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2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2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2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2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2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2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2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2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2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2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2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2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2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2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2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2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2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2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2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2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2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2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2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2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2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2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2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2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2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2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2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2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2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2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2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2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2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2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2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2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2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2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2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2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2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2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2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2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2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2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2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2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2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2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2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2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2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2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2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2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2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2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2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2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2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2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2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2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2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2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2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2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2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2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2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2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2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2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2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2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2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2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2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2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2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2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2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2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2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2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2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2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2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2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2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2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2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2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2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2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2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2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2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2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2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2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2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2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2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2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2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2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2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2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2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2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2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2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2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2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2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2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2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2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2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2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2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2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2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2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2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2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2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2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2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2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2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2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2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2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2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2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2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2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2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2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2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2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2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2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2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2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2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2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2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2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2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2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2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2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2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2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2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2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2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2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2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2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2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2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2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2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2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2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2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2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2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2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2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2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2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2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2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2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2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2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2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2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2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2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2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2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2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2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2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2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2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2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2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2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2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2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2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2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2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2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2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2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2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2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2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2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2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2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2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2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2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2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2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2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2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2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2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2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2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2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2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2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2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2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2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2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2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2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2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2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2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2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2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2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2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2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2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2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2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2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2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2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2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2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2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2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2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2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2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2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2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2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2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2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2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2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2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2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2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2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2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2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2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2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2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2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2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2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2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2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2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2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2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2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2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2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2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2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2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2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2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2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2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2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2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2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2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2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2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2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2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2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2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2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2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2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2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2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2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2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2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2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2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2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2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2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2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2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2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2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2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2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2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2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2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2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2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2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2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2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2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2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2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2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2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2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2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2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2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2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2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2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2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2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2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2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2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2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2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2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2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2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2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2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2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2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2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2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2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2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2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2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2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2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2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2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2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2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2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2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2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2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2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2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2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2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2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2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2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2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2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2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2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2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2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2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2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2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2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2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2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2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2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2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2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2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2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2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2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2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2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2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2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2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2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2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2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2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2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2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2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2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2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2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2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2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2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2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2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2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2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2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2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2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2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2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2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2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2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2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2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2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2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2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2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2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2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2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2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2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2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2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2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2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2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2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2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2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2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2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2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2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2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2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2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2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2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2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2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2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2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2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2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2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2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2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2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2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2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2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2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2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2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2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2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2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2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2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2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2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2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2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2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2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2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2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2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2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2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2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2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2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2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2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2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2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2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2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2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2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2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2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2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2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2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2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2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2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2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2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2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2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2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2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2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2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2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2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2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2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2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2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2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2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2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2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2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2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2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2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2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2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2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2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2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2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2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2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2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2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2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2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2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2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2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2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2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2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2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2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2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2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2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2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2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2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2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2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2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2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2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2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2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2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2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2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2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2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2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2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2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2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2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2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2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2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2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2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2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2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2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2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2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2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2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2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2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2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2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2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2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2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2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2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2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2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2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2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2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2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2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2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2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2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2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2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2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2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2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2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2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2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2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2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2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2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2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2"/>
    </row>
    <row r="1001" hidden="1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2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2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2"/>
    </row>
    <row r="1002" hidden="1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2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2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2"/>
    </row>
    <row r="1003" hidden="1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2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2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2"/>
    </row>
    <row r="1004" hidden="1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2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2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2"/>
    </row>
    <row r="1005" hidden="1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2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2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2"/>
    </row>
    <row r="1006" hidden="1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2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2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2"/>
    </row>
    <row r="1007" hidden="1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2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2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2"/>
    </row>
    <row r="1008" hidden="1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2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2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2"/>
    </row>
    <row r="1009" hidden="1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2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2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2"/>
    </row>
    <row r="1010" hidden="1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2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2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2"/>
    </row>
    <row r="1011" hidden="1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2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2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2"/>
    </row>
    <row r="1012" hidden="1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2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2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2"/>
    </row>
    <row r="1013" hidden="1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2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2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2"/>
    </row>
    <row r="1014" hidden="1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2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2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2"/>
    </row>
    <row r="1015" hidden="1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2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2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2"/>
    </row>
    <row r="1016" hidden="1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2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2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2"/>
    </row>
    <row r="1017" hidden="1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2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2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2"/>
    </row>
    <row r="1018" hidden="1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2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2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2"/>
    </row>
    <row r="1019" hidden="1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2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2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2"/>
    </row>
    <row r="1020" hidden="1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2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2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2"/>
    </row>
    <row r="1021" hidden="1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2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2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2"/>
    </row>
    <row r="1022" hidden="1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2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2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2"/>
    </row>
    <row r="1023" hidden="1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2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2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2"/>
    </row>
    <row r="1024" hidden="1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2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2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2"/>
    </row>
    <row r="1025" hidden="1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2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2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2"/>
    </row>
    <row r="1026" hidden="1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2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2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2"/>
    </row>
    <row r="1027" hidden="1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2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2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2"/>
    </row>
    <row r="1028" hidden="1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2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2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2"/>
    </row>
    <row r="1029" hidden="1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2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2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2"/>
    </row>
    <row r="1030" hidden="1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2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2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2"/>
    </row>
    <row r="1031" hidden="1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2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2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2"/>
    </row>
    <row r="1032" hidden="1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2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2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2"/>
    </row>
    <row r="1033" hidden="1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2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2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2"/>
    </row>
    <row r="1034" hidden="1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2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2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2"/>
    </row>
    <row r="1035" hidden="1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2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2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2"/>
    </row>
    <row r="1036" hidden="1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2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2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2"/>
    </row>
    <row r="1037" hidden="1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2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2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2"/>
    </row>
    <row r="1038" hidden="1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2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2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2"/>
    </row>
    <row r="1039" hidden="1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2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2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2"/>
    </row>
    <row r="1040" hidden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2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2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2"/>
    </row>
    <row r="1041" hidden="1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2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2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2"/>
    </row>
    <row r="1042" hidden="1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2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2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2"/>
    </row>
    <row r="1043" hidden="1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2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2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2"/>
    </row>
    <row r="1044" hidden="1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2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2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2"/>
    </row>
    <row r="1045" hidden="1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2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2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2"/>
    </row>
    <row r="1046" hidden="1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2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2"/>
      <c r="Y1046" s="241"/>
      <c r="Z1046" s="241"/>
      <c r="AA1046" s="241"/>
      <c r="AB1046" s="241"/>
      <c r="AC1046" s="241"/>
      <c r="AD1046" s="241"/>
      <c r="AE1046" s="241"/>
      <c r="AF1046" s="241"/>
      <c r="AG1046" s="241"/>
      <c r="AH1046" s="241"/>
      <c r="AI1046" s="241"/>
      <c r="AJ1046" s="242"/>
    </row>
    <row r="1047" hidden="1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2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2"/>
      <c r="Y1047" s="241"/>
      <c r="Z1047" s="241"/>
      <c r="AA1047" s="241"/>
      <c r="AB1047" s="241"/>
      <c r="AC1047" s="241"/>
      <c r="AD1047" s="241"/>
      <c r="AE1047" s="241"/>
      <c r="AF1047" s="241"/>
      <c r="AG1047" s="241"/>
      <c r="AH1047" s="241"/>
      <c r="AI1047" s="241"/>
      <c r="AJ1047" s="242"/>
    </row>
    <row r="1048" hidden="1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2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2"/>
      <c r="Y1048" s="241"/>
      <c r="Z1048" s="241"/>
      <c r="AA1048" s="241"/>
      <c r="AB1048" s="241"/>
      <c r="AC1048" s="241"/>
      <c r="AD1048" s="241"/>
      <c r="AE1048" s="241"/>
      <c r="AF1048" s="241"/>
      <c r="AG1048" s="241"/>
      <c r="AH1048" s="241"/>
      <c r="AI1048" s="241"/>
      <c r="AJ1048" s="242"/>
    </row>
    <row r="1049" hidden="1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2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2"/>
      <c r="Y1049" s="241"/>
      <c r="Z1049" s="241"/>
      <c r="AA1049" s="241"/>
      <c r="AB1049" s="241"/>
      <c r="AC1049" s="241"/>
      <c r="AD1049" s="241"/>
      <c r="AE1049" s="241"/>
      <c r="AF1049" s="241"/>
      <c r="AG1049" s="241"/>
      <c r="AH1049" s="241"/>
      <c r="AI1049" s="241"/>
      <c r="AJ1049" s="242"/>
    </row>
    <row r="1050" hidden="1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2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2"/>
      <c r="Y1050" s="241"/>
      <c r="Z1050" s="241"/>
      <c r="AA1050" s="241"/>
      <c r="AB1050" s="241"/>
      <c r="AC1050" s="241"/>
      <c r="AD1050" s="241"/>
      <c r="AE1050" s="241"/>
      <c r="AF1050" s="241"/>
      <c r="AG1050" s="241"/>
      <c r="AH1050" s="241"/>
      <c r="AI1050" s="241"/>
      <c r="AJ1050" s="242"/>
    </row>
    <row r="1051" hidden="1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2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2"/>
      <c r="Y1051" s="241"/>
      <c r="Z1051" s="241"/>
      <c r="AA1051" s="241"/>
      <c r="AB1051" s="241"/>
      <c r="AC1051" s="241"/>
      <c r="AD1051" s="241"/>
      <c r="AE1051" s="241"/>
      <c r="AF1051" s="241"/>
      <c r="AG1051" s="241"/>
      <c r="AH1051" s="241"/>
      <c r="AI1051" s="241"/>
      <c r="AJ1051" s="242"/>
    </row>
    <row r="1052" hidden="1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2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2"/>
      <c r="Y1052" s="241"/>
      <c r="Z1052" s="241"/>
      <c r="AA1052" s="241"/>
      <c r="AB1052" s="241"/>
      <c r="AC1052" s="241"/>
      <c r="AD1052" s="241"/>
      <c r="AE1052" s="241"/>
      <c r="AF1052" s="241"/>
      <c r="AG1052" s="241"/>
      <c r="AH1052" s="241"/>
      <c r="AI1052" s="241"/>
      <c r="AJ1052" s="242"/>
    </row>
    <row r="1053" hidden="1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2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2"/>
      <c r="Y1053" s="241"/>
      <c r="Z1053" s="241"/>
      <c r="AA1053" s="241"/>
      <c r="AB1053" s="241"/>
      <c r="AC1053" s="241"/>
      <c r="AD1053" s="241"/>
      <c r="AE1053" s="241"/>
      <c r="AF1053" s="241"/>
      <c r="AG1053" s="241"/>
      <c r="AH1053" s="241"/>
      <c r="AI1053" s="241"/>
      <c r="AJ1053" s="242"/>
    </row>
    <row r="1054" hidden="1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2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2"/>
      <c r="Y1054" s="241"/>
      <c r="Z1054" s="241"/>
      <c r="AA1054" s="241"/>
      <c r="AB1054" s="241"/>
      <c r="AC1054" s="241"/>
      <c r="AD1054" s="241"/>
      <c r="AE1054" s="241"/>
      <c r="AF1054" s="241"/>
      <c r="AG1054" s="241"/>
      <c r="AH1054" s="241"/>
      <c r="AI1054" s="241"/>
      <c r="AJ1054" s="242"/>
    </row>
    <row r="1055" hidden="1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2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2"/>
      <c r="Y1055" s="241"/>
      <c r="Z1055" s="241"/>
      <c r="AA1055" s="241"/>
      <c r="AB1055" s="241"/>
      <c r="AC1055" s="241"/>
      <c r="AD1055" s="241"/>
      <c r="AE1055" s="241"/>
      <c r="AF1055" s="241"/>
      <c r="AG1055" s="241"/>
      <c r="AH1055" s="241"/>
      <c r="AI1055" s="241"/>
      <c r="AJ1055" s="242"/>
    </row>
    <row r="1056" hidden="1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2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2"/>
      <c r="Y1056" s="241"/>
      <c r="Z1056" s="241"/>
      <c r="AA1056" s="241"/>
      <c r="AB1056" s="241"/>
      <c r="AC1056" s="241"/>
      <c r="AD1056" s="241"/>
      <c r="AE1056" s="241"/>
      <c r="AF1056" s="241"/>
      <c r="AG1056" s="241"/>
      <c r="AH1056" s="241"/>
      <c r="AI1056" s="241"/>
      <c r="AJ1056" s="242"/>
    </row>
    <row r="1057" hidden="1">
      <c r="A1057" s="241"/>
      <c r="B1057" s="241"/>
      <c r="C1057" s="241"/>
      <c r="D1057" s="241"/>
      <c r="E1057" s="241"/>
      <c r="F1057" s="241"/>
      <c r="G1057" s="241"/>
      <c r="H1057" s="241"/>
      <c r="I1057" s="241"/>
      <c r="J1057" s="241"/>
      <c r="K1057" s="241"/>
      <c r="L1057" s="242"/>
      <c r="M1057" s="241"/>
      <c r="N1057" s="241"/>
      <c r="O1057" s="241"/>
      <c r="P1057" s="241"/>
      <c r="Q1057" s="241"/>
      <c r="R1057" s="241"/>
      <c r="S1057" s="241"/>
      <c r="T1057" s="241"/>
      <c r="U1057" s="241"/>
      <c r="V1057" s="241"/>
      <c r="W1057" s="241"/>
      <c r="X1057" s="242"/>
      <c r="Y1057" s="241"/>
      <c r="Z1057" s="241"/>
      <c r="AA1057" s="241"/>
      <c r="AB1057" s="241"/>
      <c r="AC1057" s="241"/>
      <c r="AD1057" s="241"/>
      <c r="AE1057" s="241"/>
      <c r="AF1057" s="241"/>
      <c r="AG1057" s="241"/>
      <c r="AH1057" s="241"/>
      <c r="AI1057" s="241"/>
      <c r="AJ1057" s="242"/>
    </row>
    <row r="1058" hidden="1">
      <c r="A1058" s="241"/>
      <c r="B1058" s="241"/>
      <c r="C1058" s="241"/>
      <c r="D1058" s="241"/>
      <c r="E1058" s="241"/>
      <c r="F1058" s="241"/>
      <c r="G1058" s="241"/>
      <c r="H1058" s="241"/>
      <c r="I1058" s="241"/>
      <c r="J1058" s="241"/>
      <c r="K1058" s="241"/>
      <c r="L1058" s="242"/>
      <c r="M1058" s="241"/>
      <c r="N1058" s="241"/>
      <c r="O1058" s="241"/>
      <c r="P1058" s="241"/>
      <c r="Q1058" s="241"/>
      <c r="R1058" s="241"/>
      <c r="S1058" s="241"/>
      <c r="T1058" s="241"/>
      <c r="U1058" s="241"/>
      <c r="V1058" s="241"/>
      <c r="W1058" s="241"/>
      <c r="X1058" s="242"/>
      <c r="Y1058" s="241"/>
      <c r="Z1058" s="241"/>
      <c r="AA1058" s="241"/>
      <c r="AB1058" s="241"/>
      <c r="AC1058" s="241"/>
      <c r="AD1058" s="241"/>
      <c r="AE1058" s="241"/>
      <c r="AF1058" s="241"/>
      <c r="AG1058" s="241"/>
      <c r="AH1058" s="241"/>
      <c r="AI1058" s="241"/>
      <c r="AJ1058" s="242"/>
    </row>
    <row r="1059" hidden="1">
      <c r="A1059" s="241"/>
      <c r="B1059" s="241"/>
      <c r="C1059" s="241"/>
      <c r="D1059" s="241"/>
      <c r="E1059" s="241"/>
      <c r="F1059" s="241"/>
      <c r="G1059" s="241"/>
      <c r="H1059" s="241"/>
      <c r="I1059" s="241"/>
      <c r="J1059" s="241"/>
      <c r="K1059" s="241"/>
      <c r="L1059" s="242"/>
      <c r="M1059" s="241"/>
      <c r="N1059" s="241"/>
      <c r="O1059" s="241"/>
      <c r="P1059" s="241"/>
      <c r="Q1059" s="241"/>
      <c r="R1059" s="241"/>
      <c r="S1059" s="241"/>
      <c r="T1059" s="241"/>
      <c r="U1059" s="241"/>
      <c r="V1059" s="241"/>
      <c r="W1059" s="241"/>
      <c r="X1059" s="242"/>
      <c r="Y1059" s="241"/>
      <c r="Z1059" s="241"/>
      <c r="AA1059" s="241"/>
      <c r="AB1059" s="241"/>
      <c r="AC1059" s="241"/>
      <c r="AD1059" s="241"/>
      <c r="AE1059" s="241"/>
      <c r="AF1059" s="241"/>
      <c r="AG1059" s="241"/>
      <c r="AH1059" s="241"/>
      <c r="AI1059" s="241"/>
      <c r="AJ1059" s="242"/>
    </row>
    <row r="1060" hidden="1">
      <c r="A1060" s="241"/>
      <c r="B1060" s="241"/>
      <c r="C1060" s="241"/>
      <c r="D1060" s="241"/>
      <c r="E1060" s="241"/>
      <c r="F1060" s="241"/>
      <c r="G1060" s="241"/>
      <c r="H1060" s="241"/>
      <c r="I1060" s="241"/>
      <c r="J1060" s="241"/>
      <c r="K1060" s="241"/>
      <c r="L1060" s="242"/>
      <c r="M1060" s="241"/>
      <c r="N1060" s="241"/>
      <c r="O1060" s="241"/>
      <c r="P1060" s="241"/>
      <c r="Q1060" s="241"/>
      <c r="R1060" s="241"/>
      <c r="S1060" s="241"/>
      <c r="T1060" s="241"/>
      <c r="U1060" s="241"/>
      <c r="V1060" s="241"/>
      <c r="W1060" s="241"/>
      <c r="X1060" s="242"/>
      <c r="Y1060" s="241"/>
      <c r="Z1060" s="241"/>
      <c r="AA1060" s="241"/>
      <c r="AB1060" s="241"/>
      <c r="AC1060" s="241"/>
      <c r="AD1060" s="241"/>
      <c r="AE1060" s="241"/>
      <c r="AF1060" s="241"/>
      <c r="AG1060" s="241"/>
      <c r="AH1060" s="241"/>
      <c r="AI1060" s="241"/>
      <c r="AJ1060" s="242"/>
    </row>
    <row r="1061" hidden="1">
      <c r="A1061" s="241"/>
      <c r="B1061" s="241"/>
      <c r="C1061" s="241"/>
      <c r="D1061" s="241"/>
      <c r="E1061" s="241"/>
      <c r="F1061" s="241"/>
      <c r="G1061" s="241"/>
      <c r="H1061" s="241"/>
      <c r="I1061" s="241"/>
      <c r="J1061" s="241"/>
      <c r="K1061" s="241"/>
      <c r="L1061" s="242"/>
      <c r="M1061" s="241"/>
      <c r="N1061" s="241"/>
      <c r="O1061" s="241"/>
      <c r="P1061" s="241"/>
      <c r="Q1061" s="241"/>
      <c r="R1061" s="241"/>
      <c r="S1061" s="241"/>
      <c r="T1061" s="241"/>
      <c r="U1061" s="241"/>
      <c r="V1061" s="241"/>
      <c r="W1061" s="241"/>
      <c r="X1061" s="242"/>
      <c r="Y1061" s="241"/>
      <c r="Z1061" s="241"/>
      <c r="AA1061" s="241"/>
      <c r="AB1061" s="241"/>
      <c r="AC1061" s="241"/>
      <c r="AD1061" s="241"/>
      <c r="AE1061" s="241"/>
      <c r="AF1061" s="241"/>
      <c r="AG1061" s="241"/>
      <c r="AH1061" s="241"/>
      <c r="AI1061" s="241"/>
      <c r="AJ1061" s="242"/>
    </row>
    <row r="1062" hidden="1">
      <c r="A1062" s="241"/>
      <c r="B1062" s="241"/>
      <c r="C1062" s="241"/>
      <c r="D1062" s="241"/>
      <c r="E1062" s="241"/>
      <c r="F1062" s="241"/>
      <c r="G1062" s="241"/>
      <c r="H1062" s="241"/>
      <c r="I1062" s="241"/>
      <c r="J1062" s="241"/>
      <c r="K1062" s="241"/>
      <c r="L1062" s="242"/>
      <c r="M1062" s="241"/>
      <c r="N1062" s="241"/>
      <c r="O1062" s="241"/>
      <c r="P1062" s="241"/>
      <c r="Q1062" s="241"/>
      <c r="R1062" s="241"/>
      <c r="S1062" s="241"/>
      <c r="T1062" s="241"/>
      <c r="U1062" s="241"/>
      <c r="V1062" s="241"/>
      <c r="W1062" s="241"/>
      <c r="X1062" s="242"/>
      <c r="Y1062" s="241"/>
      <c r="Z1062" s="241"/>
      <c r="AA1062" s="241"/>
      <c r="AB1062" s="241"/>
      <c r="AC1062" s="241"/>
      <c r="AD1062" s="241"/>
      <c r="AE1062" s="241"/>
      <c r="AF1062" s="241"/>
      <c r="AG1062" s="241"/>
      <c r="AH1062" s="241"/>
      <c r="AI1062" s="241"/>
      <c r="AJ1062" s="242"/>
    </row>
    <row r="1063" hidden="1">
      <c r="A1063" s="241"/>
      <c r="B1063" s="241"/>
      <c r="C1063" s="241"/>
      <c r="D1063" s="241"/>
      <c r="E1063" s="241"/>
      <c r="F1063" s="241"/>
      <c r="G1063" s="241"/>
      <c r="H1063" s="241"/>
      <c r="I1063" s="241"/>
      <c r="J1063" s="241"/>
      <c r="K1063" s="241"/>
      <c r="L1063" s="242"/>
      <c r="M1063" s="241"/>
      <c r="N1063" s="241"/>
      <c r="O1063" s="241"/>
      <c r="P1063" s="241"/>
      <c r="Q1063" s="241"/>
      <c r="R1063" s="241"/>
      <c r="S1063" s="241"/>
      <c r="T1063" s="241"/>
      <c r="U1063" s="241"/>
      <c r="V1063" s="241"/>
      <c r="W1063" s="241"/>
      <c r="X1063" s="242"/>
      <c r="Y1063" s="241"/>
      <c r="Z1063" s="241"/>
      <c r="AA1063" s="241"/>
      <c r="AB1063" s="241"/>
      <c r="AC1063" s="241"/>
      <c r="AD1063" s="241"/>
      <c r="AE1063" s="241"/>
      <c r="AF1063" s="241"/>
      <c r="AG1063" s="241"/>
      <c r="AH1063" s="241"/>
      <c r="AI1063" s="241"/>
      <c r="AJ1063" s="242"/>
    </row>
    <row r="1064" hidden="1">
      <c r="A1064" s="241"/>
      <c r="B1064" s="241"/>
      <c r="C1064" s="241"/>
      <c r="D1064" s="241"/>
      <c r="E1064" s="241"/>
      <c r="F1064" s="241"/>
      <c r="G1064" s="241"/>
      <c r="H1064" s="241"/>
      <c r="I1064" s="241"/>
      <c r="J1064" s="241"/>
      <c r="K1064" s="241"/>
      <c r="L1064" s="242"/>
      <c r="M1064" s="241"/>
      <c r="N1064" s="241"/>
      <c r="O1064" s="241"/>
      <c r="P1064" s="241"/>
      <c r="Q1064" s="241"/>
      <c r="R1064" s="241"/>
      <c r="S1064" s="241"/>
      <c r="T1064" s="241"/>
      <c r="U1064" s="241"/>
      <c r="V1064" s="241"/>
      <c r="W1064" s="241"/>
      <c r="X1064" s="242"/>
      <c r="Y1064" s="241"/>
      <c r="Z1064" s="241"/>
      <c r="AA1064" s="241"/>
      <c r="AB1064" s="241"/>
      <c r="AC1064" s="241"/>
      <c r="AD1064" s="241"/>
      <c r="AE1064" s="241"/>
      <c r="AF1064" s="241"/>
      <c r="AG1064" s="241"/>
      <c r="AH1064" s="241"/>
      <c r="AI1064" s="241"/>
      <c r="AJ1064" s="242"/>
    </row>
    <row r="1065" hidden="1">
      <c r="A1065" s="241"/>
      <c r="B1065" s="241"/>
      <c r="C1065" s="241"/>
      <c r="D1065" s="241"/>
      <c r="E1065" s="241"/>
      <c r="F1065" s="241"/>
      <c r="G1065" s="241"/>
      <c r="H1065" s="241"/>
      <c r="I1065" s="241"/>
      <c r="J1065" s="241"/>
      <c r="K1065" s="241"/>
      <c r="L1065" s="242"/>
      <c r="M1065" s="241"/>
      <c r="N1065" s="241"/>
      <c r="O1065" s="241"/>
      <c r="P1065" s="241"/>
      <c r="Q1065" s="241"/>
      <c r="R1065" s="241"/>
      <c r="S1065" s="241"/>
      <c r="T1065" s="241"/>
      <c r="U1065" s="241"/>
      <c r="V1065" s="241"/>
      <c r="W1065" s="241"/>
      <c r="X1065" s="242"/>
      <c r="Y1065" s="241"/>
      <c r="Z1065" s="241"/>
      <c r="AA1065" s="241"/>
      <c r="AB1065" s="241"/>
      <c r="AC1065" s="241"/>
      <c r="AD1065" s="241"/>
      <c r="AE1065" s="241"/>
      <c r="AF1065" s="241"/>
      <c r="AG1065" s="241"/>
      <c r="AH1065" s="241"/>
      <c r="AI1065" s="241"/>
      <c r="AJ1065" s="242"/>
    </row>
    <row r="1066" hidden="1">
      <c r="A1066" s="241"/>
      <c r="B1066" s="241"/>
      <c r="C1066" s="241"/>
      <c r="D1066" s="241"/>
      <c r="E1066" s="241"/>
      <c r="F1066" s="241"/>
      <c r="G1066" s="241"/>
      <c r="H1066" s="241"/>
      <c r="I1066" s="241"/>
      <c r="J1066" s="241"/>
      <c r="K1066" s="241"/>
      <c r="L1066" s="242"/>
      <c r="M1066" s="241"/>
      <c r="N1066" s="241"/>
      <c r="O1066" s="241"/>
      <c r="P1066" s="241"/>
      <c r="Q1066" s="241"/>
      <c r="R1066" s="241"/>
      <c r="S1066" s="241"/>
      <c r="T1066" s="241"/>
      <c r="U1066" s="241"/>
      <c r="V1066" s="241"/>
      <c r="W1066" s="241"/>
      <c r="X1066" s="242"/>
      <c r="Y1066" s="241"/>
      <c r="Z1066" s="241"/>
      <c r="AA1066" s="241"/>
      <c r="AB1066" s="241"/>
      <c r="AC1066" s="241"/>
      <c r="AD1066" s="241"/>
      <c r="AE1066" s="241"/>
      <c r="AF1066" s="241"/>
      <c r="AG1066" s="241"/>
      <c r="AH1066" s="241"/>
      <c r="AI1066" s="241"/>
      <c r="AJ1066" s="242"/>
    </row>
    <row r="1067" hidden="1">
      <c r="A1067" s="241"/>
      <c r="B1067" s="241"/>
      <c r="C1067" s="241"/>
      <c r="D1067" s="241"/>
      <c r="E1067" s="241"/>
      <c r="F1067" s="241"/>
      <c r="G1067" s="241"/>
      <c r="H1067" s="241"/>
      <c r="I1067" s="241"/>
      <c r="J1067" s="241"/>
      <c r="K1067" s="241"/>
      <c r="L1067" s="242"/>
      <c r="M1067" s="241"/>
      <c r="N1067" s="241"/>
      <c r="O1067" s="241"/>
      <c r="P1067" s="241"/>
      <c r="Q1067" s="241"/>
      <c r="R1067" s="241"/>
      <c r="S1067" s="241"/>
      <c r="T1067" s="241"/>
      <c r="U1067" s="241"/>
      <c r="V1067" s="241"/>
      <c r="W1067" s="241"/>
      <c r="X1067" s="242"/>
      <c r="Y1067" s="241"/>
      <c r="Z1067" s="241"/>
      <c r="AA1067" s="241"/>
      <c r="AB1067" s="241"/>
      <c r="AC1067" s="241"/>
      <c r="AD1067" s="241"/>
      <c r="AE1067" s="241"/>
      <c r="AF1067" s="241"/>
      <c r="AG1067" s="241"/>
      <c r="AH1067" s="241"/>
      <c r="AI1067" s="241"/>
      <c r="AJ1067" s="242"/>
    </row>
    <row r="1068" hidden="1">
      <c r="A1068" s="241"/>
      <c r="B1068" s="241"/>
      <c r="C1068" s="241"/>
      <c r="D1068" s="241"/>
      <c r="E1068" s="241"/>
      <c r="F1068" s="241"/>
      <c r="G1068" s="241"/>
      <c r="H1068" s="241"/>
      <c r="I1068" s="241"/>
      <c r="J1068" s="241"/>
      <c r="K1068" s="241"/>
      <c r="L1068" s="242"/>
      <c r="M1068" s="241"/>
      <c r="N1068" s="241"/>
      <c r="O1068" s="241"/>
      <c r="P1068" s="241"/>
      <c r="Q1068" s="241"/>
      <c r="R1068" s="241"/>
      <c r="S1068" s="241"/>
      <c r="T1068" s="241"/>
      <c r="U1068" s="241"/>
      <c r="V1068" s="241"/>
      <c r="W1068" s="241"/>
      <c r="X1068" s="242"/>
      <c r="Y1068" s="241"/>
      <c r="Z1068" s="241"/>
      <c r="AA1068" s="241"/>
      <c r="AB1068" s="241"/>
      <c r="AC1068" s="241"/>
      <c r="AD1068" s="241"/>
      <c r="AE1068" s="241"/>
      <c r="AF1068" s="241"/>
      <c r="AG1068" s="241"/>
      <c r="AH1068" s="241"/>
      <c r="AI1068" s="241"/>
      <c r="AJ1068" s="242"/>
    </row>
    <row r="1069" hidden="1">
      <c r="A1069" s="241"/>
      <c r="B1069" s="241"/>
      <c r="C1069" s="241"/>
      <c r="D1069" s="241"/>
      <c r="E1069" s="241"/>
      <c r="F1069" s="241"/>
      <c r="G1069" s="241"/>
      <c r="H1069" s="241"/>
      <c r="I1069" s="241"/>
      <c r="J1069" s="241"/>
      <c r="K1069" s="241"/>
      <c r="L1069" s="242"/>
      <c r="M1069" s="241"/>
      <c r="N1069" s="241"/>
      <c r="O1069" s="241"/>
      <c r="P1069" s="241"/>
      <c r="Q1069" s="241"/>
      <c r="R1069" s="241"/>
      <c r="S1069" s="241"/>
      <c r="T1069" s="241"/>
      <c r="U1069" s="241"/>
      <c r="V1069" s="241"/>
      <c r="W1069" s="241"/>
      <c r="X1069" s="242"/>
      <c r="Y1069" s="241"/>
      <c r="Z1069" s="241"/>
      <c r="AA1069" s="241"/>
      <c r="AB1069" s="241"/>
      <c r="AC1069" s="241"/>
      <c r="AD1069" s="241"/>
      <c r="AE1069" s="241"/>
      <c r="AF1069" s="241"/>
      <c r="AG1069" s="241"/>
      <c r="AH1069" s="241"/>
      <c r="AI1069" s="241"/>
      <c r="AJ1069" s="242"/>
    </row>
    <row r="1070" hidden="1">
      <c r="A1070" s="241"/>
      <c r="B1070" s="241"/>
      <c r="C1070" s="241"/>
      <c r="D1070" s="241"/>
      <c r="E1070" s="241"/>
      <c r="F1070" s="241"/>
      <c r="G1070" s="241"/>
      <c r="H1070" s="241"/>
      <c r="I1070" s="241"/>
      <c r="J1070" s="241"/>
      <c r="K1070" s="241"/>
      <c r="L1070" s="242"/>
      <c r="M1070" s="241"/>
      <c r="N1070" s="241"/>
      <c r="O1070" s="241"/>
      <c r="P1070" s="241"/>
      <c r="Q1070" s="241"/>
      <c r="R1070" s="241"/>
      <c r="S1070" s="241"/>
      <c r="T1070" s="241"/>
      <c r="U1070" s="241"/>
      <c r="V1070" s="241"/>
      <c r="W1070" s="241"/>
      <c r="X1070" s="242"/>
      <c r="Y1070" s="241"/>
      <c r="Z1070" s="241"/>
      <c r="AA1070" s="241"/>
      <c r="AB1070" s="241"/>
      <c r="AC1070" s="241"/>
      <c r="AD1070" s="241"/>
      <c r="AE1070" s="241"/>
      <c r="AF1070" s="241"/>
      <c r="AG1070" s="241"/>
      <c r="AH1070" s="241"/>
      <c r="AI1070" s="241"/>
      <c r="AJ1070" s="242"/>
    </row>
    <row r="1071" hidden="1">
      <c r="A1071" s="241"/>
      <c r="B1071" s="241"/>
      <c r="C1071" s="241"/>
      <c r="D1071" s="241"/>
      <c r="E1071" s="241"/>
      <c r="F1071" s="241"/>
      <c r="G1071" s="241"/>
      <c r="H1071" s="241"/>
      <c r="I1071" s="241"/>
      <c r="J1071" s="241"/>
      <c r="K1071" s="241"/>
      <c r="L1071" s="242"/>
      <c r="M1071" s="241"/>
      <c r="N1071" s="241"/>
      <c r="O1071" s="241"/>
      <c r="P1071" s="241"/>
      <c r="Q1071" s="241"/>
      <c r="R1071" s="241"/>
      <c r="S1071" s="241"/>
      <c r="T1071" s="241"/>
      <c r="U1071" s="241"/>
      <c r="V1071" s="241"/>
      <c r="W1071" s="241"/>
      <c r="X1071" s="242"/>
      <c r="Y1071" s="241"/>
      <c r="Z1071" s="241"/>
      <c r="AA1071" s="241"/>
      <c r="AB1071" s="241"/>
      <c r="AC1071" s="241"/>
      <c r="AD1071" s="241"/>
      <c r="AE1071" s="241"/>
      <c r="AF1071" s="241"/>
      <c r="AG1071" s="241"/>
      <c r="AH1071" s="241"/>
      <c r="AI1071" s="241"/>
      <c r="AJ1071" s="242"/>
    </row>
    <row r="1072" hidden="1">
      <c r="A1072" s="241"/>
      <c r="B1072" s="241"/>
      <c r="C1072" s="241"/>
      <c r="D1072" s="241"/>
      <c r="E1072" s="241"/>
      <c r="F1072" s="241"/>
      <c r="G1072" s="241"/>
      <c r="H1072" s="241"/>
      <c r="I1072" s="241"/>
      <c r="J1072" s="241"/>
      <c r="K1072" s="241"/>
      <c r="L1072" s="242"/>
      <c r="M1072" s="241"/>
      <c r="N1072" s="241"/>
      <c r="O1072" s="241"/>
      <c r="P1072" s="241"/>
      <c r="Q1072" s="241"/>
      <c r="R1072" s="241"/>
      <c r="S1072" s="241"/>
      <c r="T1072" s="241"/>
      <c r="U1072" s="241"/>
      <c r="V1072" s="241"/>
      <c r="W1072" s="241"/>
      <c r="X1072" s="242"/>
      <c r="Y1072" s="241"/>
      <c r="Z1072" s="241"/>
      <c r="AA1072" s="241"/>
      <c r="AB1072" s="241"/>
      <c r="AC1072" s="241"/>
      <c r="AD1072" s="241"/>
      <c r="AE1072" s="241"/>
      <c r="AF1072" s="241"/>
      <c r="AG1072" s="241"/>
      <c r="AH1072" s="241"/>
      <c r="AI1072" s="241"/>
      <c r="AJ1072" s="242"/>
    </row>
    <row r="1073" hidden="1">
      <c r="A1073" s="241"/>
      <c r="B1073" s="241"/>
      <c r="C1073" s="241"/>
      <c r="D1073" s="241"/>
      <c r="E1073" s="241"/>
      <c r="F1073" s="241"/>
      <c r="G1073" s="241"/>
      <c r="H1073" s="241"/>
      <c r="I1073" s="241"/>
      <c r="J1073" s="241"/>
      <c r="K1073" s="241"/>
      <c r="L1073" s="242"/>
      <c r="M1073" s="241"/>
      <c r="N1073" s="241"/>
      <c r="O1073" s="241"/>
      <c r="P1073" s="241"/>
      <c r="Q1073" s="241"/>
      <c r="R1073" s="241"/>
      <c r="S1073" s="241"/>
      <c r="T1073" s="241"/>
      <c r="U1073" s="241"/>
      <c r="V1073" s="241"/>
      <c r="W1073" s="241"/>
      <c r="X1073" s="242"/>
      <c r="Y1073" s="241"/>
      <c r="Z1073" s="241"/>
      <c r="AA1073" s="241"/>
      <c r="AB1073" s="241"/>
      <c r="AC1073" s="241"/>
      <c r="AD1073" s="241"/>
      <c r="AE1073" s="241"/>
      <c r="AF1073" s="241"/>
      <c r="AG1073" s="241"/>
      <c r="AH1073" s="241"/>
      <c r="AI1073" s="241"/>
      <c r="AJ1073" s="242"/>
    </row>
    <row r="1074" hidden="1">
      <c r="A1074" s="241"/>
      <c r="B1074" s="241"/>
      <c r="C1074" s="241"/>
      <c r="D1074" s="241"/>
      <c r="E1074" s="241"/>
      <c r="F1074" s="241"/>
      <c r="G1074" s="241"/>
      <c r="H1074" s="241"/>
      <c r="I1074" s="241"/>
      <c r="J1074" s="241"/>
      <c r="K1074" s="241"/>
      <c r="L1074" s="242"/>
      <c r="M1074" s="241"/>
      <c r="N1074" s="241"/>
      <c r="O1074" s="241"/>
      <c r="P1074" s="241"/>
      <c r="Q1074" s="241"/>
      <c r="R1074" s="241"/>
      <c r="S1074" s="241"/>
      <c r="T1074" s="241"/>
      <c r="U1074" s="241"/>
      <c r="V1074" s="241"/>
      <c r="W1074" s="241"/>
      <c r="X1074" s="242"/>
      <c r="Y1074" s="241"/>
      <c r="Z1074" s="241"/>
      <c r="AA1074" s="241"/>
      <c r="AB1074" s="241"/>
      <c r="AC1074" s="241"/>
      <c r="AD1074" s="241"/>
      <c r="AE1074" s="241"/>
      <c r="AF1074" s="241"/>
      <c r="AG1074" s="241"/>
      <c r="AH1074" s="241"/>
      <c r="AI1074" s="241"/>
      <c r="AJ1074" s="242"/>
    </row>
    <row r="1075" hidden="1">
      <c r="A1075" s="241"/>
      <c r="B1075" s="241"/>
      <c r="C1075" s="241"/>
      <c r="D1075" s="241"/>
      <c r="E1075" s="241"/>
      <c r="F1075" s="241"/>
      <c r="G1075" s="241"/>
      <c r="H1075" s="241"/>
      <c r="I1075" s="241"/>
      <c r="J1075" s="241"/>
      <c r="K1075" s="241"/>
      <c r="L1075" s="242"/>
      <c r="M1075" s="241"/>
      <c r="N1075" s="241"/>
      <c r="O1075" s="241"/>
      <c r="P1075" s="241"/>
      <c r="Q1075" s="241"/>
      <c r="R1075" s="241"/>
      <c r="S1075" s="241"/>
      <c r="T1075" s="241"/>
      <c r="U1075" s="241"/>
      <c r="V1075" s="241"/>
      <c r="W1075" s="241"/>
      <c r="X1075" s="242"/>
      <c r="Y1075" s="241"/>
      <c r="Z1075" s="241"/>
      <c r="AA1075" s="241"/>
      <c r="AB1075" s="241"/>
      <c r="AC1075" s="241"/>
      <c r="AD1075" s="241"/>
      <c r="AE1075" s="241"/>
      <c r="AF1075" s="241"/>
      <c r="AG1075" s="241"/>
      <c r="AH1075" s="241"/>
      <c r="AI1075" s="241"/>
      <c r="AJ1075" s="242"/>
    </row>
    <row r="1076" hidden="1">
      <c r="A1076" s="241"/>
      <c r="B1076" s="241"/>
      <c r="C1076" s="241"/>
      <c r="D1076" s="241"/>
      <c r="E1076" s="241"/>
      <c r="F1076" s="241"/>
      <c r="G1076" s="241"/>
      <c r="H1076" s="241"/>
      <c r="I1076" s="241"/>
      <c r="J1076" s="241"/>
      <c r="K1076" s="241"/>
      <c r="L1076" s="242"/>
      <c r="M1076" s="241"/>
      <c r="N1076" s="241"/>
      <c r="O1076" s="241"/>
      <c r="P1076" s="241"/>
      <c r="Q1076" s="241"/>
      <c r="R1076" s="241"/>
      <c r="S1076" s="241"/>
      <c r="T1076" s="241"/>
      <c r="U1076" s="241"/>
      <c r="V1076" s="241"/>
      <c r="W1076" s="241"/>
      <c r="X1076" s="242"/>
      <c r="Y1076" s="241"/>
      <c r="Z1076" s="241"/>
      <c r="AA1076" s="241"/>
      <c r="AB1076" s="241"/>
      <c r="AC1076" s="241"/>
      <c r="AD1076" s="241"/>
      <c r="AE1076" s="241"/>
      <c r="AF1076" s="241"/>
      <c r="AG1076" s="241"/>
      <c r="AH1076" s="241"/>
      <c r="AI1076" s="241"/>
      <c r="AJ1076" s="242"/>
    </row>
    <row r="1077" hidden="1">
      <c r="A1077" s="241"/>
      <c r="B1077" s="241"/>
      <c r="C1077" s="241"/>
      <c r="D1077" s="241"/>
      <c r="E1077" s="241"/>
      <c r="F1077" s="241"/>
      <c r="G1077" s="241"/>
      <c r="H1077" s="241"/>
      <c r="I1077" s="241"/>
      <c r="J1077" s="241"/>
      <c r="K1077" s="241"/>
      <c r="L1077" s="242"/>
      <c r="M1077" s="241"/>
      <c r="N1077" s="241"/>
      <c r="O1077" s="241"/>
      <c r="P1077" s="241"/>
      <c r="Q1077" s="241"/>
      <c r="R1077" s="241"/>
      <c r="S1077" s="241"/>
      <c r="T1077" s="241"/>
      <c r="U1077" s="241"/>
      <c r="V1077" s="241"/>
      <c r="W1077" s="241"/>
      <c r="X1077" s="242"/>
      <c r="Y1077" s="241"/>
      <c r="Z1077" s="241"/>
      <c r="AA1077" s="241"/>
      <c r="AB1077" s="241"/>
      <c r="AC1077" s="241"/>
      <c r="AD1077" s="241"/>
      <c r="AE1077" s="241"/>
      <c r="AF1077" s="241"/>
      <c r="AG1077" s="241"/>
      <c r="AH1077" s="241"/>
      <c r="AI1077" s="241"/>
      <c r="AJ1077" s="242"/>
    </row>
    <row r="1078" hidden="1">
      <c r="A1078" s="241"/>
      <c r="B1078" s="241"/>
      <c r="C1078" s="241"/>
      <c r="D1078" s="241"/>
      <c r="E1078" s="241"/>
      <c r="F1078" s="241"/>
      <c r="G1078" s="241"/>
      <c r="H1078" s="241"/>
      <c r="I1078" s="241"/>
      <c r="J1078" s="241"/>
      <c r="K1078" s="241"/>
      <c r="L1078" s="242"/>
      <c r="M1078" s="241"/>
      <c r="N1078" s="241"/>
      <c r="O1078" s="241"/>
      <c r="P1078" s="241"/>
      <c r="Q1078" s="241"/>
      <c r="R1078" s="241"/>
      <c r="S1078" s="241"/>
      <c r="T1078" s="241"/>
      <c r="U1078" s="241"/>
      <c r="V1078" s="241"/>
      <c r="W1078" s="241"/>
      <c r="X1078" s="242"/>
      <c r="Y1078" s="241"/>
      <c r="Z1078" s="241"/>
      <c r="AA1078" s="241"/>
      <c r="AB1078" s="241"/>
      <c r="AC1078" s="241"/>
      <c r="AD1078" s="241"/>
      <c r="AE1078" s="241"/>
      <c r="AF1078" s="241"/>
      <c r="AG1078" s="241"/>
      <c r="AH1078" s="241"/>
      <c r="AI1078" s="241"/>
      <c r="AJ1078" s="242"/>
    </row>
    <row r="1079" hidden="1">
      <c r="A1079" s="241"/>
      <c r="B1079" s="241"/>
      <c r="C1079" s="241"/>
      <c r="D1079" s="241"/>
      <c r="E1079" s="241"/>
      <c r="F1079" s="241"/>
      <c r="G1079" s="241"/>
      <c r="H1079" s="241"/>
      <c r="I1079" s="241"/>
      <c r="J1079" s="241"/>
      <c r="K1079" s="241"/>
      <c r="L1079" s="242"/>
      <c r="M1079" s="241"/>
      <c r="N1079" s="241"/>
      <c r="O1079" s="241"/>
      <c r="P1079" s="241"/>
      <c r="Q1079" s="241"/>
      <c r="R1079" s="241"/>
      <c r="S1079" s="241"/>
      <c r="T1079" s="241"/>
      <c r="U1079" s="241"/>
      <c r="V1079" s="241"/>
      <c r="W1079" s="241"/>
      <c r="X1079" s="242"/>
      <c r="Y1079" s="241"/>
      <c r="Z1079" s="241"/>
      <c r="AA1079" s="241"/>
      <c r="AB1079" s="241"/>
      <c r="AC1079" s="241"/>
      <c r="AD1079" s="241"/>
      <c r="AE1079" s="241"/>
      <c r="AF1079" s="241"/>
      <c r="AG1079" s="241"/>
      <c r="AH1079" s="241"/>
      <c r="AI1079" s="241"/>
      <c r="AJ1079" s="242"/>
    </row>
    <row r="1080" hidden="1">
      <c r="A1080" s="241"/>
      <c r="B1080" s="241"/>
      <c r="C1080" s="241"/>
      <c r="D1080" s="241"/>
      <c r="E1080" s="241"/>
      <c r="F1080" s="241"/>
      <c r="G1080" s="241"/>
      <c r="H1080" s="241"/>
      <c r="I1080" s="241"/>
      <c r="J1080" s="241"/>
      <c r="K1080" s="241"/>
      <c r="L1080" s="242"/>
      <c r="M1080" s="241"/>
      <c r="N1080" s="241"/>
      <c r="O1080" s="241"/>
      <c r="P1080" s="241"/>
      <c r="Q1080" s="241"/>
      <c r="R1080" s="241"/>
      <c r="S1080" s="241"/>
      <c r="T1080" s="241"/>
      <c r="U1080" s="241"/>
      <c r="V1080" s="241"/>
      <c r="W1080" s="241"/>
      <c r="X1080" s="242"/>
      <c r="Y1080" s="241"/>
      <c r="Z1080" s="241"/>
      <c r="AA1080" s="241"/>
      <c r="AB1080" s="241"/>
      <c r="AC1080" s="241"/>
      <c r="AD1080" s="241"/>
      <c r="AE1080" s="241"/>
      <c r="AF1080" s="241"/>
      <c r="AG1080" s="241"/>
      <c r="AH1080" s="241"/>
      <c r="AI1080" s="241"/>
      <c r="AJ1080" s="242"/>
    </row>
    <row r="1081" hidden="1">
      <c r="A1081" s="241"/>
      <c r="B1081" s="241"/>
      <c r="C1081" s="241"/>
      <c r="D1081" s="241"/>
      <c r="E1081" s="241"/>
      <c r="F1081" s="241"/>
      <c r="G1081" s="241"/>
      <c r="H1081" s="241"/>
      <c r="I1081" s="241"/>
      <c r="J1081" s="241"/>
      <c r="K1081" s="241"/>
      <c r="L1081" s="242"/>
      <c r="M1081" s="241"/>
      <c r="N1081" s="241"/>
      <c r="O1081" s="241"/>
      <c r="P1081" s="241"/>
      <c r="Q1081" s="241"/>
      <c r="R1081" s="241"/>
      <c r="S1081" s="241"/>
      <c r="T1081" s="241"/>
      <c r="U1081" s="241"/>
      <c r="V1081" s="241"/>
      <c r="W1081" s="241"/>
      <c r="X1081" s="242"/>
      <c r="Y1081" s="241"/>
      <c r="Z1081" s="241"/>
      <c r="AA1081" s="241"/>
      <c r="AB1081" s="241"/>
      <c r="AC1081" s="241"/>
      <c r="AD1081" s="241"/>
      <c r="AE1081" s="241"/>
      <c r="AF1081" s="241"/>
      <c r="AG1081" s="241"/>
      <c r="AH1081" s="241"/>
      <c r="AI1081" s="241"/>
      <c r="AJ1081" s="242"/>
    </row>
    <row r="1082" hidden="1">
      <c r="A1082" s="241"/>
      <c r="B1082" s="241"/>
      <c r="C1082" s="241"/>
      <c r="D1082" s="241"/>
      <c r="E1082" s="241"/>
      <c r="F1082" s="241"/>
      <c r="G1082" s="241"/>
      <c r="H1082" s="241"/>
      <c r="I1082" s="241"/>
      <c r="J1082" s="241"/>
      <c r="K1082" s="241"/>
      <c r="L1082" s="242"/>
      <c r="M1082" s="241"/>
      <c r="N1082" s="241"/>
      <c r="O1082" s="241"/>
      <c r="P1082" s="241"/>
      <c r="Q1082" s="241"/>
      <c r="R1082" s="241"/>
      <c r="S1082" s="241"/>
      <c r="T1082" s="241"/>
      <c r="U1082" s="241"/>
      <c r="V1082" s="241"/>
      <c r="W1082" s="241"/>
      <c r="X1082" s="242"/>
      <c r="Y1082" s="241"/>
      <c r="Z1082" s="241"/>
      <c r="AA1082" s="241"/>
      <c r="AB1082" s="241"/>
      <c r="AC1082" s="241"/>
      <c r="AD1082" s="241"/>
      <c r="AE1082" s="241"/>
      <c r="AF1082" s="241"/>
      <c r="AG1082" s="241"/>
      <c r="AH1082" s="241"/>
      <c r="AI1082" s="241"/>
      <c r="AJ1082" s="242"/>
    </row>
    <row r="1083" hidden="1">
      <c r="A1083" s="241"/>
      <c r="B1083" s="241"/>
      <c r="C1083" s="241"/>
      <c r="D1083" s="241"/>
      <c r="E1083" s="241"/>
      <c r="F1083" s="241"/>
      <c r="G1083" s="241"/>
      <c r="H1083" s="241"/>
      <c r="I1083" s="241"/>
      <c r="J1083" s="241"/>
      <c r="K1083" s="241"/>
      <c r="L1083" s="242"/>
      <c r="M1083" s="241"/>
      <c r="N1083" s="241"/>
      <c r="O1083" s="241"/>
      <c r="P1083" s="241"/>
      <c r="Q1083" s="241"/>
      <c r="R1083" s="241"/>
      <c r="S1083" s="241"/>
      <c r="T1083" s="241"/>
      <c r="U1083" s="241"/>
      <c r="V1083" s="241"/>
      <c r="W1083" s="241"/>
      <c r="X1083" s="242"/>
      <c r="Y1083" s="241"/>
      <c r="Z1083" s="241"/>
      <c r="AA1083" s="241"/>
      <c r="AB1083" s="241"/>
      <c r="AC1083" s="241"/>
      <c r="AD1083" s="241"/>
      <c r="AE1083" s="241"/>
      <c r="AF1083" s="241"/>
      <c r="AG1083" s="241"/>
      <c r="AH1083" s="241"/>
      <c r="AI1083" s="241"/>
      <c r="AJ1083" s="242"/>
    </row>
    <row r="1084" hidden="1">
      <c r="A1084" s="241"/>
      <c r="B1084" s="241"/>
      <c r="C1084" s="241"/>
      <c r="D1084" s="241"/>
      <c r="E1084" s="241"/>
      <c r="F1084" s="241"/>
      <c r="G1084" s="241"/>
      <c r="H1084" s="241"/>
      <c r="I1084" s="241"/>
      <c r="J1084" s="241"/>
      <c r="K1084" s="241"/>
      <c r="L1084" s="242"/>
      <c r="M1084" s="241"/>
      <c r="N1084" s="241"/>
      <c r="O1084" s="241"/>
      <c r="P1084" s="241"/>
      <c r="Q1084" s="241"/>
      <c r="R1084" s="241"/>
      <c r="S1084" s="241"/>
      <c r="T1084" s="241"/>
      <c r="U1084" s="241"/>
      <c r="V1084" s="241"/>
      <c r="W1084" s="241"/>
      <c r="X1084" s="242"/>
      <c r="Y1084" s="241"/>
      <c r="Z1084" s="241"/>
      <c r="AA1084" s="241"/>
      <c r="AB1084" s="241"/>
      <c r="AC1084" s="241"/>
      <c r="AD1084" s="241"/>
      <c r="AE1084" s="241"/>
      <c r="AF1084" s="241"/>
      <c r="AG1084" s="241"/>
      <c r="AH1084" s="241"/>
      <c r="AI1084" s="241"/>
      <c r="AJ1084" s="242"/>
    </row>
    <row r="1085" hidden="1">
      <c r="A1085" s="241"/>
      <c r="B1085" s="241"/>
      <c r="C1085" s="241"/>
      <c r="D1085" s="241"/>
      <c r="E1085" s="241"/>
      <c r="F1085" s="241"/>
      <c r="G1085" s="241"/>
      <c r="H1085" s="241"/>
      <c r="I1085" s="241"/>
      <c r="J1085" s="241"/>
      <c r="K1085" s="241"/>
      <c r="L1085" s="242"/>
      <c r="M1085" s="241"/>
      <c r="N1085" s="241"/>
      <c r="O1085" s="241"/>
      <c r="P1085" s="241"/>
      <c r="Q1085" s="241"/>
      <c r="R1085" s="241"/>
      <c r="S1085" s="241"/>
      <c r="T1085" s="241"/>
      <c r="U1085" s="241"/>
      <c r="V1085" s="241"/>
      <c r="W1085" s="241"/>
      <c r="X1085" s="242"/>
      <c r="Y1085" s="241"/>
      <c r="Z1085" s="241"/>
      <c r="AA1085" s="241"/>
      <c r="AB1085" s="241"/>
      <c r="AC1085" s="241"/>
      <c r="AD1085" s="241"/>
      <c r="AE1085" s="241"/>
      <c r="AF1085" s="241"/>
      <c r="AG1085" s="241"/>
      <c r="AH1085" s="241"/>
      <c r="AI1085" s="241"/>
      <c r="AJ1085" s="242"/>
    </row>
    <row r="1086" hidden="1">
      <c r="A1086" s="241"/>
      <c r="B1086" s="241"/>
      <c r="C1086" s="241"/>
      <c r="D1086" s="241"/>
      <c r="E1086" s="241"/>
      <c r="F1086" s="241"/>
      <c r="G1086" s="241"/>
      <c r="H1086" s="241"/>
      <c r="I1086" s="241"/>
      <c r="J1086" s="241"/>
      <c r="K1086" s="241"/>
      <c r="L1086" s="242"/>
      <c r="M1086" s="241"/>
      <c r="N1086" s="241"/>
      <c r="O1086" s="241"/>
      <c r="P1086" s="241"/>
      <c r="Q1086" s="241"/>
      <c r="R1086" s="241"/>
      <c r="S1086" s="241"/>
      <c r="T1086" s="241"/>
      <c r="U1086" s="241"/>
      <c r="V1086" s="241"/>
      <c r="W1086" s="241"/>
      <c r="X1086" s="242"/>
      <c r="Y1086" s="241"/>
      <c r="Z1086" s="241"/>
      <c r="AA1086" s="241"/>
      <c r="AB1086" s="241"/>
      <c r="AC1086" s="241"/>
      <c r="AD1086" s="241"/>
      <c r="AE1086" s="241"/>
      <c r="AF1086" s="241"/>
      <c r="AG1086" s="241"/>
      <c r="AH1086" s="241"/>
      <c r="AI1086" s="241"/>
      <c r="AJ1086" s="242"/>
    </row>
    <row r="1087" hidden="1">
      <c r="A1087" s="241"/>
      <c r="B1087" s="241"/>
      <c r="C1087" s="241"/>
      <c r="D1087" s="241"/>
      <c r="E1087" s="241"/>
      <c r="F1087" s="241"/>
      <c r="G1087" s="241"/>
      <c r="H1087" s="241"/>
      <c r="I1087" s="241"/>
      <c r="J1087" s="241"/>
      <c r="K1087" s="241"/>
      <c r="L1087" s="242"/>
      <c r="M1087" s="241"/>
      <c r="N1087" s="241"/>
      <c r="O1087" s="241"/>
      <c r="P1087" s="241"/>
      <c r="Q1087" s="241"/>
      <c r="R1087" s="241"/>
      <c r="S1087" s="241"/>
      <c r="T1087" s="241"/>
      <c r="U1087" s="241"/>
      <c r="V1087" s="241"/>
      <c r="W1087" s="241"/>
      <c r="X1087" s="242"/>
      <c r="Y1087" s="241"/>
      <c r="Z1087" s="241"/>
      <c r="AA1087" s="241"/>
      <c r="AB1087" s="241"/>
      <c r="AC1087" s="241"/>
      <c r="AD1087" s="241"/>
      <c r="AE1087" s="241"/>
      <c r="AF1087" s="241"/>
      <c r="AG1087" s="241"/>
      <c r="AH1087" s="241"/>
      <c r="AI1087" s="241"/>
      <c r="AJ1087" s="242"/>
    </row>
    <row r="1088" hidden="1">
      <c r="A1088" s="241"/>
      <c r="B1088" s="241"/>
      <c r="C1088" s="241"/>
      <c r="D1088" s="241"/>
      <c r="E1088" s="241"/>
      <c r="F1088" s="241"/>
      <c r="G1088" s="241"/>
      <c r="H1088" s="241"/>
      <c r="I1088" s="241"/>
      <c r="J1088" s="241"/>
      <c r="K1088" s="241"/>
      <c r="L1088" s="242"/>
      <c r="M1088" s="241"/>
      <c r="N1088" s="241"/>
      <c r="O1088" s="241"/>
      <c r="P1088" s="241"/>
      <c r="Q1088" s="241"/>
      <c r="R1088" s="241"/>
      <c r="S1088" s="241"/>
      <c r="T1088" s="241"/>
      <c r="U1088" s="241"/>
      <c r="V1088" s="241"/>
      <c r="W1088" s="241"/>
      <c r="X1088" s="242"/>
      <c r="Y1088" s="241"/>
      <c r="Z1088" s="241"/>
      <c r="AA1088" s="241"/>
      <c r="AB1088" s="241"/>
      <c r="AC1088" s="241"/>
      <c r="AD1088" s="241"/>
      <c r="AE1088" s="241"/>
      <c r="AF1088" s="241"/>
      <c r="AG1088" s="241"/>
      <c r="AH1088" s="241"/>
      <c r="AI1088" s="241"/>
      <c r="AJ1088" s="242"/>
    </row>
    <row r="1089" hidden="1">
      <c r="A1089" s="241"/>
      <c r="B1089" s="241"/>
      <c r="C1089" s="241"/>
      <c r="D1089" s="241"/>
      <c r="E1089" s="241"/>
      <c r="F1089" s="241"/>
      <c r="G1089" s="241"/>
      <c r="H1089" s="241"/>
      <c r="I1089" s="241"/>
      <c r="J1089" s="241"/>
      <c r="K1089" s="241"/>
      <c r="L1089" s="242"/>
      <c r="M1089" s="241"/>
      <c r="N1089" s="241"/>
      <c r="O1089" s="241"/>
      <c r="P1089" s="241"/>
      <c r="Q1089" s="241"/>
      <c r="R1089" s="241"/>
      <c r="S1089" s="241"/>
      <c r="T1089" s="241"/>
      <c r="U1089" s="241"/>
      <c r="V1089" s="241"/>
      <c r="W1089" s="241"/>
      <c r="X1089" s="242"/>
      <c r="Y1089" s="241"/>
      <c r="Z1089" s="241"/>
      <c r="AA1089" s="241"/>
      <c r="AB1089" s="241"/>
      <c r="AC1089" s="241"/>
      <c r="AD1089" s="241"/>
      <c r="AE1089" s="241"/>
      <c r="AF1089" s="241"/>
      <c r="AG1089" s="241"/>
      <c r="AH1089" s="241"/>
      <c r="AI1089" s="241"/>
      <c r="AJ1089" s="242"/>
    </row>
    <row r="1090" hidden="1">
      <c r="A1090" s="241"/>
      <c r="B1090" s="241"/>
      <c r="C1090" s="241"/>
      <c r="D1090" s="241"/>
      <c r="E1090" s="241"/>
      <c r="F1090" s="241"/>
      <c r="G1090" s="241"/>
      <c r="H1090" s="241"/>
      <c r="I1090" s="241"/>
      <c r="J1090" s="241"/>
      <c r="K1090" s="241"/>
      <c r="L1090" s="242"/>
      <c r="M1090" s="241"/>
      <c r="N1090" s="241"/>
      <c r="O1090" s="241"/>
      <c r="P1090" s="241"/>
      <c r="Q1090" s="241"/>
      <c r="R1090" s="241"/>
      <c r="S1090" s="241"/>
      <c r="T1090" s="241"/>
      <c r="U1090" s="241"/>
      <c r="V1090" s="241"/>
      <c r="W1090" s="241"/>
      <c r="X1090" s="242"/>
      <c r="Y1090" s="241"/>
      <c r="Z1090" s="241"/>
      <c r="AA1090" s="241"/>
      <c r="AB1090" s="241"/>
      <c r="AC1090" s="241"/>
      <c r="AD1090" s="241"/>
      <c r="AE1090" s="241"/>
      <c r="AF1090" s="241"/>
      <c r="AG1090" s="241"/>
      <c r="AH1090" s="241"/>
      <c r="AI1090" s="241"/>
      <c r="AJ1090" s="242"/>
    </row>
    <row r="1091" hidden="1">
      <c r="A1091" s="241"/>
      <c r="B1091" s="241"/>
      <c r="C1091" s="241"/>
      <c r="D1091" s="241"/>
      <c r="E1091" s="241"/>
      <c r="F1091" s="241"/>
      <c r="G1091" s="241"/>
      <c r="H1091" s="241"/>
      <c r="I1091" s="241"/>
      <c r="J1091" s="241"/>
      <c r="K1091" s="241"/>
      <c r="L1091" s="242"/>
      <c r="M1091" s="241"/>
      <c r="N1091" s="241"/>
      <c r="O1091" s="241"/>
      <c r="P1091" s="241"/>
      <c r="Q1091" s="241"/>
      <c r="R1091" s="241"/>
      <c r="S1091" s="241"/>
      <c r="T1091" s="241"/>
      <c r="U1091" s="241"/>
      <c r="V1091" s="241"/>
      <c r="W1091" s="241"/>
      <c r="X1091" s="242"/>
      <c r="Y1091" s="241"/>
      <c r="Z1091" s="241"/>
      <c r="AA1091" s="241"/>
      <c r="AB1091" s="241"/>
      <c r="AC1091" s="241"/>
      <c r="AD1091" s="241"/>
      <c r="AE1091" s="241"/>
      <c r="AF1091" s="241"/>
      <c r="AG1091" s="241"/>
      <c r="AH1091" s="241"/>
      <c r="AI1091" s="241"/>
      <c r="AJ1091" s="242"/>
    </row>
    <row r="1092" hidden="1">
      <c r="A1092" s="241"/>
      <c r="B1092" s="241"/>
      <c r="C1092" s="241"/>
      <c r="D1092" s="241"/>
      <c r="E1092" s="241"/>
      <c r="F1092" s="241"/>
      <c r="G1092" s="241"/>
      <c r="H1092" s="241"/>
      <c r="I1092" s="241"/>
      <c r="J1092" s="241"/>
      <c r="K1092" s="241"/>
      <c r="L1092" s="242"/>
      <c r="M1092" s="241"/>
      <c r="N1092" s="241"/>
      <c r="O1092" s="241"/>
      <c r="P1092" s="241"/>
      <c r="Q1092" s="241"/>
      <c r="R1092" s="241"/>
      <c r="S1092" s="241"/>
      <c r="T1092" s="241"/>
      <c r="U1092" s="241"/>
      <c r="V1092" s="241"/>
      <c r="W1092" s="241"/>
      <c r="X1092" s="242"/>
      <c r="Y1092" s="241"/>
      <c r="Z1092" s="241"/>
      <c r="AA1092" s="241"/>
      <c r="AB1092" s="241"/>
      <c r="AC1092" s="241"/>
      <c r="AD1092" s="241"/>
      <c r="AE1092" s="241"/>
      <c r="AF1092" s="241"/>
      <c r="AG1092" s="241"/>
      <c r="AH1092" s="241"/>
      <c r="AI1092" s="241"/>
      <c r="AJ1092" s="242"/>
    </row>
    <row r="1093" hidden="1">
      <c r="A1093" s="241"/>
      <c r="B1093" s="241"/>
      <c r="C1093" s="241"/>
      <c r="D1093" s="241"/>
      <c r="E1093" s="241"/>
      <c r="F1093" s="241"/>
      <c r="G1093" s="241"/>
      <c r="H1093" s="241"/>
      <c r="I1093" s="241"/>
      <c r="J1093" s="241"/>
      <c r="K1093" s="241"/>
      <c r="L1093" s="242"/>
      <c r="M1093" s="241"/>
      <c r="N1093" s="241"/>
      <c r="O1093" s="241"/>
      <c r="P1093" s="241"/>
      <c r="Q1093" s="241"/>
      <c r="R1093" s="241"/>
      <c r="S1093" s="241"/>
      <c r="T1093" s="241"/>
      <c r="U1093" s="241"/>
      <c r="V1093" s="241"/>
      <c r="W1093" s="241"/>
      <c r="X1093" s="242"/>
      <c r="Y1093" s="241"/>
      <c r="Z1093" s="241"/>
      <c r="AA1093" s="241"/>
      <c r="AB1093" s="241"/>
      <c r="AC1093" s="241"/>
      <c r="AD1093" s="241"/>
      <c r="AE1093" s="241"/>
      <c r="AF1093" s="241"/>
      <c r="AG1093" s="241"/>
      <c r="AH1093" s="241"/>
      <c r="AI1093" s="241"/>
      <c r="AJ1093" s="242"/>
    </row>
    <row r="1094" hidden="1">
      <c r="A1094" s="241"/>
      <c r="B1094" s="241"/>
      <c r="C1094" s="241"/>
      <c r="D1094" s="241"/>
      <c r="E1094" s="241"/>
      <c r="F1094" s="241"/>
      <c r="G1094" s="241"/>
      <c r="H1094" s="241"/>
      <c r="I1094" s="241"/>
      <c r="J1094" s="241"/>
      <c r="K1094" s="241"/>
      <c r="L1094" s="242"/>
      <c r="M1094" s="241"/>
      <c r="N1094" s="241"/>
      <c r="O1094" s="241"/>
      <c r="P1094" s="241"/>
      <c r="Q1094" s="241"/>
      <c r="R1094" s="241"/>
      <c r="S1094" s="241"/>
      <c r="T1094" s="241"/>
      <c r="U1094" s="241"/>
      <c r="V1094" s="241"/>
      <c r="W1094" s="241"/>
      <c r="X1094" s="242"/>
      <c r="Y1094" s="241"/>
      <c r="Z1094" s="241"/>
      <c r="AA1094" s="241"/>
      <c r="AB1094" s="241"/>
      <c r="AC1094" s="241"/>
      <c r="AD1094" s="241"/>
      <c r="AE1094" s="241"/>
      <c r="AF1094" s="241"/>
      <c r="AG1094" s="241"/>
      <c r="AH1094" s="241"/>
      <c r="AI1094" s="241"/>
      <c r="AJ1094" s="242"/>
    </row>
    <row r="1095" hidden="1">
      <c r="A1095" s="241"/>
      <c r="B1095" s="241"/>
      <c r="C1095" s="241"/>
      <c r="D1095" s="241"/>
      <c r="E1095" s="241"/>
      <c r="F1095" s="241"/>
      <c r="G1095" s="241"/>
      <c r="H1095" s="241"/>
      <c r="I1095" s="241"/>
      <c r="J1095" s="241"/>
      <c r="K1095" s="241"/>
      <c r="L1095" s="242"/>
      <c r="M1095" s="241"/>
      <c r="N1095" s="241"/>
      <c r="O1095" s="241"/>
      <c r="P1095" s="241"/>
      <c r="Q1095" s="241"/>
      <c r="R1095" s="241"/>
      <c r="S1095" s="241"/>
      <c r="T1095" s="241"/>
      <c r="U1095" s="241"/>
      <c r="V1095" s="241"/>
      <c r="W1095" s="241"/>
      <c r="X1095" s="242"/>
      <c r="Y1095" s="241"/>
      <c r="Z1095" s="241"/>
      <c r="AA1095" s="241"/>
      <c r="AB1095" s="241"/>
      <c r="AC1095" s="241"/>
      <c r="AD1095" s="241"/>
      <c r="AE1095" s="241"/>
      <c r="AF1095" s="241"/>
      <c r="AG1095" s="241"/>
      <c r="AH1095" s="241"/>
      <c r="AI1095" s="241"/>
      <c r="AJ1095" s="242"/>
    </row>
    <row r="1096" hidden="1">
      <c r="A1096" s="241"/>
      <c r="B1096" s="241"/>
      <c r="C1096" s="241"/>
      <c r="D1096" s="241"/>
      <c r="E1096" s="241"/>
      <c r="F1096" s="241"/>
      <c r="G1096" s="241"/>
      <c r="H1096" s="241"/>
      <c r="I1096" s="241"/>
      <c r="J1096" s="241"/>
      <c r="K1096" s="241"/>
      <c r="L1096" s="242"/>
      <c r="M1096" s="241"/>
      <c r="N1096" s="241"/>
      <c r="O1096" s="241"/>
      <c r="P1096" s="241"/>
      <c r="Q1096" s="241"/>
      <c r="R1096" s="241"/>
      <c r="S1096" s="241"/>
      <c r="T1096" s="241"/>
      <c r="U1096" s="241"/>
      <c r="V1096" s="241"/>
      <c r="W1096" s="241"/>
      <c r="X1096" s="242"/>
      <c r="Y1096" s="241"/>
      <c r="Z1096" s="241"/>
      <c r="AA1096" s="241"/>
      <c r="AB1096" s="241"/>
      <c r="AC1096" s="241"/>
      <c r="AD1096" s="241"/>
      <c r="AE1096" s="241"/>
      <c r="AF1096" s="241"/>
      <c r="AG1096" s="241"/>
      <c r="AH1096" s="241"/>
      <c r="AI1096" s="241"/>
      <c r="AJ1096" s="242"/>
    </row>
    <row r="1097" hidden="1">
      <c r="A1097" s="241"/>
      <c r="B1097" s="241"/>
      <c r="C1097" s="241"/>
      <c r="D1097" s="241"/>
      <c r="E1097" s="241"/>
      <c r="F1097" s="241"/>
      <c r="G1097" s="241"/>
      <c r="H1097" s="241"/>
      <c r="I1097" s="241"/>
      <c r="J1097" s="241"/>
      <c r="K1097" s="241"/>
      <c r="L1097" s="242"/>
      <c r="M1097" s="241"/>
      <c r="N1097" s="241"/>
      <c r="O1097" s="241"/>
      <c r="P1097" s="241"/>
      <c r="Q1097" s="241"/>
      <c r="R1097" s="241"/>
      <c r="S1097" s="241"/>
      <c r="T1097" s="241"/>
      <c r="U1097" s="241"/>
      <c r="V1097" s="241"/>
      <c r="W1097" s="241"/>
      <c r="X1097" s="242"/>
      <c r="Y1097" s="241"/>
      <c r="Z1097" s="241"/>
      <c r="AA1097" s="241"/>
      <c r="AB1097" s="241"/>
      <c r="AC1097" s="241"/>
      <c r="AD1097" s="241"/>
      <c r="AE1097" s="241"/>
      <c r="AF1097" s="241"/>
      <c r="AG1097" s="241"/>
      <c r="AH1097" s="241"/>
      <c r="AI1097" s="241"/>
      <c r="AJ1097" s="242"/>
    </row>
    <row r="1098" hidden="1">
      <c r="A1098" s="241"/>
      <c r="B1098" s="241"/>
      <c r="C1098" s="241"/>
      <c r="D1098" s="241"/>
      <c r="E1098" s="241"/>
      <c r="F1098" s="241"/>
      <c r="G1098" s="241"/>
      <c r="H1098" s="241"/>
      <c r="I1098" s="241"/>
      <c r="J1098" s="241"/>
      <c r="K1098" s="241"/>
      <c r="L1098" s="242"/>
      <c r="M1098" s="241"/>
      <c r="N1098" s="241"/>
      <c r="O1098" s="241"/>
      <c r="P1098" s="241"/>
      <c r="Q1098" s="241"/>
      <c r="R1098" s="241"/>
      <c r="S1098" s="241"/>
      <c r="T1098" s="241"/>
      <c r="U1098" s="241"/>
      <c r="V1098" s="241"/>
      <c r="W1098" s="241"/>
      <c r="X1098" s="242"/>
      <c r="Y1098" s="241"/>
      <c r="Z1098" s="241"/>
      <c r="AA1098" s="241"/>
      <c r="AB1098" s="241"/>
      <c r="AC1098" s="241"/>
      <c r="AD1098" s="241"/>
      <c r="AE1098" s="241"/>
      <c r="AF1098" s="241"/>
      <c r="AG1098" s="241"/>
      <c r="AH1098" s="241"/>
      <c r="AI1098" s="241"/>
      <c r="AJ1098" s="242"/>
    </row>
    <row r="1099" hidden="1">
      <c r="A1099" s="241"/>
      <c r="B1099" s="241"/>
      <c r="C1099" s="241"/>
      <c r="D1099" s="241"/>
      <c r="E1099" s="241"/>
      <c r="F1099" s="241"/>
      <c r="G1099" s="241"/>
      <c r="H1099" s="241"/>
      <c r="I1099" s="241"/>
      <c r="J1099" s="241"/>
      <c r="K1099" s="241"/>
      <c r="L1099" s="242"/>
      <c r="M1099" s="241"/>
      <c r="N1099" s="241"/>
      <c r="O1099" s="241"/>
      <c r="P1099" s="241"/>
      <c r="Q1099" s="241"/>
      <c r="R1099" s="241"/>
      <c r="S1099" s="241"/>
      <c r="T1099" s="241"/>
      <c r="U1099" s="241"/>
      <c r="V1099" s="241"/>
      <c r="W1099" s="241"/>
      <c r="X1099" s="242"/>
      <c r="Y1099" s="241"/>
      <c r="Z1099" s="241"/>
      <c r="AA1099" s="241"/>
      <c r="AB1099" s="241"/>
      <c r="AC1099" s="241"/>
      <c r="AD1099" s="241"/>
      <c r="AE1099" s="241"/>
      <c r="AF1099" s="241"/>
      <c r="AG1099" s="241"/>
      <c r="AH1099" s="241"/>
      <c r="AI1099" s="241"/>
      <c r="AJ1099" s="242"/>
    </row>
    <row r="1100" hidden="1">
      <c r="A1100" s="241"/>
      <c r="B1100" s="241"/>
      <c r="C1100" s="241"/>
      <c r="D1100" s="241"/>
      <c r="E1100" s="241"/>
      <c r="F1100" s="241"/>
      <c r="G1100" s="241"/>
      <c r="H1100" s="241"/>
      <c r="I1100" s="241"/>
      <c r="J1100" s="241"/>
      <c r="K1100" s="241"/>
      <c r="L1100" s="242"/>
      <c r="M1100" s="241"/>
      <c r="N1100" s="241"/>
      <c r="O1100" s="241"/>
      <c r="P1100" s="241"/>
      <c r="Q1100" s="241"/>
      <c r="R1100" s="241"/>
      <c r="S1100" s="241"/>
      <c r="T1100" s="241"/>
      <c r="U1100" s="241"/>
      <c r="V1100" s="241"/>
      <c r="W1100" s="241"/>
      <c r="X1100" s="242"/>
      <c r="Y1100" s="241"/>
      <c r="Z1100" s="241"/>
      <c r="AA1100" s="241"/>
      <c r="AB1100" s="241"/>
      <c r="AC1100" s="241"/>
      <c r="AD1100" s="241"/>
      <c r="AE1100" s="241"/>
      <c r="AF1100" s="241"/>
      <c r="AG1100" s="241"/>
      <c r="AH1100" s="241"/>
      <c r="AI1100" s="241"/>
      <c r="AJ1100" s="242"/>
    </row>
    <row r="1101" hidden="1">
      <c r="A1101" s="241"/>
      <c r="B1101" s="241"/>
      <c r="C1101" s="241"/>
      <c r="D1101" s="241"/>
      <c r="E1101" s="241"/>
      <c r="F1101" s="241"/>
      <c r="G1101" s="241"/>
      <c r="H1101" s="241"/>
      <c r="I1101" s="241"/>
      <c r="J1101" s="241"/>
      <c r="K1101" s="241"/>
      <c r="L1101" s="242"/>
      <c r="M1101" s="241"/>
      <c r="N1101" s="241"/>
      <c r="O1101" s="241"/>
      <c r="P1101" s="241"/>
      <c r="Q1101" s="241"/>
      <c r="R1101" s="241"/>
      <c r="S1101" s="241"/>
      <c r="T1101" s="241"/>
      <c r="U1101" s="241"/>
      <c r="V1101" s="241"/>
      <c r="W1101" s="241"/>
      <c r="X1101" s="242"/>
      <c r="Y1101" s="241"/>
      <c r="Z1101" s="241"/>
      <c r="AA1101" s="241"/>
      <c r="AB1101" s="241"/>
      <c r="AC1101" s="241"/>
      <c r="AD1101" s="241"/>
      <c r="AE1101" s="241"/>
      <c r="AF1101" s="241"/>
      <c r="AG1101" s="241"/>
      <c r="AH1101" s="241"/>
      <c r="AI1101" s="241"/>
      <c r="AJ1101" s="242"/>
    </row>
    <row r="1102" hidden="1">
      <c r="A1102" s="241"/>
      <c r="B1102" s="241"/>
      <c r="C1102" s="241"/>
      <c r="D1102" s="241"/>
      <c r="E1102" s="241"/>
      <c r="F1102" s="241"/>
      <c r="G1102" s="241"/>
      <c r="H1102" s="241"/>
      <c r="I1102" s="241"/>
      <c r="J1102" s="241"/>
      <c r="K1102" s="241"/>
      <c r="L1102" s="242"/>
      <c r="M1102" s="241"/>
      <c r="N1102" s="241"/>
      <c r="O1102" s="241"/>
      <c r="P1102" s="241"/>
      <c r="Q1102" s="241"/>
      <c r="R1102" s="241"/>
      <c r="S1102" s="241"/>
      <c r="T1102" s="241"/>
      <c r="U1102" s="241"/>
      <c r="V1102" s="241"/>
      <c r="W1102" s="241"/>
      <c r="X1102" s="242"/>
      <c r="Y1102" s="241"/>
      <c r="Z1102" s="241"/>
      <c r="AA1102" s="241"/>
      <c r="AB1102" s="241"/>
      <c r="AC1102" s="241"/>
      <c r="AD1102" s="241"/>
      <c r="AE1102" s="241"/>
      <c r="AF1102" s="241"/>
      <c r="AG1102" s="241"/>
      <c r="AH1102" s="241"/>
      <c r="AI1102" s="241"/>
      <c r="AJ1102" s="242"/>
    </row>
    <row r="1103" hidden="1">
      <c r="A1103" s="241"/>
      <c r="B1103" s="241"/>
      <c r="C1103" s="241"/>
      <c r="D1103" s="241"/>
      <c r="E1103" s="241"/>
      <c r="F1103" s="241"/>
      <c r="G1103" s="241"/>
      <c r="H1103" s="241"/>
      <c r="I1103" s="241"/>
      <c r="J1103" s="241"/>
      <c r="K1103" s="241"/>
      <c r="L1103" s="242"/>
      <c r="M1103" s="241"/>
      <c r="N1103" s="241"/>
      <c r="O1103" s="241"/>
      <c r="P1103" s="241"/>
      <c r="Q1103" s="241"/>
      <c r="R1103" s="241"/>
      <c r="S1103" s="241"/>
      <c r="T1103" s="241"/>
      <c r="U1103" s="241"/>
      <c r="V1103" s="241"/>
      <c r="W1103" s="241"/>
      <c r="X1103" s="242"/>
      <c r="Y1103" s="241"/>
      <c r="Z1103" s="241"/>
      <c r="AA1103" s="241"/>
      <c r="AB1103" s="241"/>
      <c r="AC1103" s="241"/>
      <c r="AD1103" s="241"/>
      <c r="AE1103" s="241"/>
      <c r="AF1103" s="241"/>
      <c r="AG1103" s="241"/>
      <c r="AH1103" s="241"/>
      <c r="AI1103" s="241"/>
      <c r="AJ1103" s="242"/>
    </row>
    <row r="1104" hidden="1">
      <c r="A1104" s="241"/>
      <c r="B1104" s="241"/>
      <c r="C1104" s="241"/>
      <c r="D1104" s="241"/>
      <c r="E1104" s="241"/>
      <c r="F1104" s="241"/>
      <c r="G1104" s="241"/>
      <c r="H1104" s="241"/>
      <c r="I1104" s="241"/>
      <c r="J1104" s="241"/>
      <c r="K1104" s="241"/>
      <c r="L1104" s="242"/>
      <c r="M1104" s="241"/>
      <c r="N1104" s="241"/>
      <c r="O1104" s="241"/>
      <c r="P1104" s="241"/>
      <c r="Q1104" s="241"/>
      <c r="R1104" s="241"/>
      <c r="S1104" s="241"/>
      <c r="T1104" s="241"/>
      <c r="U1104" s="241"/>
      <c r="V1104" s="241"/>
      <c r="W1104" s="241"/>
      <c r="X1104" s="242"/>
      <c r="Y1104" s="241"/>
      <c r="Z1104" s="241"/>
      <c r="AA1104" s="241"/>
      <c r="AB1104" s="241"/>
      <c r="AC1104" s="241"/>
      <c r="AD1104" s="241"/>
      <c r="AE1104" s="241"/>
      <c r="AF1104" s="241"/>
      <c r="AG1104" s="241"/>
      <c r="AH1104" s="241"/>
      <c r="AI1104" s="241"/>
      <c r="AJ1104" s="242"/>
    </row>
    <row r="1105" hidden="1">
      <c r="A1105" s="241"/>
      <c r="B1105" s="241"/>
      <c r="C1105" s="241"/>
      <c r="D1105" s="241"/>
      <c r="E1105" s="241"/>
      <c r="F1105" s="241"/>
      <c r="G1105" s="241"/>
      <c r="H1105" s="241"/>
      <c r="I1105" s="241"/>
      <c r="J1105" s="241"/>
      <c r="K1105" s="241"/>
      <c r="L1105" s="242"/>
      <c r="M1105" s="241"/>
      <c r="N1105" s="241"/>
      <c r="O1105" s="241"/>
      <c r="P1105" s="241"/>
      <c r="Q1105" s="241"/>
      <c r="R1105" s="241"/>
      <c r="S1105" s="241"/>
      <c r="T1105" s="241"/>
      <c r="U1105" s="241"/>
      <c r="V1105" s="241"/>
      <c r="W1105" s="241"/>
      <c r="X1105" s="242"/>
      <c r="Y1105" s="241"/>
      <c r="Z1105" s="241"/>
      <c r="AA1105" s="241"/>
      <c r="AB1105" s="241"/>
      <c r="AC1105" s="241"/>
      <c r="AD1105" s="241"/>
      <c r="AE1105" s="241"/>
      <c r="AF1105" s="241"/>
      <c r="AG1105" s="241"/>
      <c r="AH1105" s="241"/>
      <c r="AI1105" s="241"/>
      <c r="AJ1105" s="242"/>
    </row>
    <row r="1106" hidden="1">
      <c r="A1106" s="241"/>
      <c r="B1106" s="241"/>
      <c r="C1106" s="241"/>
      <c r="D1106" s="241"/>
      <c r="E1106" s="241"/>
      <c r="F1106" s="241"/>
      <c r="G1106" s="241"/>
      <c r="H1106" s="241"/>
      <c r="I1106" s="241"/>
      <c r="J1106" s="241"/>
      <c r="K1106" s="241"/>
      <c r="L1106" s="242"/>
      <c r="M1106" s="241"/>
      <c r="N1106" s="241"/>
      <c r="O1106" s="241"/>
      <c r="P1106" s="241"/>
      <c r="Q1106" s="241"/>
      <c r="R1106" s="241"/>
      <c r="S1106" s="241"/>
      <c r="T1106" s="241"/>
      <c r="U1106" s="241"/>
      <c r="V1106" s="241"/>
      <c r="W1106" s="241"/>
      <c r="X1106" s="242"/>
      <c r="Y1106" s="241"/>
      <c r="Z1106" s="241"/>
      <c r="AA1106" s="241"/>
      <c r="AB1106" s="241"/>
      <c r="AC1106" s="241"/>
      <c r="AD1106" s="241"/>
      <c r="AE1106" s="241"/>
      <c r="AF1106" s="241"/>
      <c r="AG1106" s="241"/>
      <c r="AH1106" s="241"/>
      <c r="AI1106" s="241"/>
      <c r="AJ1106" s="242"/>
    </row>
    <row r="1107" hidden="1">
      <c r="A1107" s="241"/>
      <c r="B1107" s="241"/>
      <c r="C1107" s="241"/>
      <c r="D1107" s="241"/>
      <c r="E1107" s="241"/>
      <c r="F1107" s="241"/>
      <c r="G1107" s="241"/>
      <c r="H1107" s="241"/>
      <c r="I1107" s="241"/>
      <c r="J1107" s="241"/>
      <c r="K1107" s="241"/>
      <c r="L1107" s="242"/>
      <c r="M1107" s="241"/>
      <c r="N1107" s="241"/>
      <c r="O1107" s="241"/>
      <c r="P1107" s="241"/>
      <c r="Q1107" s="241"/>
      <c r="R1107" s="241"/>
      <c r="S1107" s="241"/>
      <c r="T1107" s="241"/>
      <c r="U1107" s="241"/>
      <c r="V1107" s="241"/>
      <c r="W1107" s="241"/>
      <c r="X1107" s="242"/>
      <c r="Y1107" s="241"/>
      <c r="Z1107" s="241"/>
      <c r="AA1107" s="241"/>
      <c r="AB1107" s="241"/>
      <c r="AC1107" s="241"/>
      <c r="AD1107" s="241"/>
      <c r="AE1107" s="241"/>
      <c r="AF1107" s="241"/>
      <c r="AG1107" s="241"/>
      <c r="AH1107" s="241"/>
      <c r="AI1107" s="241"/>
      <c r="AJ1107" s="242"/>
    </row>
    <row r="1108" hidden="1">
      <c r="A1108" s="241"/>
      <c r="B1108" s="241"/>
      <c r="C1108" s="241"/>
      <c r="D1108" s="241"/>
      <c r="E1108" s="241"/>
      <c r="F1108" s="241"/>
      <c r="G1108" s="241"/>
      <c r="H1108" s="241"/>
      <c r="I1108" s="241"/>
      <c r="J1108" s="241"/>
      <c r="K1108" s="241"/>
      <c r="L1108" s="242"/>
      <c r="M1108" s="241"/>
      <c r="N1108" s="241"/>
      <c r="O1108" s="241"/>
      <c r="P1108" s="241"/>
      <c r="Q1108" s="241"/>
      <c r="R1108" s="241"/>
      <c r="S1108" s="241"/>
      <c r="T1108" s="241"/>
      <c r="U1108" s="241"/>
      <c r="V1108" s="241"/>
      <c r="W1108" s="241"/>
      <c r="X1108" s="242"/>
      <c r="Y1108" s="241"/>
      <c r="Z1108" s="241"/>
      <c r="AA1108" s="241"/>
      <c r="AB1108" s="241"/>
      <c r="AC1108" s="241"/>
      <c r="AD1108" s="241"/>
      <c r="AE1108" s="241"/>
      <c r="AF1108" s="241"/>
      <c r="AG1108" s="241"/>
      <c r="AH1108" s="241"/>
      <c r="AI1108" s="241"/>
      <c r="AJ1108" s="242"/>
    </row>
    <row r="1109" hidden="1">
      <c r="A1109" s="241"/>
      <c r="B1109" s="241"/>
      <c r="C1109" s="241"/>
      <c r="D1109" s="241"/>
      <c r="E1109" s="241"/>
      <c r="F1109" s="241"/>
      <c r="G1109" s="241"/>
      <c r="H1109" s="241"/>
      <c r="I1109" s="241"/>
      <c r="J1109" s="241"/>
      <c r="K1109" s="241"/>
      <c r="L1109" s="242"/>
      <c r="M1109" s="241"/>
      <c r="N1109" s="241"/>
      <c r="O1109" s="241"/>
      <c r="P1109" s="241"/>
      <c r="Q1109" s="241"/>
      <c r="R1109" s="241"/>
      <c r="S1109" s="241"/>
      <c r="T1109" s="241"/>
      <c r="U1109" s="241"/>
      <c r="V1109" s="241"/>
      <c r="W1109" s="241"/>
      <c r="X1109" s="242"/>
      <c r="Y1109" s="241"/>
      <c r="Z1109" s="241"/>
      <c r="AA1109" s="241"/>
      <c r="AB1109" s="241"/>
      <c r="AC1109" s="241"/>
      <c r="AD1109" s="241"/>
      <c r="AE1109" s="241"/>
      <c r="AF1109" s="241"/>
      <c r="AG1109" s="241"/>
      <c r="AH1109" s="241"/>
      <c r="AI1109" s="241"/>
      <c r="AJ1109" s="242"/>
    </row>
    <row r="1110" hidden="1">
      <c r="A1110" s="241"/>
      <c r="B1110" s="241"/>
      <c r="C1110" s="241"/>
      <c r="D1110" s="241"/>
      <c r="E1110" s="241"/>
      <c r="F1110" s="241"/>
      <c r="G1110" s="241"/>
      <c r="H1110" s="241"/>
      <c r="I1110" s="241"/>
      <c r="J1110" s="241"/>
      <c r="K1110" s="241"/>
      <c r="L1110" s="242"/>
      <c r="M1110" s="241"/>
      <c r="N1110" s="241"/>
      <c r="O1110" s="241"/>
      <c r="P1110" s="241"/>
      <c r="Q1110" s="241"/>
      <c r="R1110" s="241"/>
      <c r="S1110" s="241"/>
      <c r="T1110" s="241"/>
      <c r="U1110" s="241"/>
      <c r="V1110" s="241"/>
      <c r="W1110" s="241"/>
      <c r="X1110" s="242"/>
      <c r="Y1110" s="241"/>
      <c r="Z1110" s="241"/>
      <c r="AA1110" s="241"/>
      <c r="AB1110" s="241"/>
      <c r="AC1110" s="241"/>
      <c r="AD1110" s="241"/>
      <c r="AE1110" s="241"/>
      <c r="AF1110" s="241"/>
      <c r="AG1110" s="241"/>
      <c r="AH1110" s="241"/>
      <c r="AI1110" s="241"/>
      <c r="AJ1110" s="242"/>
    </row>
    <row r="1111" hidden="1">
      <c r="A1111" s="241"/>
      <c r="B1111" s="241"/>
      <c r="C1111" s="241"/>
      <c r="D1111" s="241"/>
      <c r="E1111" s="241"/>
      <c r="F1111" s="241"/>
      <c r="G1111" s="241"/>
      <c r="H1111" s="241"/>
      <c r="I1111" s="241"/>
      <c r="J1111" s="241"/>
      <c r="K1111" s="241"/>
      <c r="L1111" s="242"/>
      <c r="M1111" s="241"/>
      <c r="N1111" s="241"/>
      <c r="O1111" s="241"/>
      <c r="P1111" s="241"/>
      <c r="Q1111" s="241"/>
      <c r="R1111" s="241"/>
      <c r="S1111" s="241"/>
      <c r="T1111" s="241"/>
      <c r="U1111" s="241"/>
      <c r="V1111" s="241"/>
      <c r="W1111" s="241"/>
      <c r="X1111" s="242"/>
      <c r="Y1111" s="241"/>
      <c r="Z1111" s="241"/>
      <c r="AA1111" s="241"/>
      <c r="AB1111" s="241"/>
      <c r="AC1111" s="241"/>
      <c r="AD1111" s="241"/>
      <c r="AE1111" s="241"/>
      <c r="AF1111" s="241"/>
      <c r="AG1111" s="241"/>
      <c r="AH1111" s="241"/>
      <c r="AI1111" s="241"/>
      <c r="AJ1111" s="242"/>
    </row>
    <row r="1112" hidden="1">
      <c r="A1112" s="241"/>
      <c r="B1112" s="241"/>
      <c r="C1112" s="241"/>
      <c r="D1112" s="241"/>
      <c r="E1112" s="241"/>
      <c r="F1112" s="241"/>
      <c r="G1112" s="241"/>
      <c r="H1112" s="241"/>
      <c r="I1112" s="241"/>
      <c r="J1112" s="241"/>
      <c r="K1112" s="241"/>
      <c r="L1112" s="242"/>
      <c r="M1112" s="241"/>
      <c r="N1112" s="241"/>
      <c r="O1112" s="241"/>
      <c r="P1112" s="241"/>
      <c r="Q1112" s="241"/>
      <c r="R1112" s="241"/>
      <c r="S1112" s="241"/>
      <c r="T1112" s="241"/>
      <c r="U1112" s="241"/>
      <c r="V1112" s="241"/>
      <c r="W1112" s="241"/>
      <c r="X1112" s="242"/>
      <c r="Y1112" s="241"/>
      <c r="Z1112" s="241"/>
      <c r="AA1112" s="241"/>
      <c r="AB1112" s="241"/>
      <c r="AC1112" s="241"/>
      <c r="AD1112" s="241"/>
      <c r="AE1112" s="241"/>
      <c r="AF1112" s="241"/>
      <c r="AG1112" s="241"/>
      <c r="AH1112" s="241"/>
      <c r="AI1112" s="241"/>
      <c r="AJ1112" s="242"/>
    </row>
    <row r="1113" hidden="1">
      <c r="A1113" s="241"/>
      <c r="B1113" s="241"/>
      <c r="C1113" s="241"/>
      <c r="D1113" s="241"/>
      <c r="E1113" s="241"/>
      <c r="F1113" s="241"/>
      <c r="G1113" s="241"/>
      <c r="H1113" s="241"/>
      <c r="I1113" s="241"/>
      <c r="J1113" s="241"/>
      <c r="K1113" s="241"/>
      <c r="L1113" s="242"/>
      <c r="M1113" s="241"/>
      <c r="N1113" s="241"/>
      <c r="O1113" s="241"/>
      <c r="P1113" s="241"/>
      <c r="Q1113" s="241"/>
      <c r="R1113" s="241"/>
      <c r="S1113" s="241"/>
      <c r="T1113" s="241"/>
      <c r="U1113" s="241"/>
      <c r="V1113" s="241"/>
      <c r="W1113" s="241"/>
      <c r="X1113" s="242"/>
      <c r="Y1113" s="241"/>
      <c r="Z1113" s="241"/>
      <c r="AA1113" s="241"/>
      <c r="AB1113" s="241"/>
      <c r="AC1113" s="241"/>
      <c r="AD1113" s="241"/>
      <c r="AE1113" s="241"/>
      <c r="AF1113" s="241"/>
      <c r="AG1113" s="241"/>
      <c r="AH1113" s="241"/>
      <c r="AI1113" s="241"/>
      <c r="AJ1113" s="242"/>
    </row>
    <row r="1114" hidden="1">
      <c r="A1114" s="241"/>
      <c r="B1114" s="241"/>
      <c r="C1114" s="241"/>
      <c r="D1114" s="241"/>
      <c r="E1114" s="241"/>
      <c r="F1114" s="241"/>
      <c r="G1114" s="241"/>
      <c r="H1114" s="241"/>
      <c r="I1114" s="241"/>
      <c r="J1114" s="241"/>
      <c r="K1114" s="241"/>
      <c r="L1114" s="242"/>
      <c r="M1114" s="241"/>
      <c r="N1114" s="241"/>
      <c r="O1114" s="241"/>
      <c r="P1114" s="241"/>
      <c r="Q1114" s="241"/>
      <c r="R1114" s="241"/>
      <c r="S1114" s="241"/>
      <c r="T1114" s="241"/>
      <c r="U1114" s="241"/>
      <c r="V1114" s="241"/>
      <c r="W1114" s="241"/>
      <c r="X1114" s="242"/>
      <c r="Y1114" s="241"/>
      <c r="Z1114" s="241"/>
      <c r="AA1114" s="241"/>
      <c r="AB1114" s="241"/>
      <c r="AC1114" s="241"/>
      <c r="AD1114" s="241"/>
      <c r="AE1114" s="241"/>
      <c r="AF1114" s="241"/>
      <c r="AG1114" s="241"/>
      <c r="AH1114" s="241"/>
      <c r="AI1114" s="241"/>
      <c r="AJ1114" s="242"/>
    </row>
    <row r="1115" hidden="1">
      <c r="A1115" s="241"/>
      <c r="B1115" s="241"/>
      <c r="C1115" s="241"/>
      <c r="D1115" s="241"/>
      <c r="E1115" s="241"/>
      <c r="F1115" s="241"/>
      <c r="G1115" s="241"/>
      <c r="H1115" s="241"/>
      <c r="I1115" s="241"/>
      <c r="J1115" s="241"/>
      <c r="K1115" s="241"/>
      <c r="L1115" s="242"/>
      <c r="M1115" s="241"/>
      <c r="N1115" s="241"/>
      <c r="O1115" s="241"/>
      <c r="P1115" s="241"/>
      <c r="Q1115" s="241"/>
      <c r="R1115" s="241"/>
      <c r="S1115" s="241"/>
      <c r="T1115" s="241"/>
      <c r="U1115" s="241"/>
      <c r="V1115" s="241"/>
      <c r="W1115" s="241"/>
      <c r="X1115" s="242"/>
      <c r="Y1115" s="241"/>
      <c r="Z1115" s="241"/>
      <c r="AA1115" s="241"/>
      <c r="AB1115" s="241"/>
      <c r="AC1115" s="241"/>
      <c r="AD1115" s="241"/>
      <c r="AE1115" s="241"/>
      <c r="AF1115" s="241"/>
      <c r="AG1115" s="241"/>
      <c r="AH1115" s="241"/>
      <c r="AI1115" s="241"/>
      <c r="AJ1115" s="242"/>
    </row>
    <row r="1116" hidden="1">
      <c r="A1116" s="241"/>
      <c r="B1116" s="241"/>
      <c r="C1116" s="241"/>
      <c r="D1116" s="241"/>
      <c r="E1116" s="241"/>
      <c r="F1116" s="241"/>
      <c r="G1116" s="241"/>
      <c r="H1116" s="241"/>
      <c r="I1116" s="241"/>
      <c r="J1116" s="241"/>
      <c r="K1116" s="241"/>
      <c r="L1116" s="242"/>
      <c r="M1116" s="241"/>
      <c r="N1116" s="241"/>
      <c r="O1116" s="241"/>
      <c r="P1116" s="241"/>
      <c r="Q1116" s="241"/>
      <c r="R1116" s="241"/>
      <c r="S1116" s="241"/>
      <c r="T1116" s="241"/>
      <c r="U1116" s="241"/>
      <c r="V1116" s="241"/>
      <c r="W1116" s="241"/>
      <c r="X1116" s="242"/>
      <c r="Y1116" s="241"/>
      <c r="Z1116" s="241"/>
      <c r="AA1116" s="241"/>
      <c r="AB1116" s="241"/>
      <c r="AC1116" s="241"/>
      <c r="AD1116" s="241"/>
      <c r="AE1116" s="241"/>
      <c r="AF1116" s="241"/>
      <c r="AG1116" s="241"/>
      <c r="AH1116" s="241"/>
      <c r="AI1116" s="241"/>
      <c r="AJ1116" s="242"/>
    </row>
    <row r="1117" hidden="1">
      <c r="A1117" s="241"/>
      <c r="B1117" s="241"/>
      <c r="C1117" s="241"/>
      <c r="D1117" s="241"/>
      <c r="E1117" s="241"/>
      <c r="F1117" s="241"/>
      <c r="G1117" s="241"/>
      <c r="H1117" s="241"/>
      <c r="I1117" s="241"/>
      <c r="J1117" s="241"/>
      <c r="K1117" s="241"/>
      <c r="L1117" s="242"/>
      <c r="M1117" s="241"/>
      <c r="N1117" s="241"/>
      <c r="O1117" s="241"/>
      <c r="P1117" s="241"/>
      <c r="Q1117" s="241"/>
      <c r="R1117" s="241"/>
      <c r="S1117" s="241"/>
      <c r="T1117" s="241"/>
      <c r="U1117" s="241"/>
      <c r="V1117" s="241"/>
      <c r="W1117" s="241"/>
      <c r="X1117" s="242"/>
      <c r="Y1117" s="241"/>
      <c r="Z1117" s="241"/>
      <c r="AA1117" s="241"/>
      <c r="AB1117" s="241"/>
      <c r="AC1117" s="241"/>
      <c r="AD1117" s="241"/>
      <c r="AE1117" s="241"/>
      <c r="AF1117" s="241"/>
      <c r="AG1117" s="241"/>
      <c r="AH1117" s="241"/>
      <c r="AI1117" s="241"/>
      <c r="AJ1117" s="242"/>
    </row>
    <row r="1118" hidden="1">
      <c r="A1118" s="241"/>
      <c r="B1118" s="241"/>
      <c r="C1118" s="241"/>
      <c r="D1118" s="241"/>
      <c r="E1118" s="241"/>
      <c r="F1118" s="241"/>
      <c r="G1118" s="241"/>
      <c r="H1118" s="241"/>
      <c r="I1118" s="241"/>
      <c r="J1118" s="241"/>
      <c r="K1118" s="241"/>
      <c r="L1118" s="242"/>
      <c r="M1118" s="241"/>
      <c r="N1118" s="241"/>
      <c r="O1118" s="241"/>
      <c r="P1118" s="241"/>
      <c r="Q1118" s="241"/>
      <c r="R1118" s="241"/>
      <c r="S1118" s="241"/>
      <c r="T1118" s="241"/>
      <c r="U1118" s="241"/>
      <c r="V1118" s="241"/>
      <c r="W1118" s="241"/>
      <c r="X1118" s="242"/>
      <c r="Y1118" s="241"/>
      <c r="Z1118" s="241"/>
      <c r="AA1118" s="241"/>
      <c r="AB1118" s="241"/>
      <c r="AC1118" s="241"/>
      <c r="AD1118" s="241"/>
      <c r="AE1118" s="241"/>
      <c r="AF1118" s="241"/>
      <c r="AG1118" s="241"/>
      <c r="AH1118" s="241"/>
      <c r="AI1118" s="241"/>
      <c r="AJ1118" s="242"/>
    </row>
    <row r="1119" hidden="1">
      <c r="A1119" s="241"/>
      <c r="B1119" s="241"/>
      <c r="C1119" s="241"/>
      <c r="D1119" s="241"/>
      <c r="E1119" s="241"/>
      <c r="F1119" s="241"/>
      <c r="G1119" s="241"/>
      <c r="H1119" s="241"/>
      <c r="I1119" s="241"/>
      <c r="J1119" s="241"/>
      <c r="K1119" s="241"/>
      <c r="L1119" s="242"/>
      <c r="M1119" s="241"/>
      <c r="N1119" s="241"/>
      <c r="O1119" s="241"/>
      <c r="P1119" s="241"/>
      <c r="Q1119" s="241"/>
      <c r="R1119" s="241"/>
      <c r="S1119" s="241"/>
      <c r="T1119" s="241"/>
      <c r="U1119" s="241"/>
      <c r="V1119" s="241"/>
      <c r="W1119" s="241"/>
      <c r="X1119" s="242"/>
      <c r="Y1119" s="241"/>
      <c r="Z1119" s="241"/>
      <c r="AA1119" s="241"/>
      <c r="AB1119" s="241"/>
      <c r="AC1119" s="241"/>
      <c r="AD1119" s="241"/>
      <c r="AE1119" s="241"/>
      <c r="AF1119" s="241"/>
      <c r="AG1119" s="241"/>
      <c r="AH1119" s="241"/>
      <c r="AI1119" s="241"/>
      <c r="AJ1119" s="242"/>
    </row>
    <row r="1120" hidden="1">
      <c r="A1120" s="241"/>
      <c r="B1120" s="241"/>
      <c r="C1120" s="241"/>
      <c r="D1120" s="241"/>
      <c r="E1120" s="241"/>
      <c r="F1120" s="241"/>
      <c r="G1120" s="241"/>
      <c r="H1120" s="241"/>
      <c r="I1120" s="241"/>
      <c r="J1120" s="241"/>
      <c r="K1120" s="241"/>
      <c r="L1120" s="242"/>
      <c r="M1120" s="241"/>
      <c r="N1120" s="241"/>
      <c r="O1120" s="241"/>
      <c r="P1120" s="241"/>
      <c r="Q1120" s="241"/>
      <c r="R1120" s="241"/>
      <c r="S1120" s="241"/>
      <c r="T1120" s="241"/>
      <c r="U1120" s="241"/>
      <c r="V1120" s="241"/>
      <c r="W1120" s="241"/>
      <c r="X1120" s="242"/>
      <c r="Y1120" s="241"/>
      <c r="Z1120" s="241"/>
      <c r="AA1120" s="241"/>
      <c r="AB1120" s="241"/>
      <c r="AC1120" s="241"/>
      <c r="AD1120" s="241"/>
      <c r="AE1120" s="241"/>
      <c r="AF1120" s="241"/>
      <c r="AG1120" s="241"/>
      <c r="AH1120" s="241"/>
      <c r="AI1120" s="241"/>
      <c r="AJ1120" s="242"/>
    </row>
    <row r="1121" hidden="1">
      <c r="A1121" s="241"/>
      <c r="B1121" s="241"/>
      <c r="C1121" s="241"/>
      <c r="D1121" s="241"/>
      <c r="E1121" s="241"/>
      <c r="F1121" s="241"/>
      <c r="G1121" s="241"/>
      <c r="H1121" s="241"/>
      <c r="I1121" s="241"/>
      <c r="J1121" s="241"/>
      <c r="K1121" s="241"/>
      <c r="L1121" s="242"/>
      <c r="M1121" s="241"/>
      <c r="N1121" s="241"/>
      <c r="O1121" s="241"/>
      <c r="P1121" s="241"/>
      <c r="Q1121" s="241"/>
      <c r="R1121" s="241"/>
      <c r="S1121" s="241"/>
      <c r="T1121" s="241"/>
      <c r="U1121" s="241"/>
      <c r="V1121" s="241"/>
      <c r="W1121" s="241"/>
      <c r="X1121" s="242"/>
      <c r="Y1121" s="241"/>
      <c r="Z1121" s="241"/>
      <c r="AA1121" s="241"/>
      <c r="AB1121" s="241"/>
      <c r="AC1121" s="241"/>
      <c r="AD1121" s="241"/>
      <c r="AE1121" s="241"/>
      <c r="AF1121" s="241"/>
      <c r="AG1121" s="241"/>
      <c r="AH1121" s="241"/>
      <c r="AI1121" s="241"/>
      <c r="AJ1121" s="242"/>
    </row>
    <row r="1122" hidden="1">
      <c r="A1122" s="241"/>
      <c r="B1122" s="241"/>
      <c r="C1122" s="241"/>
      <c r="D1122" s="241"/>
      <c r="E1122" s="241"/>
      <c r="F1122" s="241"/>
      <c r="G1122" s="241"/>
      <c r="H1122" s="241"/>
      <c r="I1122" s="241"/>
      <c r="J1122" s="241"/>
      <c r="K1122" s="241"/>
      <c r="L1122" s="242"/>
      <c r="M1122" s="241"/>
      <c r="N1122" s="241"/>
      <c r="O1122" s="241"/>
      <c r="P1122" s="241"/>
      <c r="Q1122" s="241"/>
      <c r="R1122" s="241"/>
      <c r="S1122" s="241"/>
      <c r="T1122" s="241"/>
      <c r="U1122" s="241"/>
      <c r="V1122" s="241"/>
      <c r="W1122" s="241"/>
      <c r="X1122" s="242"/>
      <c r="Y1122" s="241"/>
      <c r="Z1122" s="241"/>
      <c r="AA1122" s="241"/>
      <c r="AB1122" s="241"/>
      <c r="AC1122" s="241"/>
      <c r="AD1122" s="241"/>
      <c r="AE1122" s="241"/>
      <c r="AF1122" s="241"/>
      <c r="AG1122" s="241"/>
      <c r="AH1122" s="241"/>
      <c r="AI1122" s="241"/>
      <c r="AJ1122" s="242"/>
    </row>
    <row r="1123" hidden="1">
      <c r="A1123" s="241"/>
      <c r="B1123" s="241"/>
      <c r="C1123" s="241"/>
      <c r="D1123" s="241"/>
      <c r="E1123" s="241"/>
      <c r="F1123" s="241"/>
      <c r="G1123" s="241"/>
      <c r="H1123" s="241"/>
      <c r="I1123" s="241"/>
      <c r="J1123" s="241"/>
      <c r="K1123" s="241"/>
      <c r="L1123" s="242"/>
      <c r="M1123" s="241"/>
      <c r="N1123" s="241"/>
      <c r="O1123" s="241"/>
      <c r="P1123" s="241"/>
      <c r="Q1123" s="241"/>
      <c r="R1123" s="241"/>
      <c r="S1123" s="241"/>
      <c r="T1123" s="241"/>
      <c r="U1123" s="241"/>
      <c r="V1123" s="241"/>
      <c r="W1123" s="241"/>
      <c r="X1123" s="242"/>
      <c r="Y1123" s="241"/>
      <c r="Z1123" s="241"/>
      <c r="AA1123" s="241"/>
      <c r="AB1123" s="241"/>
      <c r="AC1123" s="241"/>
      <c r="AD1123" s="241"/>
      <c r="AE1123" s="241"/>
      <c r="AF1123" s="241"/>
      <c r="AG1123" s="241"/>
      <c r="AH1123" s="241"/>
      <c r="AI1123" s="241"/>
      <c r="AJ1123" s="242"/>
    </row>
    <row r="1124" hidden="1">
      <c r="A1124" s="241"/>
      <c r="B1124" s="241"/>
      <c r="C1124" s="241"/>
      <c r="D1124" s="241"/>
      <c r="E1124" s="241"/>
      <c r="F1124" s="241"/>
      <c r="G1124" s="241"/>
      <c r="H1124" s="241"/>
      <c r="I1124" s="241"/>
      <c r="J1124" s="241"/>
      <c r="K1124" s="241"/>
      <c r="L1124" s="242"/>
      <c r="M1124" s="241"/>
      <c r="N1124" s="241"/>
      <c r="O1124" s="241"/>
      <c r="P1124" s="241"/>
      <c r="Q1124" s="241"/>
      <c r="R1124" s="241"/>
      <c r="S1124" s="241"/>
      <c r="T1124" s="241"/>
      <c r="U1124" s="241"/>
      <c r="V1124" s="241"/>
      <c r="W1124" s="241"/>
      <c r="X1124" s="242"/>
      <c r="Y1124" s="241"/>
      <c r="Z1124" s="241"/>
      <c r="AA1124" s="241"/>
      <c r="AB1124" s="241"/>
      <c r="AC1124" s="241"/>
      <c r="AD1124" s="241"/>
      <c r="AE1124" s="241"/>
      <c r="AF1124" s="241"/>
      <c r="AG1124" s="241"/>
      <c r="AH1124" s="241"/>
      <c r="AI1124" s="241"/>
      <c r="AJ1124" s="242"/>
    </row>
    <row r="1125" hidden="1">
      <c r="A1125" s="241"/>
      <c r="B1125" s="241"/>
      <c r="C1125" s="241"/>
      <c r="D1125" s="241"/>
      <c r="E1125" s="241"/>
      <c r="F1125" s="241"/>
      <c r="G1125" s="241"/>
      <c r="H1125" s="241"/>
      <c r="I1125" s="241"/>
      <c r="J1125" s="241"/>
      <c r="K1125" s="241"/>
      <c r="L1125" s="242"/>
      <c r="M1125" s="241"/>
      <c r="N1125" s="241"/>
      <c r="O1125" s="241"/>
      <c r="P1125" s="241"/>
      <c r="Q1125" s="241"/>
      <c r="R1125" s="241"/>
      <c r="S1125" s="241"/>
      <c r="T1125" s="241"/>
      <c r="U1125" s="241"/>
      <c r="V1125" s="241"/>
      <c r="W1125" s="241"/>
      <c r="X1125" s="242"/>
      <c r="Y1125" s="241"/>
      <c r="Z1125" s="241"/>
      <c r="AA1125" s="241"/>
      <c r="AB1125" s="241"/>
      <c r="AC1125" s="241"/>
      <c r="AD1125" s="241"/>
      <c r="AE1125" s="241"/>
      <c r="AF1125" s="241"/>
      <c r="AG1125" s="241"/>
      <c r="AH1125" s="241"/>
      <c r="AI1125" s="241"/>
      <c r="AJ1125" s="242"/>
    </row>
    <row r="1126" hidden="1">
      <c r="A1126" s="241"/>
      <c r="B1126" s="241"/>
      <c r="C1126" s="241"/>
      <c r="D1126" s="241"/>
      <c r="E1126" s="241"/>
      <c r="F1126" s="241"/>
      <c r="G1126" s="241"/>
      <c r="H1126" s="241"/>
      <c r="I1126" s="241"/>
      <c r="J1126" s="241"/>
      <c r="K1126" s="241"/>
      <c r="L1126" s="242"/>
      <c r="M1126" s="241"/>
      <c r="N1126" s="241"/>
      <c r="O1126" s="241"/>
      <c r="P1126" s="241"/>
      <c r="Q1126" s="241"/>
      <c r="R1126" s="241"/>
      <c r="S1126" s="241"/>
      <c r="T1126" s="241"/>
      <c r="U1126" s="241"/>
      <c r="V1126" s="241"/>
      <c r="W1126" s="241"/>
      <c r="X1126" s="242"/>
      <c r="Y1126" s="241"/>
      <c r="Z1126" s="241"/>
      <c r="AA1126" s="241"/>
      <c r="AB1126" s="241"/>
      <c r="AC1126" s="241"/>
      <c r="AD1126" s="241"/>
      <c r="AE1126" s="241"/>
      <c r="AF1126" s="241"/>
      <c r="AG1126" s="241"/>
      <c r="AH1126" s="241"/>
      <c r="AI1126" s="241"/>
      <c r="AJ1126" s="242"/>
    </row>
    <row r="1127" hidden="1">
      <c r="A1127" s="241"/>
      <c r="B1127" s="241"/>
      <c r="C1127" s="241"/>
      <c r="D1127" s="241"/>
      <c r="E1127" s="241"/>
      <c r="F1127" s="241"/>
      <c r="G1127" s="241"/>
      <c r="H1127" s="241"/>
      <c r="I1127" s="241"/>
      <c r="J1127" s="241"/>
      <c r="K1127" s="241"/>
      <c r="L1127" s="242"/>
      <c r="M1127" s="241"/>
      <c r="N1127" s="241"/>
      <c r="O1127" s="241"/>
      <c r="P1127" s="241"/>
      <c r="Q1127" s="241"/>
      <c r="R1127" s="241"/>
      <c r="S1127" s="241"/>
      <c r="T1127" s="241"/>
      <c r="U1127" s="241"/>
      <c r="V1127" s="241"/>
      <c r="W1127" s="241"/>
      <c r="X1127" s="242"/>
      <c r="Y1127" s="241"/>
      <c r="Z1127" s="241"/>
      <c r="AA1127" s="241"/>
      <c r="AB1127" s="241"/>
      <c r="AC1127" s="241"/>
      <c r="AD1127" s="241"/>
      <c r="AE1127" s="241"/>
      <c r="AF1127" s="241"/>
      <c r="AG1127" s="241"/>
      <c r="AH1127" s="241"/>
      <c r="AI1127" s="241"/>
      <c r="AJ1127" s="242"/>
    </row>
    <row r="1128" hidden="1">
      <c r="A1128" s="241"/>
      <c r="B1128" s="241"/>
      <c r="C1128" s="241"/>
      <c r="D1128" s="241"/>
      <c r="E1128" s="241"/>
      <c r="F1128" s="241"/>
      <c r="G1128" s="241"/>
      <c r="H1128" s="241"/>
      <c r="I1128" s="241"/>
      <c r="J1128" s="241"/>
      <c r="K1128" s="241"/>
      <c r="L1128" s="242"/>
      <c r="M1128" s="241"/>
      <c r="N1128" s="241"/>
      <c r="O1128" s="241"/>
      <c r="P1128" s="241"/>
      <c r="Q1128" s="241"/>
      <c r="R1128" s="241"/>
      <c r="S1128" s="241"/>
      <c r="T1128" s="241"/>
      <c r="U1128" s="241"/>
      <c r="V1128" s="241"/>
      <c r="W1128" s="241"/>
      <c r="X1128" s="242"/>
      <c r="Y1128" s="241"/>
      <c r="Z1128" s="241"/>
      <c r="AA1128" s="241"/>
      <c r="AB1128" s="241"/>
      <c r="AC1128" s="241"/>
      <c r="AD1128" s="241"/>
      <c r="AE1128" s="241"/>
      <c r="AF1128" s="241"/>
      <c r="AG1128" s="241"/>
      <c r="AH1128" s="241"/>
      <c r="AI1128" s="241"/>
      <c r="AJ1128" s="242"/>
    </row>
    <row r="1129" hidden="1">
      <c r="A1129" s="241"/>
      <c r="B1129" s="241"/>
      <c r="C1129" s="241"/>
      <c r="D1129" s="241"/>
      <c r="E1129" s="241"/>
      <c r="F1129" s="241"/>
      <c r="G1129" s="241"/>
      <c r="H1129" s="241"/>
      <c r="I1129" s="241"/>
      <c r="J1129" s="241"/>
      <c r="K1129" s="241"/>
      <c r="L1129" s="242"/>
      <c r="M1129" s="241"/>
      <c r="N1129" s="241"/>
      <c r="O1129" s="241"/>
      <c r="P1129" s="241"/>
      <c r="Q1129" s="241"/>
      <c r="R1129" s="241"/>
      <c r="S1129" s="241"/>
      <c r="T1129" s="241"/>
      <c r="U1129" s="241"/>
      <c r="V1129" s="241"/>
      <c r="W1129" s="241"/>
      <c r="X1129" s="242"/>
      <c r="Y1129" s="241"/>
      <c r="Z1129" s="241"/>
      <c r="AA1129" s="241"/>
      <c r="AB1129" s="241"/>
      <c r="AC1129" s="241"/>
      <c r="AD1129" s="241"/>
      <c r="AE1129" s="241"/>
      <c r="AF1129" s="241"/>
      <c r="AG1129" s="241"/>
      <c r="AH1129" s="241"/>
      <c r="AI1129" s="241"/>
      <c r="AJ1129" s="242"/>
    </row>
    <row r="1130" hidden="1">
      <c r="A1130" s="241"/>
      <c r="B1130" s="241"/>
      <c r="C1130" s="241"/>
      <c r="D1130" s="241"/>
      <c r="E1130" s="241"/>
      <c r="F1130" s="241"/>
      <c r="G1130" s="241"/>
      <c r="H1130" s="241"/>
      <c r="I1130" s="241"/>
      <c r="J1130" s="241"/>
      <c r="K1130" s="241"/>
      <c r="L1130" s="242"/>
      <c r="M1130" s="241"/>
      <c r="N1130" s="241"/>
      <c r="O1130" s="241"/>
      <c r="P1130" s="241"/>
      <c r="Q1130" s="241"/>
      <c r="R1130" s="241"/>
      <c r="S1130" s="241"/>
      <c r="T1130" s="241"/>
      <c r="U1130" s="241"/>
      <c r="V1130" s="241"/>
      <c r="W1130" s="241"/>
      <c r="X1130" s="242"/>
      <c r="Y1130" s="241"/>
      <c r="Z1130" s="241"/>
      <c r="AA1130" s="241"/>
      <c r="AB1130" s="241"/>
      <c r="AC1130" s="241"/>
      <c r="AD1130" s="241"/>
      <c r="AE1130" s="241"/>
      <c r="AF1130" s="241"/>
      <c r="AG1130" s="241"/>
      <c r="AH1130" s="241"/>
      <c r="AI1130" s="241"/>
      <c r="AJ1130" s="242"/>
    </row>
    <row r="1131" hidden="1">
      <c r="A1131" s="241"/>
      <c r="B1131" s="241"/>
      <c r="C1131" s="241"/>
      <c r="D1131" s="241"/>
      <c r="E1131" s="241"/>
      <c r="F1131" s="241"/>
      <c r="G1131" s="241"/>
      <c r="H1131" s="241"/>
      <c r="I1131" s="241"/>
      <c r="J1131" s="241"/>
      <c r="K1131" s="241"/>
      <c r="L1131" s="242"/>
      <c r="M1131" s="241"/>
      <c r="N1131" s="241"/>
      <c r="O1131" s="241"/>
      <c r="P1131" s="241"/>
      <c r="Q1131" s="241"/>
      <c r="R1131" s="241"/>
      <c r="S1131" s="241"/>
      <c r="T1131" s="241"/>
      <c r="U1131" s="241"/>
      <c r="V1131" s="241"/>
      <c r="W1131" s="241"/>
      <c r="X1131" s="242"/>
      <c r="Y1131" s="241"/>
      <c r="Z1131" s="241"/>
      <c r="AA1131" s="241"/>
      <c r="AB1131" s="241"/>
      <c r="AC1131" s="241"/>
      <c r="AD1131" s="241"/>
      <c r="AE1131" s="241"/>
      <c r="AF1131" s="241"/>
      <c r="AG1131" s="241"/>
      <c r="AH1131" s="241"/>
      <c r="AI1131" s="241"/>
      <c r="AJ1131" s="242"/>
    </row>
    <row r="1132" hidden="1">
      <c r="A1132" s="241"/>
      <c r="B1132" s="241"/>
      <c r="C1132" s="241"/>
      <c r="D1132" s="241"/>
      <c r="E1132" s="241"/>
      <c r="F1132" s="241"/>
      <c r="G1132" s="241"/>
      <c r="H1132" s="241"/>
      <c r="I1132" s="241"/>
      <c r="J1132" s="241"/>
      <c r="K1132" s="241"/>
      <c r="L1132" s="242"/>
      <c r="M1132" s="241"/>
      <c r="N1132" s="241"/>
      <c r="O1132" s="241"/>
      <c r="P1132" s="241"/>
      <c r="Q1132" s="241"/>
      <c r="R1132" s="241"/>
      <c r="S1132" s="241"/>
      <c r="T1132" s="241"/>
      <c r="U1132" s="241"/>
      <c r="V1132" s="241"/>
      <c r="W1132" s="241"/>
      <c r="X1132" s="242"/>
      <c r="Y1132" s="241"/>
      <c r="Z1132" s="241"/>
      <c r="AA1132" s="241"/>
      <c r="AB1132" s="241"/>
      <c r="AC1132" s="241"/>
      <c r="AD1132" s="241"/>
      <c r="AE1132" s="241"/>
      <c r="AF1132" s="241"/>
      <c r="AG1132" s="241"/>
      <c r="AH1132" s="241"/>
      <c r="AI1132" s="241"/>
      <c r="AJ1132" s="242"/>
    </row>
    <row r="1133" hidden="1">
      <c r="A1133" s="241"/>
      <c r="B1133" s="241"/>
      <c r="C1133" s="241"/>
      <c r="D1133" s="241"/>
      <c r="E1133" s="241"/>
      <c r="F1133" s="241"/>
      <c r="G1133" s="241"/>
      <c r="H1133" s="241"/>
      <c r="I1133" s="241"/>
      <c r="J1133" s="241"/>
      <c r="K1133" s="241"/>
      <c r="L1133" s="242"/>
      <c r="M1133" s="241"/>
      <c r="N1133" s="241"/>
      <c r="O1133" s="241"/>
      <c r="P1133" s="241"/>
      <c r="Q1133" s="241"/>
      <c r="R1133" s="241"/>
      <c r="S1133" s="241"/>
      <c r="T1133" s="241"/>
      <c r="U1133" s="241"/>
      <c r="V1133" s="241"/>
      <c r="W1133" s="241"/>
      <c r="X1133" s="242"/>
      <c r="Y1133" s="241"/>
      <c r="Z1133" s="241"/>
      <c r="AA1133" s="241"/>
      <c r="AB1133" s="241"/>
      <c r="AC1133" s="241"/>
      <c r="AD1133" s="241"/>
      <c r="AE1133" s="241"/>
      <c r="AF1133" s="241"/>
      <c r="AG1133" s="241"/>
      <c r="AH1133" s="241"/>
      <c r="AI1133" s="241"/>
      <c r="AJ1133" s="242"/>
    </row>
    <row r="1134" hidden="1">
      <c r="A1134" s="241"/>
      <c r="B1134" s="241"/>
      <c r="C1134" s="241"/>
      <c r="D1134" s="241"/>
      <c r="E1134" s="241"/>
      <c r="F1134" s="241"/>
      <c r="G1134" s="241"/>
      <c r="H1134" s="241"/>
      <c r="I1134" s="241"/>
      <c r="J1134" s="241"/>
      <c r="K1134" s="241"/>
      <c r="L1134" s="242"/>
      <c r="M1134" s="241"/>
      <c r="N1134" s="241"/>
      <c r="O1134" s="241"/>
      <c r="P1134" s="241"/>
      <c r="Q1134" s="241"/>
      <c r="R1134" s="241"/>
      <c r="S1134" s="241"/>
      <c r="T1134" s="241"/>
      <c r="U1134" s="241"/>
      <c r="V1134" s="241"/>
      <c r="W1134" s="241"/>
      <c r="X1134" s="242"/>
      <c r="Y1134" s="241"/>
      <c r="Z1134" s="241"/>
      <c r="AA1134" s="241"/>
      <c r="AB1134" s="241"/>
      <c r="AC1134" s="241"/>
      <c r="AD1134" s="241"/>
      <c r="AE1134" s="241"/>
      <c r="AF1134" s="241"/>
      <c r="AG1134" s="241"/>
      <c r="AH1134" s="241"/>
      <c r="AI1134" s="241"/>
      <c r="AJ1134" s="242"/>
    </row>
    <row r="1135" hidden="1">
      <c r="A1135" s="241"/>
      <c r="B1135" s="241"/>
      <c r="C1135" s="241"/>
      <c r="D1135" s="241"/>
      <c r="E1135" s="241"/>
      <c r="F1135" s="241"/>
      <c r="G1135" s="241"/>
      <c r="H1135" s="241"/>
      <c r="I1135" s="241"/>
      <c r="J1135" s="241"/>
      <c r="K1135" s="241"/>
      <c r="L1135" s="242"/>
      <c r="M1135" s="241"/>
      <c r="N1135" s="241"/>
      <c r="O1135" s="241"/>
      <c r="P1135" s="241"/>
      <c r="Q1135" s="241"/>
      <c r="R1135" s="241"/>
      <c r="S1135" s="241"/>
      <c r="T1135" s="241"/>
      <c r="U1135" s="241"/>
      <c r="V1135" s="241"/>
      <c r="W1135" s="241"/>
      <c r="X1135" s="242"/>
      <c r="Y1135" s="241"/>
      <c r="Z1135" s="241"/>
      <c r="AA1135" s="241"/>
      <c r="AB1135" s="241"/>
      <c r="AC1135" s="241"/>
      <c r="AD1135" s="241"/>
      <c r="AE1135" s="241"/>
      <c r="AF1135" s="241"/>
      <c r="AG1135" s="241"/>
      <c r="AH1135" s="241"/>
      <c r="AI1135" s="241"/>
      <c r="AJ1135" s="242"/>
    </row>
    <row r="1136" hidden="1">
      <c r="A1136" s="241"/>
      <c r="B1136" s="241"/>
      <c r="C1136" s="241"/>
      <c r="D1136" s="241"/>
      <c r="E1136" s="241"/>
      <c r="F1136" s="241"/>
      <c r="G1136" s="241"/>
      <c r="H1136" s="241"/>
      <c r="I1136" s="241"/>
      <c r="J1136" s="241"/>
      <c r="K1136" s="241"/>
      <c r="L1136" s="242"/>
      <c r="M1136" s="241"/>
      <c r="N1136" s="241"/>
      <c r="O1136" s="241"/>
      <c r="P1136" s="241"/>
      <c r="Q1136" s="241"/>
      <c r="R1136" s="241"/>
      <c r="S1136" s="241"/>
      <c r="T1136" s="241"/>
      <c r="U1136" s="241"/>
      <c r="V1136" s="241"/>
      <c r="W1136" s="241"/>
      <c r="X1136" s="242"/>
      <c r="Y1136" s="241"/>
      <c r="Z1136" s="241"/>
      <c r="AA1136" s="241"/>
      <c r="AB1136" s="241"/>
      <c r="AC1136" s="241"/>
      <c r="AD1136" s="241"/>
      <c r="AE1136" s="241"/>
      <c r="AF1136" s="241"/>
      <c r="AG1136" s="241"/>
      <c r="AH1136" s="241"/>
      <c r="AI1136" s="241"/>
      <c r="AJ1136" s="242"/>
    </row>
    <row r="1137" hidden="1">
      <c r="A1137" s="241"/>
      <c r="B1137" s="241"/>
      <c r="C1137" s="241"/>
      <c r="D1137" s="241"/>
      <c r="E1137" s="241"/>
      <c r="F1137" s="241"/>
      <c r="G1137" s="241"/>
      <c r="H1137" s="241"/>
      <c r="I1137" s="241"/>
      <c r="J1137" s="241"/>
      <c r="K1137" s="241"/>
      <c r="L1137" s="242"/>
      <c r="M1137" s="241"/>
      <c r="N1137" s="241"/>
      <c r="O1137" s="241"/>
      <c r="P1137" s="241"/>
      <c r="Q1137" s="241"/>
      <c r="R1137" s="241"/>
      <c r="S1137" s="241"/>
      <c r="T1137" s="241"/>
      <c r="U1137" s="241"/>
      <c r="V1137" s="241"/>
      <c r="W1137" s="241"/>
      <c r="X1137" s="242"/>
      <c r="Y1137" s="241"/>
      <c r="Z1137" s="241"/>
      <c r="AA1137" s="241"/>
      <c r="AB1137" s="241"/>
      <c r="AC1137" s="241"/>
      <c r="AD1137" s="241"/>
      <c r="AE1137" s="241"/>
      <c r="AF1137" s="241"/>
      <c r="AG1137" s="241"/>
      <c r="AH1137" s="241"/>
      <c r="AI1137" s="241"/>
      <c r="AJ1137" s="242"/>
    </row>
    <row r="1138" hidden="1">
      <c r="A1138" s="241"/>
      <c r="B1138" s="241"/>
      <c r="C1138" s="241"/>
      <c r="D1138" s="241"/>
      <c r="E1138" s="241"/>
      <c r="F1138" s="241"/>
      <c r="G1138" s="241"/>
      <c r="H1138" s="241"/>
      <c r="I1138" s="241"/>
      <c r="J1138" s="241"/>
      <c r="K1138" s="241"/>
      <c r="L1138" s="242"/>
      <c r="M1138" s="241"/>
      <c r="N1138" s="241"/>
      <c r="O1138" s="241"/>
      <c r="P1138" s="241"/>
      <c r="Q1138" s="241"/>
      <c r="R1138" s="241"/>
      <c r="S1138" s="241"/>
      <c r="T1138" s="241"/>
      <c r="U1138" s="241"/>
      <c r="V1138" s="241"/>
      <c r="W1138" s="241"/>
      <c r="X1138" s="242"/>
      <c r="Y1138" s="241"/>
      <c r="Z1138" s="241"/>
      <c r="AA1138" s="241"/>
      <c r="AB1138" s="241"/>
      <c r="AC1138" s="241"/>
      <c r="AD1138" s="241"/>
      <c r="AE1138" s="241"/>
      <c r="AF1138" s="241"/>
      <c r="AG1138" s="241"/>
      <c r="AH1138" s="241"/>
      <c r="AI1138" s="241"/>
      <c r="AJ1138" s="242"/>
    </row>
    <row r="1139" hidden="1">
      <c r="A1139" s="241"/>
      <c r="B1139" s="241"/>
      <c r="C1139" s="241"/>
      <c r="D1139" s="241"/>
      <c r="E1139" s="241"/>
      <c r="F1139" s="241"/>
      <c r="G1139" s="241"/>
      <c r="H1139" s="241"/>
      <c r="I1139" s="241"/>
      <c r="J1139" s="241"/>
      <c r="K1139" s="241"/>
      <c r="L1139" s="242"/>
      <c r="M1139" s="241"/>
      <c r="N1139" s="241"/>
      <c r="O1139" s="241"/>
      <c r="P1139" s="241"/>
      <c r="Q1139" s="241"/>
      <c r="R1139" s="241"/>
      <c r="S1139" s="241"/>
      <c r="T1139" s="241"/>
      <c r="U1139" s="241"/>
      <c r="V1139" s="241"/>
      <c r="W1139" s="241"/>
      <c r="X1139" s="242"/>
      <c r="Y1139" s="241"/>
      <c r="Z1139" s="241"/>
      <c r="AA1139" s="241"/>
      <c r="AB1139" s="241"/>
      <c r="AC1139" s="241"/>
      <c r="AD1139" s="241"/>
      <c r="AE1139" s="241"/>
      <c r="AF1139" s="241"/>
      <c r="AG1139" s="241"/>
      <c r="AH1139" s="241"/>
      <c r="AI1139" s="241"/>
      <c r="AJ1139" s="242"/>
    </row>
    <row r="1140" hidden="1">
      <c r="A1140" s="241"/>
      <c r="B1140" s="241"/>
      <c r="C1140" s="241"/>
      <c r="D1140" s="241"/>
      <c r="E1140" s="241"/>
      <c r="F1140" s="241"/>
      <c r="G1140" s="241"/>
      <c r="H1140" s="241"/>
      <c r="I1140" s="241"/>
      <c r="J1140" s="241"/>
      <c r="K1140" s="241"/>
      <c r="L1140" s="242"/>
      <c r="M1140" s="241"/>
      <c r="N1140" s="241"/>
      <c r="O1140" s="241"/>
      <c r="P1140" s="241"/>
      <c r="Q1140" s="241"/>
      <c r="R1140" s="241"/>
      <c r="S1140" s="241"/>
      <c r="T1140" s="241"/>
      <c r="U1140" s="241"/>
      <c r="V1140" s="241"/>
      <c r="W1140" s="241"/>
      <c r="X1140" s="242"/>
      <c r="Y1140" s="241"/>
      <c r="Z1140" s="241"/>
      <c r="AA1140" s="241"/>
      <c r="AB1140" s="241"/>
      <c r="AC1140" s="241"/>
      <c r="AD1140" s="241"/>
      <c r="AE1140" s="241"/>
      <c r="AF1140" s="241"/>
      <c r="AG1140" s="241"/>
      <c r="AH1140" s="241"/>
      <c r="AI1140" s="241"/>
      <c r="AJ1140" s="242"/>
    </row>
    <row r="1141" hidden="1">
      <c r="A1141" s="241"/>
      <c r="B1141" s="241"/>
      <c r="C1141" s="241"/>
      <c r="D1141" s="241"/>
      <c r="E1141" s="241"/>
      <c r="F1141" s="241"/>
      <c r="G1141" s="241"/>
      <c r="H1141" s="241"/>
      <c r="I1141" s="241"/>
      <c r="J1141" s="241"/>
      <c r="K1141" s="241"/>
      <c r="L1141" s="242"/>
      <c r="M1141" s="241"/>
      <c r="N1141" s="241"/>
      <c r="O1141" s="241"/>
      <c r="P1141" s="241"/>
      <c r="Q1141" s="241"/>
      <c r="R1141" s="241"/>
      <c r="S1141" s="241"/>
      <c r="T1141" s="241"/>
      <c r="U1141" s="241"/>
      <c r="V1141" s="241"/>
      <c r="W1141" s="241"/>
      <c r="X1141" s="242"/>
      <c r="Y1141" s="241"/>
      <c r="Z1141" s="241"/>
      <c r="AA1141" s="241"/>
      <c r="AB1141" s="241"/>
      <c r="AC1141" s="241"/>
      <c r="AD1141" s="241"/>
      <c r="AE1141" s="241"/>
      <c r="AF1141" s="241"/>
      <c r="AG1141" s="241"/>
      <c r="AH1141" s="241"/>
      <c r="AI1141" s="241"/>
      <c r="AJ1141" s="242"/>
    </row>
    <row r="1142" hidden="1">
      <c r="A1142" s="241"/>
      <c r="B1142" s="241"/>
      <c r="C1142" s="241"/>
      <c r="D1142" s="241"/>
      <c r="E1142" s="241"/>
      <c r="F1142" s="241"/>
      <c r="G1142" s="241"/>
      <c r="H1142" s="241"/>
      <c r="I1142" s="241"/>
      <c r="J1142" s="241"/>
      <c r="K1142" s="241"/>
      <c r="L1142" s="242"/>
      <c r="M1142" s="241"/>
      <c r="N1142" s="241"/>
      <c r="O1142" s="241"/>
      <c r="P1142" s="241"/>
      <c r="Q1142" s="241"/>
      <c r="R1142" s="241"/>
      <c r="S1142" s="241"/>
      <c r="T1142" s="241"/>
      <c r="U1142" s="241"/>
      <c r="V1142" s="241"/>
      <c r="W1142" s="241"/>
      <c r="X1142" s="242"/>
      <c r="Y1142" s="241"/>
      <c r="Z1142" s="241"/>
      <c r="AA1142" s="241"/>
      <c r="AB1142" s="241"/>
      <c r="AC1142" s="241"/>
      <c r="AD1142" s="241"/>
      <c r="AE1142" s="241"/>
      <c r="AF1142" s="241"/>
      <c r="AG1142" s="241"/>
      <c r="AH1142" s="241"/>
      <c r="AI1142" s="241"/>
      <c r="AJ1142" s="242"/>
    </row>
    <row r="1143" hidden="1">
      <c r="A1143" s="241"/>
      <c r="B1143" s="241"/>
      <c r="C1143" s="241"/>
      <c r="D1143" s="241"/>
      <c r="E1143" s="241"/>
      <c r="F1143" s="241"/>
      <c r="G1143" s="241"/>
      <c r="H1143" s="241"/>
      <c r="I1143" s="241"/>
      <c r="J1143" s="241"/>
      <c r="K1143" s="241"/>
      <c r="L1143" s="242"/>
      <c r="M1143" s="241"/>
      <c r="N1143" s="241"/>
      <c r="O1143" s="241"/>
      <c r="P1143" s="241"/>
      <c r="Q1143" s="241"/>
      <c r="R1143" s="241"/>
      <c r="S1143" s="241"/>
      <c r="T1143" s="241"/>
      <c r="U1143" s="241"/>
      <c r="V1143" s="241"/>
      <c r="W1143" s="241"/>
      <c r="X1143" s="242"/>
      <c r="Y1143" s="241"/>
      <c r="Z1143" s="241"/>
      <c r="AA1143" s="241"/>
      <c r="AB1143" s="241"/>
      <c r="AC1143" s="241"/>
      <c r="AD1143" s="241"/>
      <c r="AE1143" s="241"/>
      <c r="AF1143" s="241"/>
      <c r="AG1143" s="241"/>
      <c r="AH1143" s="241"/>
      <c r="AI1143" s="241"/>
      <c r="AJ1143" s="242"/>
    </row>
    <row r="1144" hidden="1">
      <c r="A1144" s="241"/>
      <c r="B1144" s="241"/>
      <c r="C1144" s="241"/>
      <c r="D1144" s="241"/>
      <c r="E1144" s="241"/>
      <c r="F1144" s="241"/>
      <c r="G1144" s="241"/>
      <c r="H1144" s="241"/>
      <c r="I1144" s="241"/>
      <c r="J1144" s="241"/>
      <c r="K1144" s="241"/>
      <c r="L1144" s="242"/>
      <c r="M1144" s="241"/>
      <c r="N1144" s="241"/>
      <c r="O1144" s="241"/>
      <c r="P1144" s="241"/>
      <c r="Q1144" s="241"/>
      <c r="R1144" s="241"/>
      <c r="S1144" s="241"/>
      <c r="T1144" s="241"/>
      <c r="U1144" s="241"/>
      <c r="V1144" s="241"/>
      <c r="W1144" s="241"/>
      <c r="X1144" s="242"/>
      <c r="Y1144" s="241"/>
      <c r="Z1144" s="241"/>
      <c r="AA1144" s="241"/>
      <c r="AB1144" s="241"/>
      <c r="AC1144" s="241"/>
      <c r="AD1144" s="241"/>
      <c r="AE1144" s="241"/>
      <c r="AF1144" s="241"/>
      <c r="AG1144" s="241"/>
      <c r="AH1144" s="241"/>
      <c r="AI1144" s="241"/>
      <c r="AJ1144" s="242"/>
    </row>
    <row r="1145" hidden="1">
      <c r="A1145" s="241"/>
      <c r="B1145" s="241"/>
      <c r="C1145" s="241"/>
      <c r="D1145" s="241"/>
      <c r="E1145" s="241"/>
      <c r="F1145" s="241"/>
      <c r="G1145" s="241"/>
      <c r="H1145" s="241"/>
      <c r="I1145" s="241"/>
      <c r="J1145" s="241"/>
      <c r="K1145" s="241"/>
      <c r="L1145" s="242"/>
      <c r="M1145" s="241"/>
      <c r="N1145" s="241"/>
      <c r="O1145" s="241"/>
      <c r="P1145" s="241"/>
      <c r="Q1145" s="241"/>
      <c r="R1145" s="241"/>
      <c r="S1145" s="241"/>
      <c r="T1145" s="241"/>
      <c r="U1145" s="241"/>
      <c r="V1145" s="241"/>
      <c r="W1145" s="241"/>
      <c r="X1145" s="242"/>
      <c r="Y1145" s="241"/>
      <c r="Z1145" s="241"/>
      <c r="AA1145" s="241"/>
      <c r="AB1145" s="241"/>
      <c r="AC1145" s="241"/>
      <c r="AD1145" s="241"/>
      <c r="AE1145" s="241"/>
      <c r="AF1145" s="241"/>
      <c r="AG1145" s="241"/>
      <c r="AH1145" s="241"/>
      <c r="AI1145" s="241"/>
      <c r="AJ1145" s="242"/>
    </row>
    <row r="1146" hidden="1">
      <c r="A1146" s="241"/>
      <c r="B1146" s="241"/>
      <c r="C1146" s="241"/>
      <c r="D1146" s="241"/>
      <c r="E1146" s="241"/>
      <c r="F1146" s="241"/>
      <c r="G1146" s="241"/>
      <c r="H1146" s="241"/>
      <c r="I1146" s="241"/>
      <c r="J1146" s="241"/>
      <c r="K1146" s="241"/>
      <c r="L1146" s="242"/>
      <c r="M1146" s="241"/>
      <c r="N1146" s="241"/>
      <c r="O1146" s="241"/>
      <c r="P1146" s="241"/>
      <c r="Q1146" s="241"/>
      <c r="R1146" s="241"/>
      <c r="S1146" s="241"/>
      <c r="T1146" s="241"/>
      <c r="U1146" s="241"/>
      <c r="V1146" s="241"/>
      <c r="W1146" s="241"/>
      <c r="X1146" s="242"/>
      <c r="Y1146" s="241"/>
      <c r="Z1146" s="241"/>
      <c r="AA1146" s="241"/>
      <c r="AB1146" s="241"/>
      <c r="AC1146" s="241"/>
      <c r="AD1146" s="241"/>
      <c r="AE1146" s="241"/>
      <c r="AF1146" s="241"/>
      <c r="AG1146" s="241"/>
      <c r="AH1146" s="241"/>
      <c r="AI1146" s="241"/>
      <c r="AJ1146" s="242"/>
    </row>
    <row r="1147" hidden="1">
      <c r="A1147" s="241"/>
      <c r="B1147" s="241"/>
      <c r="C1147" s="241"/>
      <c r="D1147" s="241"/>
      <c r="E1147" s="241"/>
      <c r="F1147" s="241"/>
      <c r="G1147" s="241"/>
      <c r="H1147" s="241"/>
      <c r="I1147" s="241"/>
      <c r="J1147" s="241"/>
      <c r="K1147" s="241"/>
      <c r="L1147" s="242"/>
      <c r="M1147" s="241"/>
      <c r="N1147" s="241"/>
      <c r="O1147" s="241"/>
      <c r="P1147" s="241"/>
      <c r="Q1147" s="241"/>
      <c r="R1147" s="241"/>
      <c r="S1147" s="241"/>
      <c r="T1147" s="241"/>
      <c r="U1147" s="241"/>
      <c r="V1147" s="241"/>
      <c r="W1147" s="241"/>
      <c r="X1147" s="242"/>
      <c r="Y1147" s="241"/>
      <c r="Z1147" s="241"/>
      <c r="AA1147" s="241"/>
      <c r="AB1147" s="241"/>
      <c r="AC1147" s="241"/>
      <c r="AD1147" s="241"/>
      <c r="AE1147" s="241"/>
      <c r="AF1147" s="241"/>
      <c r="AG1147" s="241"/>
      <c r="AH1147" s="241"/>
      <c r="AI1147" s="241"/>
      <c r="AJ1147" s="242"/>
    </row>
    <row r="1148" hidden="1">
      <c r="A1148" s="241"/>
      <c r="B1148" s="241"/>
      <c r="C1148" s="241"/>
      <c r="D1148" s="241"/>
      <c r="E1148" s="241"/>
      <c r="F1148" s="241"/>
      <c r="G1148" s="241"/>
      <c r="H1148" s="241"/>
      <c r="I1148" s="241"/>
      <c r="J1148" s="241"/>
      <c r="K1148" s="241"/>
      <c r="L1148" s="242"/>
      <c r="M1148" s="241"/>
      <c r="N1148" s="241"/>
      <c r="O1148" s="241"/>
      <c r="P1148" s="241"/>
      <c r="Q1148" s="241"/>
      <c r="R1148" s="241"/>
      <c r="S1148" s="241"/>
      <c r="T1148" s="241"/>
      <c r="U1148" s="241"/>
      <c r="V1148" s="241"/>
      <c r="W1148" s="241"/>
      <c r="X1148" s="242"/>
      <c r="Y1148" s="241"/>
      <c r="Z1148" s="241"/>
      <c r="AA1148" s="241"/>
      <c r="AB1148" s="241"/>
      <c r="AC1148" s="241"/>
      <c r="AD1148" s="241"/>
      <c r="AE1148" s="241"/>
      <c r="AF1148" s="241"/>
      <c r="AG1148" s="241"/>
      <c r="AH1148" s="241"/>
      <c r="AI1148" s="241"/>
      <c r="AJ1148" s="242"/>
    </row>
    <row r="1149" hidden="1">
      <c r="A1149" s="241"/>
      <c r="B1149" s="241"/>
      <c r="C1149" s="241"/>
      <c r="D1149" s="241"/>
      <c r="E1149" s="241"/>
      <c r="F1149" s="241"/>
      <c r="G1149" s="241"/>
      <c r="H1149" s="241"/>
      <c r="I1149" s="241"/>
      <c r="J1149" s="241"/>
      <c r="K1149" s="241"/>
      <c r="L1149" s="242"/>
      <c r="M1149" s="241"/>
      <c r="N1149" s="241"/>
      <c r="O1149" s="241"/>
      <c r="P1149" s="241"/>
      <c r="Q1149" s="241"/>
      <c r="R1149" s="241"/>
      <c r="S1149" s="241"/>
      <c r="T1149" s="241"/>
      <c r="U1149" s="241"/>
      <c r="V1149" s="241"/>
      <c r="W1149" s="241"/>
      <c r="X1149" s="242"/>
      <c r="Y1149" s="241"/>
      <c r="Z1149" s="241"/>
      <c r="AA1149" s="241"/>
      <c r="AB1149" s="241"/>
      <c r="AC1149" s="241"/>
      <c r="AD1149" s="241"/>
      <c r="AE1149" s="241"/>
      <c r="AF1149" s="241"/>
      <c r="AG1149" s="241"/>
      <c r="AH1149" s="241"/>
      <c r="AI1149" s="241"/>
      <c r="AJ1149" s="242"/>
    </row>
    <row r="1150" hidden="1">
      <c r="A1150" s="241"/>
      <c r="B1150" s="241"/>
      <c r="C1150" s="241"/>
      <c r="D1150" s="241"/>
      <c r="E1150" s="241"/>
      <c r="F1150" s="241"/>
      <c r="G1150" s="241"/>
      <c r="H1150" s="241"/>
      <c r="I1150" s="241"/>
      <c r="J1150" s="241"/>
      <c r="K1150" s="241"/>
      <c r="L1150" s="242"/>
      <c r="M1150" s="241"/>
      <c r="N1150" s="241"/>
      <c r="O1150" s="241"/>
      <c r="P1150" s="241"/>
      <c r="Q1150" s="241"/>
      <c r="R1150" s="241"/>
      <c r="S1150" s="241"/>
      <c r="T1150" s="241"/>
      <c r="U1150" s="241"/>
      <c r="V1150" s="241"/>
      <c r="W1150" s="241"/>
      <c r="X1150" s="242"/>
      <c r="Y1150" s="241"/>
      <c r="Z1150" s="241"/>
      <c r="AA1150" s="241"/>
      <c r="AB1150" s="241"/>
      <c r="AC1150" s="241"/>
      <c r="AD1150" s="241"/>
      <c r="AE1150" s="241"/>
      <c r="AF1150" s="241"/>
      <c r="AG1150" s="241"/>
      <c r="AH1150" s="241"/>
      <c r="AI1150" s="241"/>
      <c r="AJ1150" s="242"/>
    </row>
    <row r="1151" hidden="1">
      <c r="A1151" s="241"/>
      <c r="B1151" s="241"/>
      <c r="C1151" s="241"/>
      <c r="D1151" s="241"/>
      <c r="E1151" s="241"/>
      <c r="F1151" s="241"/>
      <c r="G1151" s="241"/>
      <c r="H1151" s="241"/>
      <c r="I1151" s="241"/>
      <c r="J1151" s="241"/>
      <c r="K1151" s="241"/>
      <c r="L1151" s="242"/>
      <c r="M1151" s="241"/>
      <c r="N1151" s="241"/>
      <c r="O1151" s="241"/>
      <c r="P1151" s="241"/>
      <c r="Q1151" s="241"/>
      <c r="R1151" s="241"/>
      <c r="S1151" s="241"/>
      <c r="T1151" s="241"/>
      <c r="U1151" s="241"/>
      <c r="V1151" s="241"/>
      <c r="W1151" s="241"/>
      <c r="X1151" s="242"/>
      <c r="Y1151" s="241"/>
      <c r="Z1151" s="241"/>
      <c r="AA1151" s="241"/>
      <c r="AB1151" s="241"/>
      <c r="AC1151" s="241"/>
      <c r="AD1151" s="241"/>
      <c r="AE1151" s="241"/>
      <c r="AF1151" s="241"/>
      <c r="AG1151" s="241"/>
      <c r="AH1151" s="241"/>
      <c r="AI1151" s="241"/>
      <c r="AJ1151" s="242"/>
    </row>
    <row r="1152" hidden="1">
      <c r="A1152" s="241"/>
      <c r="B1152" s="241"/>
      <c r="C1152" s="241"/>
      <c r="D1152" s="241"/>
      <c r="E1152" s="241"/>
      <c r="F1152" s="241"/>
      <c r="G1152" s="241"/>
      <c r="H1152" s="241"/>
      <c r="I1152" s="241"/>
      <c r="J1152" s="241"/>
      <c r="K1152" s="241"/>
      <c r="L1152" s="242"/>
      <c r="M1152" s="241"/>
      <c r="N1152" s="241"/>
      <c r="O1152" s="241"/>
      <c r="P1152" s="241"/>
      <c r="Q1152" s="241"/>
      <c r="R1152" s="241"/>
      <c r="S1152" s="241"/>
      <c r="T1152" s="241"/>
      <c r="U1152" s="241"/>
      <c r="V1152" s="241"/>
      <c r="W1152" s="241"/>
      <c r="X1152" s="242"/>
      <c r="Y1152" s="241"/>
      <c r="Z1152" s="241"/>
      <c r="AA1152" s="241"/>
      <c r="AB1152" s="241"/>
      <c r="AC1152" s="241"/>
      <c r="AD1152" s="241"/>
      <c r="AE1152" s="241"/>
      <c r="AF1152" s="241"/>
      <c r="AG1152" s="241"/>
      <c r="AH1152" s="241"/>
      <c r="AI1152" s="241"/>
      <c r="AJ1152" s="242"/>
    </row>
    <row r="1153" hidden="1">
      <c r="A1153" s="241"/>
      <c r="B1153" s="241"/>
      <c r="C1153" s="241"/>
      <c r="D1153" s="241"/>
      <c r="E1153" s="241"/>
      <c r="F1153" s="241"/>
      <c r="G1153" s="241"/>
      <c r="H1153" s="241"/>
      <c r="I1153" s="241"/>
      <c r="J1153" s="241"/>
      <c r="K1153" s="241"/>
      <c r="L1153" s="242"/>
      <c r="M1153" s="241"/>
      <c r="N1153" s="241"/>
      <c r="O1153" s="241"/>
      <c r="P1153" s="241"/>
      <c r="Q1153" s="241"/>
      <c r="R1153" s="241"/>
      <c r="S1153" s="241"/>
      <c r="T1153" s="241"/>
      <c r="U1153" s="241"/>
      <c r="V1153" s="241"/>
      <c r="W1153" s="241"/>
      <c r="X1153" s="242"/>
      <c r="Y1153" s="241"/>
      <c r="Z1153" s="241"/>
      <c r="AA1153" s="241"/>
      <c r="AB1153" s="241"/>
      <c r="AC1153" s="241"/>
      <c r="AD1153" s="241"/>
      <c r="AE1153" s="241"/>
      <c r="AF1153" s="241"/>
      <c r="AG1153" s="241"/>
      <c r="AH1153" s="241"/>
      <c r="AI1153" s="241"/>
      <c r="AJ1153" s="242"/>
    </row>
    <row r="1154" hidden="1">
      <c r="A1154" s="241"/>
      <c r="B1154" s="241"/>
      <c r="C1154" s="241"/>
      <c r="D1154" s="241"/>
      <c r="E1154" s="241"/>
      <c r="F1154" s="241"/>
      <c r="G1154" s="241"/>
      <c r="H1154" s="241"/>
      <c r="I1154" s="241"/>
      <c r="J1154" s="241"/>
      <c r="K1154" s="241"/>
      <c r="L1154" s="242"/>
      <c r="M1154" s="241"/>
      <c r="N1154" s="241"/>
      <c r="O1154" s="241"/>
      <c r="P1154" s="241"/>
      <c r="Q1154" s="241"/>
      <c r="R1154" s="241"/>
      <c r="S1154" s="241"/>
      <c r="T1154" s="241"/>
      <c r="U1154" s="241"/>
      <c r="V1154" s="241"/>
      <c r="W1154" s="241"/>
      <c r="X1154" s="242"/>
      <c r="Y1154" s="241"/>
      <c r="Z1154" s="241"/>
      <c r="AA1154" s="241"/>
      <c r="AB1154" s="241"/>
      <c r="AC1154" s="241"/>
      <c r="AD1154" s="241"/>
      <c r="AE1154" s="241"/>
      <c r="AF1154" s="241"/>
      <c r="AG1154" s="241"/>
      <c r="AH1154" s="241"/>
      <c r="AI1154" s="241"/>
      <c r="AJ1154" s="242"/>
    </row>
    <row r="1155" hidden="1">
      <c r="A1155" s="241"/>
      <c r="B1155" s="241"/>
      <c r="C1155" s="241"/>
      <c r="D1155" s="241"/>
      <c r="E1155" s="241"/>
      <c r="F1155" s="241"/>
      <c r="G1155" s="241"/>
      <c r="H1155" s="241"/>
      <c r="I1155" s="241"/>
      <c r="J1155" s="241"/>
      <c r="K1155" s="241"/>
      <c r="L1155" s="242"/>
      <c r="M1155" s="241"/>
      <c r="N1155" s="241"/>
      <c r="O1155" s="241"/>
      <c r="P1155" s="241"/>
      <c r="Q1155" s="241"/>
      <c r="R1155" s="241"/>
      <c r="S1155" s="241"/>
      <c r="T1155" s="241"/>
      <c r="U1155" s="241"/>
      <c r="V1155" s="241"/>
      <c r="W1155" s="241"/>
      <c r="X1155" s="242"/>
      <c r="Y1155" s="241"/>
      <c r="Z1155" s="241"/>
      <c r="AA1155" s="241"/>
      <c r="AB1155" s="241"/>
      <c r="AC1155" s="241"/>
      <c r="AD1155" s="241"/>
      <c r="AE1155" s="241"/>
      <c r="AF1155" s="241"/>
      <c r="AG1155" s="241"/>
      <c r="AH1155" s="241"/>
      <c r="AI1155" s="241"/>
      <c r="AJ1155" s="242"/>
    </row>
    <row r="1156" hidden="1">
      <c r="A1156" s="241"/>
      <c r="B1156" s="241"/>
      <c r="C1156" s="241"/>
      <c r="D1156" s="241"/>
      <c r="E1156" s="241"/>
      <c r="F1156" s="241"/>
      <c r="G1156" s="241"/>
      <c r="H1156" s="241"/>
      <c r="I1156" s="241"/>
      <c r="J1156" s="241"/>
      <c r="K1156" s="241"/>
      <c r="L1156" s="242"/>
      <c r="M1156" s="241"/>
      <c r="N1156" s="241"/>
      <c r="O1156" s="241"/>
      <c r="P1156" s="241"/>
      <c r="Q1156" s="241"/>
      <c r="R1156" s="241"/>
      <c r="S1156" s="241"/>
      <c r="T1156" s="241"/>
      <c r="U1156" s="241"/>
      <c r="V1156" s="241"/>
      <c r="W1156" s="241"/>
      <c r="X1156" s="242"/>
      <c r="Y1156" s="241"/>
      <c r="Z1156" s="241"/>
      <c r="AA1156" s="241"/>
      <c r="AB1156" s="241"/>
      <c r="AC1156" s="241"/>
      <c r="AD1156" s="241"/>
      <c r="AE1156" s="241"/>
      <c r="AF1156" s="241"/>
      <c r="AG1156" s="241"/>
      <c r="AH1156" s="241"/>
      <c r="AI1156" s="241"/>
      <c r="AJ1156" s="242"/>
    </row>
    <row r="1157" hidden="1">
      <c r="A1157" s="241"/>
      <c r="B1157" s="241"/>
      <c r="C1157" s="241"/>
      <c r="D1157" s="241"/>
      <c r="E1157" s="241"/>
      <c r="F1157" s="241"/>
      <c r="G1157" s="241"/>
      <c r="H1157" s="241"/>
      <c r="I1157" s="241"/>
      <c r="J1157" s="241"/>
      <c r="K1157" s="241"/>
      <c r="L1157" s="242"/>
      <c r="M1157" s="241"/>
      <c r="N1157" s="241"/>
      <c r="O1157" s="241"/>
      <c r="P1157" s="241"/>
      <c r="Q1157" s="241"/>
      <c r="R1157" s="241"/>
      <c r="S1157" s="241"/>
      <c r="T1157" s="241"/>
      <c r="U1157" s="241"/>
      <c r="V1157" s="241"/>
      <c r="W1157" s="241"/>
      <c r="X1157" s="242"/>
      <c r="Y1157" s="241"/>
      <c r="Z1157" s="241"/>
      <c r="AA1157" s="241"/>
      <c r="AB1157" s="241"/>
      <c r="AC1157" s="241"/>
      <c r="AD1157" s="241"/>
      <c r="AE1157" s="241"/>
      <c r="AF1157" s="241"/>
      <c r="AG1157" s="241"/>
      <c r="AH1157" s="241"/>
      <c r="AI1157" s="241"/>
      <c r="AJ1157" s="242"/>
    </row>
    <row r="1158" hidden="1">
      <c r="A1158" s="241"/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2"/>
      <c r="M1158" s="241"/>
      <c r="N1158" s="241"/>
      <c r="O1158" s="241"/>
      <c r="P1158" s="241"/>
      <c r="Q1158" s="241"/>
      <c r="R1158" s="241"/>
      <c r="S1158" s="241"/>
      <c r="T1158" s="241"/>
      <c r="U1158" s="241"/>
      <c r="V1158" s="241"/>
      <c r="W1158" s="241"/>
      <c r="X1158" s="242"/>
      <c r="Y1158" s="241"/>
      <c r="Z1158" s="241"/>
      <c r="AA1158" s="241"/>
      <c r="AB1158" s="241"/>
      <c r="AC1158" s="241"/>
      <c r="AD1158" s="241"/>
      <c r="AE1158" s="241"/>
      <c r="AF1158" s="241"/>
      <c r="AG1158" s="241"/>
      <c r="AH1158" s="241"/>
      <c r="AI1158" s="241"/>
      <c r="AJ1158" s="242"/>
    </row>
    <row r="1159" hidden="1">
      <c r="A1159" s="241"/>
      <c r="B1159" s="241"/>
      <c r="C1159" s="241"/>
      <c r="D1159" s="241"/>
      <c r="E1159" s="241"/>
      <c r="F1159" s="241"/>
      <c r="G1159" s="241"/>
      <c r="H1159" s="241"/>
      <c r="I1159" s="241"/>
      <c r="J1159" s="241"/>
      <c r="K1159" s="241"/>
      <c r="L1159" s="242"/>
      <c r="M1159" s="241"/>
      <c r="N1159" s="241"/>
      <c r="O1159" s="241"/>
      <c r="P1159" s="241"/>
      <c r="Q1159" s="241"/>
      <c r="R1159" s="241"/>
      <c r="S1159" s="241"/>
      <c r="T1159" s="241"/>
      <c r="U1159" s="241"/>
      <c r="V1159" s="241"/>
      <c r="W1159" s="241"/>
      <c r="X1159" s="242"/>
      <c r="Y1159" s="241"/>
      <c r="Z1159" s="241"/>
      <c r="AA1159" s="241"/>
      <c r="AB1159" s="241"/>
      <c r="AC1159" s="241"/>
      <c r="AD1159" s="241"/>
      <c r="AE1159" s="241"/>
      <c r="AF1159" s="241"/>
      <c r="AG1159" s="241"/>
      <c r="AH1159" s="241"/>
      <c r="AI1159" s="241"/>
      <c r="AJ1159" s="242"/>
    </row>
    <row r="1160" hidden="1">
      <c r="A1160" s="241"/>
      <c r="B1160" s="241"/>
      <c r="C1160" s="241"/>
      <c r="D1160" s="241"/>
      <c r="E1160" s="241"/>
      <c r="F1160" s="241"/>
      <c r="G1160" s="241"/>
      <c r="H1160" s="241"/>
      <c r="I1160" s="241"/>
      <c r="J1160" s="241"/>
      <c r="K1160" s="241"/>
      <c r="L1160" s="242"/>
      <c r="M1160" s="241"/>
      <c r="N1160" s="241"/>
      <c r="O1160" s="241"/>
      <c r="P1160" s="241"/>
      <c r="Q1160" s="241"/>
      <c r="R1160" s="241"/>
      <c r="S1160" s="241"/>
      <c r="T1160" s="241"/>
      <c r="U1160" s="241"/>
      <c r="V1160" s="241"/>
      <c r="W1160" s="241"/>
      <c r="X1160" s="242"/>
      <c r="Y1160" s="241"/>
      <c r="Z1160" s="241"/>
      <c r="AA1160" s="241"/>
      <c r="AB1160" s="241"/>
      <c r="AC1160" s="241"/>
      <c r="AD1160" s="241"/>
      <c r="AE1160" s="241"/>
      <c r="AF1160" s="241"/>
      <c r="AG1160" s="241"/>
      <c r="AH1160" s="241"/>
      <c r="AI1160" s="241"/>
      <c r="AJ1160" s="242"/>
    </row>
    <row r="1161" hidden="1">
      <c r="A1161" s="241"/>
      <c r="B1161" s="241"/>
      <c r="C1161" s="241"/>
      <c r="D1161" s="241"/>
      <c r="E1161" s="241"/>
      <c r="F1161" s="241"/>
      <c r="G1161" s="241"/>
      <c r="H1161" s="241"/>
      <c r="I1161" s="241"/>
      <c r="J1161" s="241"/>
      <c r="K1161" s="241"/>
      <c r="L1161" s="242"/>
      <c r="M1161" s="241"/>
      <c r="N1161" s="241"/>
      <c r="O1161" s="241"/>
      <c r="P1161" s="241"/>
      <c r="Q1161" s="241"/>
      <c r="R1161" s="241"/>
      <c r="S1161" s="241"/>
      <c r="T1161" s="241"/>
      <c r="U1161" s="241"/>
      <c r="V1161" s="241"/>
      <c r="W1161" s="241"/>
      <c r="X1161" s="242"/>
      <c r="Y1161" s="241"/>
      <c r="Z1161" s="241"/>
      <c r="AA1161" s="241"/>
      <c r="AB1161" s="241"/>
      <c r="AC1161" s="241"/>
      <c r="AD1161" s="241"/>
      <c r="AE1161" s="241"/>
      <c r="AF1161" s="241"/>
      <c r="AG1161" s="241"/>
      <c r="AH1161" s="241"/>
      <c r="AI1161" s="241"/>
      <c r="AJ1161" s="242"/>
    </row>
    <row r="1162" hidden="1">
      <c r="A1162" s="241"/>
      <c r="B1162" s="241"/>
      <c r="C1162" s="241"/>
      <c r="D1162" s="241"/>
      <c r="E1162" s="241"/>
      <c r="F1162" s="241"/>
      <c r="G1162" s="241"/>
      <c r="H1162" s="241"/>
      <c r="I1162" s="241"/>
      <c r="J1162" s="241"/>
      <c r="K1162" s="241"/>
      <c r="L1162" s="242"/>
      <c r="M1162" s="241"/>
      <c r="N1162" s="241"/>
      <c r="O1162" s="241"/>
      <c r="P1162" s="241"/>
      <c r="Q1162" s="241"/>
      <c r="R1162" s="241"/>
      <c r="S1162" s="241"/>
      <c r="T1162" s="241"/>
      <c r="U1162" s="241"/>
      <c r="V1162" s="241"/>
      <c r="W1162" s="241"/>
      <c r="X1162" s="242"/>
      <c r="Y1162" s="241"/>
      <c r="Z1162" s="241"/>
      <c r="AA1162" s="241"/>
      <c r="AB1162" s="241"/>
      <c r="AC1162" s="241"/>
      <c r="AD1162" s="241"/>
      <c r="AE1162" s="241"/>
      <c r="AF1162" s="241"/>
      <c r="AG1162" s="241"/>
      <c r="AH1162" s="241"/>
      <c r="AI1162" s="241"/>
      <c r="AJ1162" s="242"/>
    </row>
    <row r="1163" hidden="1">
      <c r="A1163" s="241"/>
      <c r="B1163" s="241"/>
      <c r="C1163" s="241"/>
      <c r="D1163" s="241"/>
      <c r="E1163" s="241"/>
      <c r="F1163" s="241"/>
      <c r="G1163" s="241"/>
      <c r="H1163" s="241"/>
      <c r="I1163" s="241"/>
      <c r="J1163" s="241"/>
      <c r="K1163" s="241"/>
      <c r="L1163" s="242"/>
      <c r="M1163" s="241"/>
      <c r="N1163" s="241"/>
      <c r="O1163" s="241"/>
      <c r="P1163" s="241"/>
      <c r="Q1163" s="241"/>
      <c r="R1163" s="241"/>
      <c r="S1163" s="241"/>
      <c r="T1163" s="241"/>
      <c r="U1163" s="241"/>
      <c r="V1163" s="241"/>
      <c r="W1163" s="241"/>
      <c r="X1163" s="242"/>
      <c r="Y1163" s="241"/>
      <c r="Z1163" s="241"/>
      <c r="AA1163" s="241"/>
      <c r="AB1163" s="241"/>
      <c r="AC1163" s="241"/>
      <c r="AD1163" s="241"/>
      <c r="AE1163" s="241"/>
      <c r="AF1163" s="241"/>
      <c r="AG1163" s="241"/>
      <c r="AH1163" s="241"/>
      <c r="AI1163" s="241"/>
      <c r="AJ1163" s="242"/>
    </row>
    <row r="1164" hidden="1">
      <c r="A1164" s="241"/>
      <c r="B1164" s="241"/>
      <c r="C1164" s="241"/>
      <c r="D1164" s="241"/>
      <c r="E1164" s="241"/>
      <c r="F1164" s="241"/>
      <c r="G1164" s="241"/>
      <c r="H1164" s="241"/>
      <c r="I1164" s="241"/>
      <c r="J1164" s="241"/>
      <c r="K1164" s="241"/>
      <c r="L1164" s="242"/>
      <c r="M1164" s="241"/>
      <c r="N1164" s="241"/>
      <c r="O1164" s="241"/>
      <c r="P1164" s="241"/>
      <c r="Q1164" s="241"/>
      <c r="R1164" s="241"/>
      <c r="S1164" s="241"/>
      <c r="T1164" s="241"/>
      <c r="U1164" s="241"/>
      <c r="V1164" s="241"/>
      <c r="W1164" s="241"/>
      <c r="X1164" s="242"/>
      <c r="Y1164" s="241"/>
      <c r="Z1164" s="241"/>
      <c r="AA1164" s="241"/>
      <c r="AB1164" s="241"/>
      <c r="AC1164" s="241"/>
      <c r="AD1164" s="241"/>
      <c r="AE1164" s="241"/>
      <c r="AF1164" s="241"/>
      <c r="AG1164" s="241"/>
      <c r="AH1164" s="241"/>
      <c r="AI1164" s="241"/>
      <c r="AJ1164" s="242"/>
    </row>
    <row r="1165" hidden="1">
      <c r="A1165" s="241"/>
      <c r="B1165" s="241"/>
      <c r="C1165" s="241"/>
      <c r="D1165" s="241"/>
      <c r="E1165" s="241"/>
      <c r="F1165" s="241"/>
      <c r="G1165" s="241"/>
      <c r="H1165" s="241"/>
      <c r="I1165" s="241"/>
      <c r="J1165" s="241"/>
      <c r="K1165" s="241"/>
      <c r="L1165" s="242"/>
      <c r="M1165" s="241"/>
      <c r="N1165" s="241"/>
      <c r="O1165" s="241"/>
      <c r="P1165" s="241"/>
      <c r="Q1165" s="241"/>
      <c r="R1165" s="241"/>
      <c r="S1165" s="241"/>
      <c r="T1165" s="241"/>
      <c r="U1165" s="241"/>
      <c r="V1165" s="241"/>
      <c r="W1165" s="241"/>
      <c r="X1165" s="242"/>
      <c r="Y1165" s="241"/>
      <c r="Z1165" s="241"/>
      <c r="AA1165" s="241"/>
      <c r="AB1165" s="241"/>
      <c r="AC1165" s="241"/>
      <c r="AD1165" s="241"/>
      <c r="AE1165" s="241"/>
      <c r="AF1165" s="241"/>
      <c r="AG1165" s="241"/>
      <c r="AH1165" s="241"/>
      <c r="AI1165" s="241"/>
      <c r="AJ1165" s="242"/>
    </row>
    <row r="1166" hidden="1">
      <c r="A1166" s="241"/>
      <c r="B1166" s="241"/>
      <c r="C1166" s="241"/>
      <c r="D1166" s="241"/>
      <c r="E1166" s="241"/>
      <c r="F1166" s="241"/>
      <c r="G1166" s="241"/>
      <c r="H1166" s="241"/>
      <c r="I1166" s="241"/>
      <c r="J1166" s="241"/>
      <c r="K1166" s="241"/>
      <c r="L1166" s="242"/>
      <c r="M1166" s="241"/>
      <c r="N1166" s="241"/>
      <c r="O1166" s="241"/>
      <c r="P1166" s="241"/>
      <c r="Q1166" s="241"/>
      <c r="R1166" s="241"/>
      <c r="S1166" s="241"/>
      <c r="T1166" s="241"/>
      <c r="U1166" s="241"/>
      <c r="V1166" s="241"/>
      <c r="W1166" s="241"/>
      <c r="X1166" s="242"/>
      <c r="Y1166" s="241"/>
      <c r="Z1166" s="241"/>
      <c r="AA1166" s="241"/>
      <c r="AB1166" s="241"/>
      <c r="AC1166" s="241"/>
      <c r="AD1166" s="241"/>
      <c r="AE1166" s="241"/>
      <c r="AF1166" s="241"/>
      <c r="AG1166" s="241"/>
      <c r="AH1166" s="241"/>
      <c r="AI1166" s="241"/>
      <c r="AJ1166" s="242"/>
    </row>
    <row r="1167" hidden="1">
      <c r="A1167" s="241"/>
      <c r="B1167" s="241"/>
      <c r="C1167" s="241"/>
      <c r="D1167" s="241"/>
      <c r="E1167" s="241"/>
      <c r="F1167" s="241"/>
      <c r="G1167" s="241"/>
      <c r="H1167" s="241"/>
      <c r="I1167" s="241"/>
      <c r="J1167" s="241"/>
      <c r="K1167" s="241"/>
      <c r="L1167" s="242"/>
      <c r="M1167" s="241"/>
      <c r="N1167" s="241"/>
      <c r="O1167" s="241"/>
      <c r="P1167" s="241"/>
      <c r="Q1167" s="241"/>
      <c r="R1167" s="241"/>
      <c r="S1167" s="241"/>
      <c r="T1167" s="241"/>
      <c r="U1167" s="241"/>
      <c r="V1167" s="241"/>
      <c r="W1167" s="241"/>
      <c r="X1167" s="242"/>
      <c r="Y1167" s="241"/>
      <c r="Z1167" s="241"/>
      <c r="AA1167" s="241"/>
      <c r="AB1167" s="241"/>
      <c r="AC1167" s="241"/>
      <c r="AD1167" s="241"/>
      <c r="AE1167" s="241"/>
      <c r="AF1167" s="241"/>
      <c r="AG1167" s="241"/>
      <c r="AH1167" s="241"/>
      <c r="AI1167" s="241"/>
      <c r="AJ1167" s="242"/>
    </row>
    <row r="1168" hidden="1">
      <c r="A1168" s="241"/>
      <c r="B1168" s="241"/>
      <c r="C1168" s="241"/>
      <c r="D1168" s="241"/>
      <c r="E1168" s="241"/>
      <c r="F1168" s="241"/>
      <c r="G1168" s="241"/>
      <c r="H1168" s="241"/>
      <c r="I1168" s="241"/>
      <c r="J1168" s="241"/>
      <c r="K1168" s="241"/>
      <c r="L1168" s="242"/>
      <c r="M1168" s="241"/>
      <c r="N1168" s="241"/>
      <c r="O1168" s="241"/>
      <c r="P1168" s="241"/>
      <c r="Q1168" s="241"/>
      <c r="R1168" s="241"/>
      <c r="S1168" s="241"/>
      <c r="T1168" s="241"/>
      <c r="U1168" s="241"/>
      <c r="V1168" s="241"/>
      <c r="W1168" s="241"/>
      <c r="X1168" s="242"/>
      <c r="Y1168" s="241"/>
      <c r="Z1168" s="241"/>
      <c r="AA1168" s="241"/>
      <c r="AB1168" s="241"/>
      <c r="AC1168" s="241"/>
      <c r="AD1168" s="241"/>
      <c r="AE1168" s="241"/>
      <c r="AF1168" s="241"/>
      <c r="AG1168" s="241"/>
      <c r="AH1168" s="241"/>
      <c r="AI1168" s="241"/>
      <c r="AJ1168" s="242"/>
    </row>
    <row r="1169" hidden="1">
      <c r="A1169" s="241"/>
      <c r="B1169" s="241"/>
      <c r="C1169" s="241"/>
      <c r="D1169" s="241"/>
      <c r="E1169" s="241"/>
      <c r="F1169" s="241"/>
      <c r="G1169" s="241"/>
      <c r="H1169" s="241"/>
      <c r="I1169" s="241"/>
      <c r="J1169" s="241"/>
      <c r="K1169" s="241"/>
      <c r="L1169" s="242"/>
      <c r="M1169" s="241"/>
      <c r="N1169" s="241"/>
      <c r="O1169" s="241"/>
      <c r="P1169" s="241"/>
      <c r="Q1169" s="241"/>
      <c r="R1169" s="241"/>
      <c r="S1169" s="241"/>
      <c r="T1169" s="241"/>
      <c r="U1169" s="241"/>
      <c r="V1169" s="241"/>
      <c r="W1169" s="241"/>
      <c r="X1169" s="242"/>
      <c r="Y1169" s="241"/>
      <c r="Z1169" s="241"/>
      <c r="AA1169" s="241"/>
      <c r="AB1169" s="241"/>
      <c r="AC1169" s="241"/>
      <c r="AD1169" s="241"/>
      <c r="AE1169" s="241"/>
      <c r="AF1169" s="241"/>
      <c r="AG1169" s="241"/>
      <c r="AH1169" s="241"/>
      <c r="AI1169" s="241"/>
      <c r="AJ1169" s="242"/>
    </row>
    <row r="1170" hidden="1">
      <c r="A1170" s="241"/>
      <c r="B1170" s="241"/>
      <c r="C1170" s="241"/>
      <c r="D1170" s="241"/>
      <c r="E1170" s="241"/>
      <c r="F1170" s="241"/>
      <c r="G1170" s="241"/>
      <c r="H1170" s="241"/>
      <c r="I1170" s="241"/>
      <c r="J1170" s="241"/>
      <c r="K1170" s="241"/>
      <c r="L1170" s="242"/>
      <c r="M1170" s="241"/>
      <c r="N1170" s="241"/>
      <c r="O1170" s="241"/>
      <c r="P1170" s="241"/>
      <c r="Q1170" s="241"/>
      <c r="R1170" s="241"/>
      <c r="S1170" s="241"/>
      <c r="T1170" s="241"/>
      <c r="U1170" s="241"/>
      <c r="V1170" s="241"/>
      <c r="W1170" s="241"/>
      <c r="X1170" s="242"/>
      <c r="Y1170" s="241"/>
      <c r="Z1170" s="241"/>
      <c r="AA1170" s="241"/>
      <c r="AB1170" s="241"/>
      <c r="AC1170" s="241"/>
      <c r="AD1170" s="241"/>
      <c r="AE1170" s="241"/>
      <c r="AF1170" s="241"/>
      <c r="AG1170" s="241"/>
      <c r="AH1170" s="241"/>
      <c r="AI1170" s="241"/>
      <c r="AJ1170" s="242"/>
    </row>
    <row r="1171" hidden="1">
      <c r="A1171" s="241"/>
      <c r="B1171" s="241"/>
      <c r="C1171" s="241"/>
      <c r="D1171" s="241"/>
      <c r="E1171" s="241"/>
      <c r="F1171" s="241"/>
      <c r="G1171" s="241"/>
      <c r="H1171" s="241"/>
      <c r="I1171" s="241"/>
      <c r="J1171" s="241"/>
      <c r="K1171" s="241"/>
      <c r="L1171" s="242"/>
      <c r="M1171" s="241"/>
      <c r="N1171" s="241"/>
      <c r="O1171" s="241"/>
      <c r="P1171" s="241"/>
      <c r="Q1171" s="241"/>
      <c r="R1171" s="241"/>
      <c r="S1171" s="241"/>
      <c r="T1171" s="241"/>
      <c r="U1171" s="241"/>
      <c r="V1171" s="241"/>
      <c r="W1171" s="241"/>
      <c r="X1171" s="242"/>
      <c r="Y1171" s="241"/>
      <c r="Z1171" s="241"/>
      <c r="AA1171" s="241"/>
      <c r="AB1171" s="241"/>
      <c r="AC1171" s="241"/>
      <c r="AD1171" s="241"/>
      <c r="AE1171" s="241"/>
      <c r="AF1171" s="241"/>
      <c r="AG1171" s="241"/>
      <c r="AH1171" s="241"/>
      <c r="AI1171" s="241"/>
      <c r="AJ1171" s="242"/>
    </row>
    <row r="1172" hidden="1">
      <c r="A1172" s="241"/>
      <c r="B1172" s="241"/>
      <c r="C1172" s="241"/>
      <c r="D1172" s="241"/>
      <c r="E1172" s="241"/>
      <c r="F1172" s="241"/>
      <c r="G1172" s="241"/>
      <c r="H1172" s="241"/>
      <c r="I1172" s="241"/>
      <c r="J1172" s="241"/>
      <c r="K1172" s="241"/>
      <c r="L1172" s="242"/>
      <c r="M1172" s="241"/>
      <c r="N1172" s="241"/>
      <c r="O1172" s="241"/>
      <c r="P1172" s="241"/>
      <c r="Q1172" s="241"/>
      <c r="R1172" s="241"/>
      <c r="S1172" s="241"/>
      <c r="T1172" s="241"/>
      <c r="U1172" s="241"/>
      <c r="V1172" s="241"/>
      <c r="W1172" s="241"/>
      <c r="X1172" s="242"/>
      <c r="Y1172" s="241"/>
      <c r="Z1172" s="241"/>
      <c r="AA1172" s="241"/>
      <c r="AB1172" s="241"/>
      <c r="AC1172" s="241"/>
      <c r="AD1172" s="241"/>
      <c r="AE1172" s="241"/>
      <c r="AF1172" s="241"/>
      <c r="AG1172" s="241"/>
      <c r="AH1172" s="241"/>
      <c r="AI1172" s="241"/>
      <c r="AJ1172" s="242"/>
    </row>
    <row r="1173" hidden="1">
      <c r="A1173" s="241"/>
      <c r="B1173" s="241"/>
      <c r="C1173" s="241"/>
      <c r="D1173" s="241"/>
      <c r="E1173" s="241"/>
      <c r="F1173" s="241"/>
      <c r="G1173" s="241"/>
      <c r="H1173" s="241"/>
      <c r="I1173" s="241"/>
      <c r="J1173" s="241"/>
      <c r="K1173" s="241"/>
      <c r="L1173" s="242"/>
      <c r="M1173" s="241"/>
      <c r="N1173" s="241"/>
      <c r="O1173" s="241"/>
      <c r="P1173" s="241"/>
      <c r="Q1173" s="241"/>
      <c r="R1173" s="241"/>
      <c r="S1173" s="241"/>
      <c r="T1173" s="241"/>
      <c r="U1173" s="241"/>
      <c r="V1173" s="241"/>
      <c r="W1173" s="241"/>
      <c r="X1173" s="242"/>
      <c r="Y1173" s="241"/>
      <c r="Z1173" s="241"/>
      <c r="AA1173" s="241"/>
      <c r="AB1173" s="241"/>
      <c r="AC1173" s="241"/>
      <c r="AD1173" s="241"/>
      <c r="AE1173" s="241"/>
      <c r="AF1173" s="241"/>
      <c r="AG1173" s="241"/>
      <c r="AH1173" s="241"/>
      <c r="AI1173" s="241"/>
      <c r="AJ1173" s="242"/>
    </row>
    <row r="1174" hidden="1">
      <c r="A1174" s="241"/>
      <c r="B1174" s="241"/>
      <c r="C1174" s="241"/>
      <c r="D1174" s="241"/>
      <c r="E1174" s="241"/>
      <c r="F1174" s="241"/>
      <c r="G1174" s="241"/>
      <c r="H1174" s="241"/>
      <c r="I1174" s="241"/>
      <c r="J1174" s="241"/>
      <c r="K1174" s="241"/>
      <c r="L1174" s="242"/>
      <c r="M1174" s="241"/>
      <c r="N1174" s="241"/>
      <c r="O1174" s="241"/>
      <c r="P1174" s="241"/>
      <c r="Q1174" s="241"/>
      <c r="R1174" s="241"/>
      <c r="S1174" s="241"/>
      <c r="T1174" s="241"/>
      <c r="U1174" s="241"/>
      <c r="V1174" s="241"/>
      <c r="W1174" s="241"/>
      <c r="X1174" s="242"/>
      <c r="Y1174" s="241"/>
      <c r="Z1174" s="241"/>
      <c r="AA1174" s="241"/>
      <c r="AB1174" s="241"/>
      <c r="AC1174" s="241"/>
      <c r="AD1174" s="241"/>
      <c r="AE1174" s="241"/>
      <c r="AF1174" s="241"/>
      <c r="AG1174" s="241"/>
      <c r="AH1174" s="241"/>
      <c r="AI1174" s="241"/>
      <c r="AJ1174" s="242"/>
    </row>
    <row r="1175" hidden="1">
      <c r="A1175" s="241"/>
      <c r="B1175" s="241"/>
      <c r="C1175" s="241"/>
      <c r="D1175" s="241"/>
      <c r="E1175" s="241"/>
      <c r="F1175" s="241"/>
      <c r="G1175" s="241"/>
      <c r="H1175" s="241"/>
      <c r="I1175" s="241"/>
      <c r="J1175" s="241"/>
      <c r="K1175" s="241"/>
      <c r="L1175" s="242"/>
      <c r="M1175" s="241"/>
      <c r="N1175" s="241"/>
      <c r="O1175" s="241"/>
      <c r="P1175" s="241"/>
      <c r="Q1175" s="241"/>
      <c r="R1175" s="241"/>
      <c r="S1175" s="241"/>
      <c r="T1175" s="241"/>
      <c r="U1175" s="241"/>
      <c r="V1175" s="241"/>
      <c r="W1175" s="241"/>
      <c r="X1175" s="242"/>
      <c r="Y1175" s="241"/>
      <c r="Z1175" s="241"/>
      <c r="AA1175" s="241"/>
      <c r="AB1175" s="241"/>
      <c r="AC1175" s="241"/>
      <c r="AD1175" s="241"/>
      <c r="AE1175" s="241"/>
      <c r="AF1175" s="241"/>
      <c r="AG1175" s="241"/>
      <c r="AH1175" s="241"/>
      <c r="AI1175" s="241"/>
      <c r="AJ1175" s="242"/>
    </row>
    <row r="1176" hidden="1">
      <c r="A1176" s="241"/>
      <c r="B1176" s="241"/>
      <c r="C1176" s="241"/>
      <c r="D1176" s="241"/>
      <c r="E1176" s="241"/>
      <c r="F1176" s="241"/>
      <c r="G1176" s="241"/>
      <c r="H1176" s="241"/>
      <c r="I1176" s="241"/>
      <c r="J1176" s="241"/>
      <c r="K1176" s="241"/>
      <c r="L1176" s="242"/>
      <c r="M1176" s="241"/>
      <c r="N1176" s="241"/>
      <c r="O1176" s="241"/>
      <c r="P1176" s="241"/>
      <c r="Q1176" s="241"/>
      <c r="R1176" s="241"/>
      <c r="S1176" s="241"/>
      <c r="T1176" s="241"/>
      <c r="U1176" s="241"/>
      <c r="V1176" s="241"/>
      <c r="W1176" s="241"/>
      <c r="X1176" s="242"/>
      <c r="Y1176" s="241"/>
      <c r="Z1176" s="241"/>
      <c r="AA1176" s="241"/>
      <c r="AB1176" s="241"/>
      <c r="AC1176" s="241"/>
      <c r="AD1176" s="241"/>
      <c r="AE1176" s="241"/>
      <c r="AF1176" s="241"/>
      <c r="AG1176" s="241"/>
      <c r="AH1176" s="241"/>
      <c r="AI1176" s="241"/>
      <c r="AJ1176" s="242"/>
    </row>
    <row r="1177" hidden="1">
      <c r="A1177" s="241"/>
      <c r="B1177" s="241"/>
      <c r="C1177" s="241"/>
      <c r="D1177" s="241"/>
      <c r="E1177" s="241"/>
      <c r="F1177" s="241"/>
      <c r="G1177" s="241"/>
      <c r="H1177" s="241"/>
      <c r="I1177" s="241"/>
      <c r="J1177" s="241"/>
      <c r="K1177" s="241"/>
      <c r="L1177" s="242"/>
      <c r="M1177" s="241"/>
      <c r="N1177" s="241"/>
      <c r="O1177" s="241"/>
      <c r="P1177" s="241"/>
      <c r="Q1177" s="241"/>
      <c r="R1177" s="241"/>
      <c r="S1177" s="241"/>
      <c r="T1177" s="241"/>
      <c r="U1177" s="241"/>
      <c r="V1177" s="241"/>
      <c r="W1177" s="241"/>
      <c r="X1177" s="242"/>
      <c r="Y1177" s="241"/>
      <c r="Z1177" s="241"/>
      <c r="AA1177" s="241"/>
      <c r="AB1177" s="241"/>
      <c r="AC1177" s="241"/>
      <c r="AD1177" s="241"/>
      <c r="AE1177" s="241"/>
      <c r="AF1177" s="241"/>
      <c r="AG1177" s="241"/>
      <c r="AH1177" s="241"/>
      <c r="AI1177" s="241"/>
      <c r="AJ1177" s="242"/>
    </row>
    <row r="1178" hidden="1">
      <c r="A1178" s="241"/>
      <c r="B1178" s="241"/>
      <c r="C1178" s="241"/>
      <c r="D1178" s="241"/>
      <c r="E1178" s="241"/>
      <c r="F1178" s="241"/>
      <c r="G1178" s="241"/>
      <c r="H1178" s="241"/>
      <c r="I1178" s="241"/>
      <c r="J1178" s="241"/>
      <c r="K1178" s="241"/>
      <c r="L1178" s="242"/>
      <c r="M1178" s="241"/>
      <c r="N1178" s="241"/>
      <c r="O1178" s="241"/>
      <c r="P1178" s="241"/>
      <c r="Q1178" s="241"/>
      <c r="R1178" s="241"/>
      <c r="S1178" s="241"/>
      <c r="T1178" s="241"/>
      <c r="U1178" s="241"/>
      <c r="V1178" s="241"/>
      <c r="W1178" s="241"/>
      <c r="X1178" s="242"/>
      <c r="Y1178" s="241"/>
      <c r="Z1178" s="241"/>
      <c r="AA1178" s="241"/>
      <c r="AB1178" s="241"/>
      <c r="AC1178" s="241"/>
      <c r="AD1178" s="241"/>
      <c r="AE1178" s="241"/>
      <c r="AF1178" s="241"/>
      <c r="AG1178" s="241"/>
      <c r="AH1178" s="241"/>
      <c r="AI1178" s="241"/>
      <c r="AJ1178" s="242"/>
    </row>
    <row r="1179" hidden="1">
      <c r="A1179" s="241"/>
      <c r="B1179" s="241"/>
      <c r="C1179" s="241"/>
      <c r="D1179" s="241"/>
      <c r="E1179" s="241"/>
      <c r="F1179" s="241"/>
      <c r="G1179" s="241"/>
      <c r="H1179" s="241"/>
      <c r="I1179" s="241"/>
      <c r="J1179" s="241"/>
      <c r="K1179" s="241"/>
      <c r="L1179" s="242"/>
      <c r="M1179" s="241"/>
      <c r="N1179" s="241"/>
      <c r="O1179" s="241"/>
      <c r="P1179" s="241"/>
      <c r="Q1179" s="241"/>
      <c r="R1179" s="241"/>
      <c r="S1179" s="241"/>
      <c r="T1179" s="241"/>
      <c r="U1179" s="241"/>
      <c r="V1179" s="241"/>
      <c r="W1179" s="241"/>
      <c r="X1179" s="242"/>
      <c r="Y1179" s="241"/>
      <c r="Z1179" s="241"/>
      <c r="AA1179" s="241"/>
      <c r="AB1179" s="241"/>
      <c r="AC1179" s="241"/>
      <c r="AD1179" s="241"/>
      <c r="AE1179" s="241"/>
      <c r="AF1179" s="241"/>
      <c r="AG1179" s="241"/>
      <c r="AH1179" s="241"/>
      <c r="AI1179" s="241"/>
      <c r="AJ1179" s="242"/>
    </row>
    <row r="1180" hidden="1">
      <c r="A1180" s="241"/>
      <c r="B1180" s="241"/>
      <c r="C1180" s="241"/>
      <c r="D1180" s="241"/>
      <c r="E1180" s="241"/>
      <c r="F1180" s="241"/>
      <c r="G1180" s="241"/>
      <c r="H1180" s="241"/>
      <c r="I1180" s="241"/>
      <c r="J1180" s="241"/>
      <c r="K1180" s="241"/>
      <c r="L1180" s="242"/>
      <c r="M1180" s="241"/>
      <c r="N1180" s="241"/>
      <c r="O1180" s="241"/>
      <c r="P1180" s="241"/>
      <c r="Q1180" s="241"/>
      <c r="R1180" s="241"/>
      <c r="S1180" s="241"/>
      <c r="T1180" s="241"/>
      <c r="U1180" s="241"/>
      <c r="V1180" s="241"/>
      <c r="W1180" s="241"/>
      <c r="X1180" s="242"/>
      <c r="Y1180" s="241"/>
      <c r="Z1180" s="241"/>
      <c r="AA1180" s="241"/>
      <c r="AB1180" s="241"/>
      <c r="AC1180" s="241"/>
      <c r="AD1180" s="241"/>
      <c r="AE1180" s="241"/>
      <c r="AF1180" s="241"/>
      <c r="AG1180" s="241"/>
      <c r="AH1180" s="241"/>
      <c r="AI1180" s="241"/>
      <c r="AJ1180" s="242"/>
    </row>
    <row r="1181" hidden="1">
      <c r="A1181" s="241"/>
      <c r="B1181" s="241"/>
      <c r="C1181" s="241"/>
      <c r="D1181" s="241"/>
      <c r="E1181" s="241"/>
      <c r="F1181" s="241"/>
      <c r="G1181" s="241"/>
      <c r="H1181" s="241"/>
      <c r="I1181" s="241"/>
      <c r="J1181" s="241"/>
      <c r="K1181" s="241"/>
      <c r="L1181" s="242"/>
      <c r="M1181" s="241"/>
      <c r="N1181" s="241"/>
      <c r="O1181" s="241"/>
      <c r="P1181" s="241"/>
      <c r="Q1181" s="241"/>
      <c r="R1181" s="241"/>
      <c r="S1181" s="241"/>
      <c r="T1181" s="241"/>
      <c r="U1181" s="241"/>
      <c r="V1181" s="241"/>
      <c r="W1181" s="241"/>
      <c r="X1181" s="242"/>
      <c r="Y1181" s="241"/>
      <c r="Z1181" s="241"/>
      <c r="AA1181" s="241"/>
      <c r="AB1181" s="241"/>
      <c r="AC1181" s="241"/>
      <c r="AD1181" s="241"/>
      <c r="AE1181" s="241"/>
      <c r="AF1181" s="241"/>
      <c r="AG1181" s="241"/>
      <c r="AH1181" s="241"/>
      <c r="AI1181" s="241"/>
      <c r="AJ1181" s="242"/>
    </row>
    <row r="1182" hidden="1">
      <c r="A1182" s="241"/>
      <c r="B1182" s="241"/>
      <c r="C1182" s="241"/>
      <c r="D1182" s="241"/>
      <c r="E1182" s="241"/>
      <c r="F1182" s="241"/>
      <c r="G1182" s="241"/>
      <c r="H1182" s="241"/>
      <c r="I1182" s="241"/>
      <c r="J1182" s="241"/>
      <c r="K1182" s="241"/>
      <c r="L1182" s="242"/>
      <c r="M1182" s="241"/>
      <c r="N1182" s="241"/>
      <c r="O1182" s="241"/>
      <c r="P1182" s="241"/>
      <c r="Q1182" s="241"/>
      <c r="R1182" s="241"/>
      <c r="S1182" s="241"/>
      <c r="T1182" s="241"/>
      <c r="U1182" s="241"/>
      <c r="V1182" s="241"/>
      <c r="W1182" s="241"/>
      <c r="X1182" s="242"/>
      <c r="Y1182" s="241"/>
      <c r="Z1182" s="241"/>
      <c r="AA1182" s="241"/>
      <c r="AB1182" s="241"/>
      <c r="AC1182" s="241"/>
      <c r="AD1182" s="241"/>
      <c r="AE1182" s="241"/>
      <c r="AF1182" s="241"/>
      <c r="AG1182" s="241"/>
      <c r="AH1182" s="241"/>
      <c r="AI1182" s="241"/>
      <c r="AJ1182" s="242"/>
    </row>
    <row r="1183" hidden="1">
      <c r="A1183" s="241"/>
      <c r="B1183" s="241"/>
      <c r="C1183" s="241"/>
      <c r="D1183" s="241"/>
      <c r="E1183" s="241"/>
      <c r="F1183" s="241"/>
      <c r="G1183" s="241"/>
      <c r="H1183" s="241"/>
      <c r="I1183" s="241"/>
      <c r="J1183" s="241"/>
      <c r="K1183" s="241"/>
      <c r="L1183" s="242"/>
      <c r="M1183" s="241"/>
      <c r="N1183" s="241"/>
      <c r="O1183" s="241"/>
      <c r="P1183" s="241"/>
      <c r="Q1183" s="241"/>
      <c r="R1183" s="241"/>
      <c r="S1183" s="241"/>
      <c r="T1183" s="241"/>
      <c r="U1183" s="241"/>
      <c r="V1183" s="241"/>
      <c r="W1183" s="241"/>
      <c r="X1183" s="242"/>
      <c r="Y1183" s="241"/>
      <c r="Z1183" s="241"/>
      <c r="AA1183" s="241"/>
      <c r="AB1183" s="241"/>
      <c r="AC1183" s="241"/>
      <c r="AD1183" s="241"/>
      <c r="AE1183" s="241"/>
      <c r="AF1183" s="241"/>
      <c r="AG1183" s="241"/>
      <c r="AH1183" s="241"/>
      <c r="AI1183" s="241"/>
      <c r="AJ1183" s="242"/>
    </row>
    <row r="1184" hidden="1">
      <c r="A1184" s="241"/>
      <c r="B1184" s="241"/>
      <c r="C1184" s="241"/>
      <c r="D1184" s="241"/>
      <c r="E1184" s="241"/>
      <c r="F1184" s="241"/>
      <c r="G1184" s="241"/>
      <c r="H1184" s="241"/>
      <c r="I1184" s="241"/>
      <c r="J1184" s="241"/>
      <c r="K1184" s="241"/>
      <c r="L1184" s="242"/>
      <c r="M1184" s="241"/>
      <c r="N1184" s="241"/>
      <c r="O1184" s="241"/>
      <c r="P1184" s="241"/>
      <c r="Q1184" s="241"/>
      <c r="R1184" s="241"/>
      <c r="S1184" s="241"/>
      <c r="T1184" s="241"/>
      <c r="U1184" s="241"/>
      <c r="V1184" s="241"/>
      <c r="W1184" s="241"/>
      <c r="X1184" s="242"/>
      <c r="Y1184" s="241"/>
      <c r="Z1184" s="241"/>
      <c r="AA1184" s="241"/>
      <c r="AB1184" s="241"/>
      <c r="AC1184" s="241"/>
      <c r="AD1184" s="241"/>
      <c r="AE1184" s="241"/>
      <c r="AF1184" s="241"/>
      <c r="AG1184" s="241"/>
      <c r="AH1184" s="241"/>
      <c r="AI1184" s="241"/>
      <c r="AJ1184" s="242"/>
    </row>
    <row r="1185" hidden="1">
      <c r="A1185" s="241"/>
      <c r="B1185" s="241"/>
      <c r="C1185" s="241"/>
      <c r="D1185" s="241"/>
      <c r="E1185" s="241"/>
      <c r="F1185" s="241"/>
      <c r="G1185" s="241"/>
      <c r="H1185" s="241"/>
      <c r="I1185" s="241"/>
      <c r="J1185" s="241"/>
      <c r="K1185" s="241"/>
      <c r="L1185" s="242"/>
      <c r="M1185" s="241"/>
      <c r="N1185" s="241"/>
      <c r="O1185" s="241"/>
      <c r="P1185" s="241"/>
      <c r="Q1185" s="241"/>
      <c r="R1185" s="241"/>
      <c r="S1185" s="241"/>
      <c r="T1185" s="241"/>
      <c r="U1185" s="241"/>
      <c r="V1185" s="241"/>
      <c r="W1185" s="241"/>
      <c r="X1185" s="242"/>
      <c r="Y1185" s="241"/>
      <c r="Z1185" s="241"/>
      <c r="AA1185" s="241"/>
      <c r="AB1185" s="241"/>
      <c r="AC1185" s="241"/>
      <c r="AD1185" s="241"/>
      <c r="AE1185" s="241"/>
      <c r="AF1185" s="241"/>
      <c r="AG1185" s="241"/>
      <c r="AH1185" s="241"/>
      <c r="AI1185" s="241"/>
      <c r="AJ1185" s="242"/>
    </row>
    <row r="1186" hidden="1">
      <c r="A1186" s="241"/>
      <c r="B1186" s="241"/>
      <c r="C1186" s="241"/>
      <c r="D1186" s="241"/>
      <c r="E1186" s="241"/>
      <c r="F1186" s="241"/>
      <c r="G1186" s="241"/>
      <c r="H1186" s="241"/>
      <c r="I1186" s="241"/>
      <c r="J1186" s="241"/>
      <c r="K1186" s="241"/>
      <c r="L1186" s="242"/>
      <c r="M1186" s="241"/>
      <c r="N1186" s="241"/>
      <c r="O1186" s="241"/>
      <c r="P1186" s="241"/>
      <c r="Q1186" s="241"/>
      <c r="R1186" s="241"/>
      <c r="S1186" s="241"/>
      <c r="T1186" s="241"/>
      <c r="U1186" s="241"/>
      <c r="V1186" s="241"/>
      <c r="W1186" s="241"/>
      <c r="X1186" s="242"/>
      <c r="Y1186" s="241"/>
      <c r="Z1186" s="241"/>
      <c r="AA1186" s="241"/>
      <c r="AB1186" s="241"/>
      <c r="AC1186" s="241"/>
      <c r="AD1186" s="241"/>
      <c r="AE1186" s="241"/>
      <c r="AF1186" s="241"/>
      <c r="AG1186" s="241"/>
      <c r="AH1186" s="241"/>
      <c r="AI1186" s="241"/>
      <c r="AJ1186" s="242"/>
    </row>
    <row r="1187" hidden="1">
      <c r="A1187" s="241"/>
      <c r="B1187" s="241"/>
      <c r="C1187" s="241"/>
      <c r="D1187" s="241"/>
      <c r="E1187" s="241"/>
      <c r="F1187" s="241"/>
      <c r="G1187" s="241"/>
      <c r="H1187" s="241"/>
      <c r="I1187" s="241"/>
      <c r="J1187" s="241"/>
      <c r="K1187" s="241"/>
      <c r="L1187" s="242"/>
      <c r="M1187" s="241"/>
      <c r="N1187" s="241"/>
      <c r="O1187" s="241"/>
      <c r="P1187" s="241"/>
      <c r="Q1187" s="241"/>
      <c r="R1187" s="241"/>
      <c r="S1187" s="241"/>
      <c r="T1187" s="241"/>
      <c r="U1187" s="241"/>
      <c r="V1187" s="241"/>
      <c r="W1187" s="241"/>
      <c r="X1187" s="242"/>
      <c r="Y1187" s="241"/>
      <c r="Z1187" s="241"/>
      <c r="AA1187" s="241"/>
      <c r="AB1187" s="241"/>
      <c r="AC1187" s="241"/>
      <c r="AD1187" s="241"/>
      <c r="AE1187" s="241"/>
      <c r="AF1187" s="241"/>
      <c r="AG1187" s="241"/>
      <c r="AH1187" s="241"/>
      <c r="AI1187" s="241"/>
      <c r="AJ1187" s="242"/>
    </row>
    <row r="1188" hidden="1">
      <c r="A1188" s="241"/>
      <c r="B1188" s="241"/>
      <c r="C1188" s="241"/>
      <c r="D1188" s="241"/>
      <c r="E1188" s="241"/>
      <c r="F1188" s="241"/>
      <c r="G1188" s="241"/>
      <c r="H1188" s="241"/>
      <c r="I1188" s="241"/>
      <c r="J1188" s="241"/>
      <c r="K1188" s="241"/>
      <c r="L1188" s="242"/>
      <c r="M1188" s="241"/>
      <c r="N1188" s="241"/>
      <c r="O1188" s="241"/>
      <c r="P1188" s="241"/>
      <c r="Q1188" s="241"/>
      <c r="R1188" s="241"/>
      <c r="S1188" s="241"/>
      <c r="T1188" s="241"/>
      <c r="U1188" s="241"/>
      <c r="V1188" s="241"/>
      <c r="W1188" s="241"/>
      <c r="X1188" s="242"/>
      <c r="Y1188" s="241"/>
      <c r="Z1188" s="241"/>
      <c r="AA1188" s="241"/>
      <c r="AB1188" s="241"/>
      <c r="AC1188" s="241"/>
      <c r="AD1188" s="241"/>
      <c r="AE1188" s="241"/>
      <c r="AF1188" s="241"/>
      <c r="AG1188" s="241"/>
      <c r="AH1188" s="241"/>
      <c r="AI1188" s="241"/>
      <c r="AJ1188" s="242"/>
    </row>
    <row r="1189" hidden="1">
      <c r="A1189" s="241"/>
      <c r="B1189" s="241"/>
      <c r="C1189" s="241"/>
      <c r="D1189" s="241"/>
      <c r="E1189" s="241"/>
      <c r="F1189" s="241"/>
      <c r="G1189" s="241"/>
      <c r="H1189" s="241"/>
      <c r="I1189" s="241"/>
      <c r="J1189" s="241"/>
      <c r="K1189" s="241"/>
      <c r="L1189" s="242"/>
      <c r="M1189" s="241"/>
      <c r="N1189" s="241"/>
      <c r="O1189" s="241"/>
      <c r="P1189" s="241"/>
      <c r="Q1189" s="241"/>
      <c r="R1189" s="241"/>
      <c r="S1189" s="241"/>
      <c r="T1189" s="241"/>
      <c r="U1189" s="241"/>
      <c r="V1189" s="241"/>
      <c r="W1189" s="241"/>
      <c r="X1189" s="242"/>
      <c r="Y1189" s="241"/>
      <c r="Z1189" s="241"/>
      <c r="AA1189" s="241"/>
      <c r="AB1189" s="241"/>
      <c r="AC1189" s="241"/>
      <c r="AD1189" s="241"/>
      <c r="AE1189" s="241"/>
      <c r="AF1189" s="241"/>
      <c r="AG1189" s="241"/>
      <c r="AH1189" s="241"/>
      <c r="AI1189" s="241"/>
      <c r="AJ1189" s="242"/>
    </row>
    <row r="1190" hidden="1">
      <c r="A1190" s="241"/>
      <c r="B1190" s="241"/>
      <c r="C1190" s="241"/>
      <c r="D1190" s="241"/>
      <c r="E1190" s="241"/>
      <c r="F1190" s="241"/>
      <c r="G1190" s="241"/>
      <c r="H1190" s="241"/>
      <c r="I1190" s="241"/>
      <c r="J1190" s="241"/>
      <c r="K1190" s="241"/>
      <c r="L1190" s="242"/>
      <c r="M1190" s="241"/>
      <c r="N1190" s="241"/>
      <c r="O1190" s="241"/>
      <c r="P1190" s="241"/>
      <c r="Q1190" s="241"/>
      <c r="R1190" s="241"/>
      <c r="S1190" s="241"/>
      <c r="T1190" s="241"/>
      <c r="U1190" s="241"/>
      <c r="V1190" s="241"/>
      <c r="W1190" s="241"/>
      <c r="X1190" s="242"/>
      <c r="Y1190" s="241"/>
      <c r="Z1190" s="241"/>
      <c r="AA1190" s="241"/>
      <c r="AB1190" s="241"/>
      <c r="AC1190" s="241"/>
      <c r="AD1190" s="241"/>
      <c r="AE1190" s="241"/>
      <c r="AF1190" s="241"/>
      <c r="AG1190" s="241"/>
      <c r="AH1190" s="241"/>
      <c r="AI1190" s="241"/>
      <c r="AJ1190" s="242"/>
    </row>
    <row r="1191" hidden="1">
      <c r="A1191" s="241"/>
      <c r="B1191" s="241"/>
      <c r="C1191" s="241"/>
      <c r="D1191" s="241"/>
      <c r="E1191" s="241"/>
      <c r="F1191" s="241"/>
      <c r="G1191" s="241"/>
      <c r="H1191" s="241"/>
      <c r="I1191" s="241"/>
      <c r="J1191" s="241"/>
      <c r="K1191" s="241"/>
      <c r="L1191" s="242"/>
      <c r="M1191" s="241"/>
      <c r="N1191" s="241"/>
      <c r="O1191" s="241"/>
      <c r="P1191" s="241"/>
      <c r="Q1191" s="241"/>
      <c r="R1191" s="241"/>
      <c r="S1191" s="241"/>
      <c r="T1191" s="241"/>
      <c r="U1191" s="241"/>
      <c r="V1191" s="241"/>
      <c r="W1191" s="241"/>
      <c r="X1191" s="242"/>
      <c r="Y1191" s="241"/>
      <c r="Z1191" s="241"/>
      <c r="AA1191" s="241"/>
      <c r="AB1191" s="241"/>
      <c r="AC1191" s="241"/>
      <c r="AD1191" s="241"/>
      <c r="AE1191" s="241"/>
      <c r="AF1191" s="241"/>
      <c r="AG1191" s="241"/>
      <c r="AH1191" s="241"/>
      <c r="AI1191" s="241"/>
      <c r="AJ1191" s="242"/>
    </row>
    <row r="1192" hidden="1">
      <c r="A1192" s="241"/>
      <c r="B1192" s="241"/>
      <c r="C1192" s="241"/>
      <c r="D1192" s="241"/>
      <c r="E1192" s="241"/>
      <c r="F1192" s="241"/>
      <c r="G1192" s="241"/>
      <c r="H1192" s="241"/>
      <c r="I1192" s="241"/>
      <c r="J1192" s="241"/>
      <c r="K1192" s="241"/>
      <c r="L1192" s="242"/>
      <c r="M1192" s="241"/>
      <c r="N1192" s="241"/>
      <c r="O1192" s="241"/>
      <c r="P1192" s="241"/>
      <c r="Q1192" s="241"/>
      <c r="R1192" s="241"/>
      <c r="S1192" s="241"/>
      <c r="T1192" s="241"/>
      <c r="U1192" s="241"/>
      <c r="V1192" s="241"/>
      <c r="W1192" s="241"/>
      <c r="X1192" s="242"/>
      <c r="Y1192" s="241"/>
      <c r="Z1192" s="241"/>
      <c r="AA1192" s="241"/>
      <c r="AB1192" s="241"/>
      <c r="AC1192" s="241"/>
      <c r="AD1192" s="241"/>
      <c r="AE1192" s="241"/>
      <c r="AF1192" s="241"/>
      <c r="AG1192" s="241"/>
      <c r="AH1192" s="241"/>
      <c r="AI1192" s="241"/>
      <c r="AJ1192" s="242"/>
    </row>
    <row r="1193" hidden="1">
      <c r="A1193" s="241"/>
      <c r="B1193" s="241"/>
      <c r="C1193" s="241"/>
      <c r="D1193" s="241"/>
      <c r="E1193" s="241"/>
      <c r="F1193" s="241"/>
      <c r="G1193" s="241"/>
      <c r="H1193" s="241"/>
      <c r="I1193" s="241"/>
      <c r="J1193" s="241"/>
      <c r="K1193" s="241"/>
      <c r="L1193" s="242"/>
      <c r="M1193" s="241"/>
      <c r="N1193" s="241"/>
      <c r="O1193" s="241"/>
      <c r="P1193" s="241"/>
      <c r="Q1193" s="241"/>
      <c r="R1193" s="241"/>
      <c r="S1193" s="241"/>
      <c r="T1193" s="241"/>
      <c r="U1193" s="241"/>
      <c r="V1193" s="241"/>
      <c r="W1193" s="241"/>
      <c r="X1193" s="242"/>
      <c r="Y1193" s="241"/>
      <c r="Z1193" s="241"/>
      <c r="AA1193" s="241"/>
      <c r="AB1193" s="241"/>
      <c r="AC1193" s="241"/>
      <c r="AD1193" s="241"/>
      <c r="AE1193" s="241"/>
      <c r="AF1193" s="241"/>
      <c r="AG1193" s="241"/>
      <c r="AH1193" s="241"/>
      <c r="AI1193" s="241"/>
      <c r="AJ1193" s="242"/>
    </row>
    <row r="1194" hidden="1">
      <c r="A1194" s="241"/>
      <c r="B1194" s="241"/>
      <c r="C1194" s="241"/>
      <c r="D1194" s="241"/>
      <c r="E1194" s="241"/>
      <c r="F1194" s="241"/>
      <c r="G1194" s="241"/>
      <c r="H1194" s="241"/>
      <c r="I1194" s="241"/>
      <c r="J1194" s="241"/>
      <c r="K1194" s="241"/>
      <c r="L1194" s="242"/>
      <c r="M1194" s="241"/>
      <c r="N1194" s="241"/>
      <c r="O1194" s="241"/>
      <c r="P1194" s="241"/>
      <c r="Q1194" s="241"/>
      <c r="R1194" s="241"/>
      <c r="S1194" s="241"/>
      <c r="T1194" s="241"/>
      <c r="U1194" s="241"/>
      <c r="V1194" s="241"/>
      <c r="W1194" s="241"/>
      <c r="X1194" s="242"/>
      <c r="Y1194" s="241"/>
      <c r="Z1194" s="241"/>
      <c r="AA1194" s="241"/>
      <c r="AB1194" s="241"/>
      <c r="AC1194" s="241"/>
      <c r="AD1194" s="241"/>
      <c r="AE1194" s="241"/>
      <c r="AF1194" s="241"/>
      <c r="AG1194" s="241"/>
      <c r="AH1194" s="241"/>
      <c r="AI1194" s="241"/>
      <c r="AJ1194" s="242"/>
    </row>
    <row r="1195">
      <c r="A1195" s="242"/>
      <c r="B1195" s="242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2"/>
      <c r="P1195" s="242"/>
      <c r="Q1195" s="242"/>
      <c r="R1195" s="242"/>
      <c r="S1195" s="242"/>
      <c r="T1195" s="242"/>
      <c r="U1195" s="242"/>
      <c r="V1195" s="242"/>
      <c r="W1195" s="242"/>
      <c r="X1195" s="242"/>
      <c r="Y1195" s="242"/>
      <c r="Z1195" s="242"/>
      <c r="AA1195" s="242"/>
      <c r="AB1195" s="242"/>
      <c r="AC1195" s="242"/>
      <c r="AD1195" s="242"/>
      <c r="AE1195" s="242"/>
      <c r="AF1195" s="242"/>
      <c r="AG1195" s="242"/>
      <c r="AH1195" s="242"/>
      <c r="AI1195" s="242"/>
      <c r="AJ1195" s="242"/>
    </row>
    <row r="1196">
      <c r="A1196" s="241" t="str">
        <f>IFERROR(__xludf.DUMMYFUNCTION("if('Time 3'!C3 = ""Albert"", query(IMPORTRANGE(cd_planilha, ""Armas!B3:G""), ""Select Col1 Where Col2 = '""&amp;Personagem!$B$17&amp;""' or Col2 = '""&amp;Personagem!$B$18&amp;""'""),     
if('Time 3'!C3 = ""Alicia"", query(IMPORTRANGE(cd_planilha, ""Armas!B3:G""), ""Sel"&amp;"ect Col1 Where Col2 = '""&amp;Personagem!$C$17&amp;""' or Col2 = '""&amp;Personagem!$C$18&amp;""'""),
if('Time 3'!C3 = ""Azula"", query(IMPORTRANGE(cd_planilha, ""Armas!B3:G""), ""Select Col1 Where Col2 = '""&amp;Personagem!$D$17&amp;""' or Col2 = '""&amp;Personagem!$D$18&amp;""' ""),
i"&amp;"f('Time 3'!C3 = ""Charles"", query(IMPORTRANGE(cd_planilha, ""Armas!B3:G""), ""Select Col1 Where Col2 = '""&amp;Personagem!$E$17&amp;""' or Col2 = '""&amp;Personagem!$E$18&amp;""'""),
if('Time 3'!C3 = ""Clovis"", query(IMPORTRANGE(cd_planilha, ""Armas!B3:G""), ""Select C"&amp;"ol1 Where Col2 = '""&amp;Personagem!$F$17&amp;""' or Col2 = '""&amp;Personagem!$F$18&amp;""' ""),
if('Time 3'!C3 = ""Darthos"", query(IMPORTRANGE(cd_planilha, ""Armas!B3:G""), ""Select Col1 Where Col2 = '""&amp;Personagem!$G$17&amp;""' or Col2 = '""&amp;Personagem!$G$18&amp;""'""),
if('"&amp;"Time 3'!C3 = ""Edward"", query(IMPORTRANGE(cd_planilha, ""Armas!B3:G""), ""Select Col1 Where Col2 = '""&amp;Personagem!$H$17&amp;""' or Col2 = '""&amp;Personagem!$H$18&amp;""' ""),
if('Time 3'!C3 = ""Fiora"", query(IMPORTRANGE(cd_planilha, ""Armas!B3:G""), ""Select Col1 "&amp;"Where Col2 = '""&amp;Personagem!$I$17&amp;""' or Col2 = '""&amp;Personagem!$I$18&amp;""' ""),
if('Time 3'!C3 = ""Francesca"", query(IMPORTRANGE(cd_planilha, ""Armas!B3:G""), ""Select Col1 Where Col2 = '""&amp;Personagem!$J$17&amp;""' or Col2 = '""&amp;Personagem!$J$18&amp;""'""),
if('Ti"&amp;"me 3'!C3 = ""Garreth"", query(IMPORTRANGE(cd_planilha, ""Armas!B3:G""), ""Select Col1 Where Col2 = '""&amp;Personagem!$K$17&amp;""' or Col2 = '""&amp;Personagem!$K$18&amp;""'""),
if('Time 3'!C3 = ""Gauvin"", query(IMPORTRANGE(cd_planilha, ""Armas!B3:G""), ""Select Col1 W"&amp;"here Col2 = '""&amp;Personagem!$L$17&amp;""' or Col2 = '""&amp;Personagem!$L$18&amp;""' ""),
if('Time 3'!C3 = ""Irene"", query(IMPORTRANGE(cd_planilha, ""Armas!B3:G""), ""Select Col1 Where Col2 = '""&amp;Personagem!$M$17&amp;""' or Col2 = '""&amp;Personagem!$M$18&amp;""' ""),
if('Time 3"&amp;"'!C3 = ""Karal"", query(IMPORTRANGE(cd_planilha, ""Armas!B3:G""), ""Select Col1 Where Col2 = '""&amp;Personagem!$N$17&amp;""' or Col2 = '""&amp;Personagem!$N$18&amp;""' ""),
if('Time 3'!C3 = ""Kuro Shobi"", query(IMPORTRANGE(cd_planilha, ""Armas!B3:G""), ""Select Col1 Wh"&amp;"ere Col2 = '""&amp;Personagem!$O$17&amp;""' or Col2 = '""&amp;Personagem!$O$18&amp;""'""),
if('Time 3'!C3 = ""Kurul"", query(IMPORTRANGE(cd_planilha, ""Armas!B3:G""), ""Select Col1 Where Col2 = '""&amp;Personagem!$P$17&amp;""' or Col2 = '""&amp;Personagem!$P$18&amp;""' ""),
if('Time 3'!"&amp;"C3 = ""Lancaster"", query(IMPORTRANGE(cd_planilha, ""Armas!B3:G""), ""Select Col1 Where Col2 = '""&amp;Personagem!$Q$17&amp;""' or Col2 = '""&amp;Personagem!$Q$18&amp;""'""),
if('Time 3'!C3 = ""Lorelei"", query(IMPORTRANGE(cd_planilha, ""Armas!B3:G""), ""Select Col1 Wher"&amp;"e Col2 = '""&amp;Personagem!$R$17&amp;""' or Col2 = '""&amp;Personagem!$R$18&amp;""' ""),
if('Time 3'!C3 = ""Louca"", query(IMPORTRANGE(cd_planilha, ""Armas!B3:G""), ""Select Col1 Where Col2 = '""&amp;Personagem!$S$17&amp;""' or Col2 = '""&amp;Personagem!$S$18&amp;""' ""),
if('Time 3'!C"&amp;"3 = ""Melina"", query(IMPORTRANGE(cd_planilha, ""Armas!B3:G""), ""Select Col1 Where Col2 = '""&amp;Personagem!$T$17&amp;""' or Col2 = '""&amp;Personagem!$T$18&amp;""'""),
if('Time 3'!C3 = ""Mila"", query(IMPORTRANGE(cd_planilha, ""Armas!B3:G""), ""Select Col1 Where Col2 "&amp;"= '""&amp;Personagem!$U$17&amp;""' or Col2 = '""&amp;Personagem!$U$18&amp;""' ""),
if('Time 3'!C3 = ""Minh"", query(IMPORTRANGE(cd_planilha, ""Armas!B3:G""), ""Select Col1 Where Col2 = '""&amp;Personagem!$V$17&amp;""' or Col2 = '""&amp;Personagem!$V$18&amp;""' ""),
if('Time 3'!C3 = ""Mo"&amp;"jian"", query(IMPORTRANGE(cd_planilha, ""Armas!B3:G""), ""Select Col1 Where Col2 = '""&amp;Personagem!$W$17&amp;""' or Col2 = '""&amp;Personagem!$W$18&amp;""'""),
if('Time 3'!C3 = ""Nya"", query(IMPORTRANGE(cd_planilha, ""Armas!B3:G""), ""Select Col1 Where Col2 = '""&amp;Per"&amp;"sonagem!$X$17&amp;""' or Col2 = '""&amp;Personagem!$X$18&amp;""' ""),
if('Time 3'!C3 = ""Odette"", query(IMPORTRANGE(cd_planilha, ""Armas!B3:G""), ""Select Col1 Where Col2 = '""&amp;Personagem!$Y$17&amp;""' or Col2 = '""&amp;Personagem!$Y$18&amp;""'""),
if('Time 3'!C3 = ""Oneira"", "&amp;"query(IMPORTRANGE(cd_planilha, ""Armas!B3:G""), ""Select Col1 Where Col2 = '""&amp;Personagem!$Z$17&amp;""' or Col2 = '""&amp;Personagem!$Z$18&amp;""' ""),
if('Time 3'!C3 = ""Palash"", query(IMPORTRANGE(cd_planilha, ""Armas!B3:G""), ""Select Col1 Where Col2 = '""&amp;Persona"&amp;"gem!$AA$17&amp;""' or Col2 = '""&amp;Personagem!$AA$18&amp;""'""),
if('Time 3'!C3 = ""Theor"", query(IMPORTRANGE(cd_planilha, ""Armas!B3:G""), ""Select Col1 Where Col2 = '""&amp;Personagem!$AB$17&amp;""' or Col2 = '""&amp;Personagem!$AB$18&amp;""' ""),
if('Time 3'!C3 = ""Yue"", quer"&amp;"y(IMPORTRANGE(cd_planilha, ""Armas!B3:G""), ""Select Col1 Where Col2 = '""&amp;Personagem!$AC$17&amp;""' or Col2 = '""&amp;Personagem!$AC$18&amp;""'""
)))))))))))))))))))))))))))))"),"Pó Colorido")</f>
        <v>Pó Colorido</v>
      </c>
      <c r="B1196" s="241"/>
      <c r="C1196" s="241" t="str">
        <f>IFERROR(__xludf.DUMMYFUNCTION("if('Time 3'!C4 = ""Albert"", query(IMPORTRANGE(cd_planilha, ""Armas!B3:G""), ""Select Col1 Where Col2 = '""&amp;Personagem!$B$17&amp;""' or Col2 = '""&amp;Personagem!$B$18&amp;""'""),     
if('Time 3'!C4 = ""Alicia"", query(IMPORTRANGE(cd_planilha, ""Armas!B3:G""), ""Sel"&amp;"ect Col1 Where Col2 = '""&amp;Personagem!$C$17&amp;""' or Col2 = '""&amp;Personagem!$C$18&amp;""'""),
if('Time 3'!C4 = ""Azula"", query(IMPORTRANGE(cd_planilha, ""Armas!B3:G""), ""Select Col1 Where Col2 = '""&amp;Personagem!$D$17&amp;""' or Col2 = '""&amp;Personagem!$D$18&amp;""' ""),
i"&amp;"f('Time 3'!C4 = ""Charles"", query(IMPORTRANGE(cd_planilha, ""Armas!B3:G""), ""Select Col1 Where Col2 = '""&amp;Personagem!$E$17&amp;""' or Col2 = '""&amp;Personagem!$E$18&amp;""'""),
if('Time 3'!C4 = ""Clovis"", query(IMPORTRANGE(cd_planilha, ""Armas!B3:G""), ""Select C"&amp;"ol1 Where Col2 = '""&amp;Personagem!$F$17&amp;""' or Col2 = '""&amp;Personagem!$F$18&amp;""' ""),
if('Time 3'!C4 = ""Darthos"", query(IMPORTRANGE(cd_planilha, ""Armas!B3:G""), ""Select Col1 Where Col2 = '""&amp;Personagem!$G$17&amp;""' or Col2 = '""&amp;Personagem!$G$18&amp;""'""),
if('"&amp;"Time 3'!C4 = ""Edward"", query(IMPORTRANGE(cd_planilha, ""Armas!B3:G""), ""Select Col1 Where Col2 = '""&amp;Personagem!$H$17&amp;""' or Col2 = '""&amp;Personagem!$H$18&amp;""' ""),
if('Time 3'!C4 = ""Fiora"", query(IMPORTRANGE(cd_planilha, ""Armas!B3:G""), ""Select Col1 "&amp;"Where Col2 = '""&amp;Personagem!$I$17&amp;""' or Col2 = '""&amp;Personagem!$I$18&amp;""' ""),
if('Time 3'!C4 = ""Francesca"", query(IMPORTRANGE(cd_planilha, ""Armas!B3:G""), ""Select Col1 Where Col2 = '""&amp;Personagem!$J$17&amp;""' or Col2 = '""&amp;Personagem!$J$18&amp;""'""),
if('Ti"&amp;"me 3'!C4 = ""Garreth"", query(IMPORTRANGE(cd_planilha, ""Armas!B3:G""), ""Select Col1 Where Col2 = '""&amp;Personagem!$K$17&amp;""' or Col2 = '""&amp;Personagem!$K$18&amp;""'""),
if('Time 3'!C4 = ""Gauvin"", query(IMPORTRANGE(cd_planilha, ""Armas!B3:G""), ""Select Col1 W"&amp;"here Col2 = '""&amp;Personagem!$L$17&amp;""' or Col2 = '""&amp;Personagem!$L$18&amp;""' ""),
if('Time 3'!C4 = ""Irene"", query(IMPORTRANGE(cd_planilha, ""Armas!B3:G""), ""Select Col1 Where Col2 = '""&amp;Personagem!$M$17&amp;""' or Col2 = '""&amp;Personagem!$M$18&amp;""' ""),
if('Time 3"&amp;"'!C4 = ""Karal"", query(IMPORTRANGE(cd_planilha, ""Armas!B3:G""), ""Select Col1 Where Col2 = '""&amp;Personagem!$N$17&amp;""' or Col2 = '""&amp;Personagem!$N$18&amp;""' ""),
if('Time 3'!C4 = ""Kuro Shobi"", query(IMPORTRANGE(cd_planilha, ""Armas!B3:G""), ""Select Col1 Wh"&amp;"ere Col2 = '""&amp;Personagem!$O$17&amp;""' or Col2 = '""&amp;Personagem!$O$18&amp;""'""),
if('Time 3'!C4 = ""Kurul"", query(IMPORTRANGE(cd_planilha, ""Armas!B3:G""), ""Select Col1 Where Col2 = '""&amp;Personagem!$P$17&amp;""' or Col2 = '""&amp;Personagem!$P$18&amp;""' ""),
if('Time 3'!"&amp;"C4 = ""Lancaster"", query(IMPORTRANGE(cd_planilha, ""Armas!B3:G""), ""Select Col1 Where Col2 = '""&amp;Personagem!$Q$17&amp;""' or Col2 = '""&amp;Personagem!$Q$18&amp;""'""),
if('Time 3'!C4 = ""Lorelei"", query(IMPORTRANGE(cd_planilha, ""Armas!B3:G""), ""Select Col1 Wher"&amp;"e Col2 = '""&amp;Personagem!$R$17&amp;""' or Col2 = '""&amp;Personagem!$R$18&amp;""' ""),
if('Time 3'!C4 = ""Louca"", query(IMPORTRANGE(cd_planilha, ""Armas!B3:G""), ""Select Col1 Where Col2 = '""&amp;Personagem!$S$17&amp;""' or Col2 = '""&amp;Personagem!$S$18&amp;""' ""),
if('Time 3'!C"&amp;"4 = ""Melina"", query(IMPORTRANGE(cd_planilha, ""Armas!B3:G""), ""Select Col1 Where Col2 = '""&amp;Personagem!$T$17&amp;""' or Col2 = '""&amp;Personagem!$T$18&amp;""'""),
if('Time 3'!C4 = ""Mila"", query(IMPORTRANGE(cd_planilha, ""Armas!B3:G""), ""Select Col1 Where Col2 "&amp;"= '""&amp;Personagem!$U$17&amp;""' or Col2 = '""&amp;Personagem!$U$18&amp;""' ""),
if('Time 3'!C4 = ""Minh"", query(IMPORTRANGE(cd_planilha, ""Armas!B3:G""), ""Select Col1 Where Col2 = '""&amp;Personagem!$V$17&amp;""' or Col2 = '""&amp;Personagem!$V$18&amp;""' ""),
if('Time 3'!C4 = ""Mo"&amp;"jian"", query(IMPORTRANGE(cd_planilha, ""Armas!B3:G""), ""Select Col1 Where Col2 = '""&amp;Personagem!$W$17&amp;""' or Col2 = '""&amp;Personagem!$W$18&amp;""'""),
if('Time 3'!C4 = ""Nya"", query(IMPORTRANGE(cd_planilha, ""Armas!B3:G""), ""Select Col1 Where Col2 = '""&amp;Per"&amp;"sonagem!$X$17&amp;""' or Col2 = '""&amp;Personagem!$X$18&amp;""' ""),
if('Time 3'!C4 = ""Odette"", query(IMPORTRANGE(cd_planilha, ""Armas!B3:G""), ""Select Col1 Where Col2 = '""&amp;Personagem!$Y$17&amp;""' or Col2 = '""&amp;Personagem!$Y$18&amp;""'""),
if('Time 3'!C4 = ""Oneira"", "&amp;"query(IMPORTRANGE(cd_planilha, ""Armas!B3:G""), ""Select Col1 Where Col2 = '""&amp;Personagem!$Z$17&amp;""' or Col2 = '""&amp;Personagem!$Z$18&amp;""' ""),
if('Time 3'!C4 = ""Palash"", query(IMPORTRANGE(cd_planilha, ""Armas!B3:G""), ""Select Col1 Where Col2 = '""&amp;Persona"&amp;"gem!$AA$17&amp;""' or Col2 = '""&amp;Personagem!$AA$18&amp;""'""),
if('Time 3'!C4 = ""Theor"", query(IMPORTRANGE(cd_planilha, ""Armas!B3:G""), ""Select Col1 Where Col2 = '""&amp;Personagem!$AB$17&amp;""' or Col2 = '""&amp;Personagem!$AB$18&amp;""' ""),
if('Time 3'!C4 = ""Yue"", quer"&amp;"y(IMPORTRANGE(cd_planilha, ""Armas!B3:G""), ""Select Col1 Where Col2 = '""&amp;Personagem!$AC$17&amp;""' or Col2 = '""&amp;Personagem!$AC$18&amp;""'""
)))))))))))))))))))))))))))))"),"Totem da Dor")</f>
        <v>Totem da Dor</v>
      </c>
      <c r="D1196" s="241"/>
      <c r="E1196" s="241" t="str">
        <f>IFERROR(__xludf.DUMMYFUNCTION("if('Time 3'!C5 = ""Albert"", query(IMPORTRANGE(cd_planilha, ""Armas!B3:G""), ""Select Col1 Where Col2 = '""&amp;Personagem!$B$17&amp;""' or Col2 = '""&amp;Personagem!$B$18&amp;""'""),     
if('Time 3'!C5 = ""Alicia"", query(IMPORTRANGE(cd_planilha, ""Armas!B3:G""), ""Sel"&amp;"ect Col1 Where Col2 = '""&amp;Personagem!$C$17&amp;""' or Col2 = '""&amp;Personagem!$C$18&amp;""'""),
if('Time 3'!C5 = ""Azula"", query(IMPORTRANGE(cd_planilha, ""Armas!B3:G""), ""Select Col1 Where Col2 = '""&amp;Personagem!$D$17&amp;""' or Col2 = '""&amp;Personagem!$D$18&amp;""' ""),
i"&amp;"f('Time 3'!C5 = ""Charles"", query(IMPORTRANGE(cd_planilha, ""Armas!B3:G""), ""Select Col1 Where Col2 = '""&amp;Personagem!$E$17&amp;""' or Col2 = '""&amp;Personagem!$E$18&amp;""'""),
if('Time 3'!C5 = ""Clovis"", query(IMPORTRANGE(cd_planilha, ""Armas!B3:G""), ""Select C"&amp;"ol1 Where Col2 = '""&amp;Personagem!$F$17&amp;""' or Col2 = '""&amp;Personagem!$F$18&amp;""' ""),
if('Time 3'!C5 = ""Darthos"", query(IMPORTRANGE(cd_planilha, ""Armas!B3:G""), ""Select Col1 Where Col2 = '""&amp;Personagem!$G$17&amp;""' or Col2 = '""&amp;Personagem!$G$18&amp;""'""),
if('"&amp;"Time 3'!C5 = ""Edward"", query(IMPORTRANGE(cd_planilha, ""Armas!B3:G""), ""Select Col1 Where Col2 = '""&amp;Personagem!$H$17&amp;""' or Col2 = '""&amp;Personagem!$H$18&amp;""' ""),
if('Time 3'!C5 = ""Fiora"", query(IMPORTRANGE(cd_planilha, ""Armas!B3:G""), ""Select Col1 "&amp;"Where Col2 = '""&amp;Personagem!$I$17&amp;""' or Col2 = '""&amp;Personagem!$I$18&amp;""' ""),
if('Time 3'!C5 = ""Francesca"", query(IMPORTRANGE(cd_planilha, ""Armas!B3:G""), ""Select Col1 Where Col2 = '""&amp;Personagem!$J$17&amp;""' or Col2 = '""&amp;Personagem!$J$18&amp;""'""),
if('Ti"&amp;"me 3'!C5 = ""Garreth"", query(IMPORTRANGE(cd_planilha, ""Armas!B3:G""), ""Select Col1 Where Col2 = '""&amp;Personagem!$K$17&amp;""' or Col2 = '""&amp;Personagem!$K$18&amp;""'""),
if('Time 3'!C5 = ""Gauvin"", query(IMPORTRANGE(cd_planilha, ""Armas!B3:G""), ""Select Col1 W"&amp;"here Col2 = '""&amp;Personagem!$L$17&amp;""' or Col2 = '""&amp;Personagem!$L$18&amp;""' ""),
if('Time 3'!C5 = ""Irene"", query(IMPORTRANGE(cd_planilha, ""Armas!B3:G""), ""Select Col1 Where Col2 = '""&amp;Personagem!$M$17&amp;""' or Col2 = '""&amp;Personagem!$M$18&amp;""' ""),
if('Time 3"&amp;"'!C5 = ""Karal"", query(IMPORTRANGE(cd_planilha, ""Armas!B3:G""), ""Select Col1 Where Col2 = '""&amp;Personagem!$N$17&amp;""' or Col2 = '""&amp;Personagem!$N$18&amp;""' ""),
if('Time 3'!C5 = ""Kuro Shobi"", query(IMPORTRANGE(cd_planilha, ""Armas!B3:G""), ""Select Col1 Wh"&amp;"ere Col2 = '""&amp;Personagem!$O$17&amp;""' or Col2 = '""&amp;Personagem!$O$18&amp;""'""),
if('Time 3'!C5 = ""Kurul"", query(IMPORTRANGE(cd_planilha, ""Armas!B3:G""), ""Select Col1 Where Col2 = '""&amp;Personagem!$P$17&amp;""' or Col2 = '""&amp;Personagem!$P$18&amp;""' ""),
if('Time 3'!"&amp;"C5 = ""Lancaster"", query(IMPORTRANGE(cd_planilha, ""Armas!B3:G""), ""Select Col1 Where Col2 = '""&amp;Personagem!$Q$17&amp;""' or Col2 = '""&amp;Personagem!$Q$18&amp;""'""),
if('Time 3'!C5 = ""Lorelei"", query(IMPORTRANGE(cd_planilha, ""Armas!B3:G""), ""Select Col1 Wher"&amp;"e Col2 = '""&amp;Personagem!$R$17&amp;""' or Col2 = '""&amp;Personagem!$R$18&amp;""' ""),
if('Time 3'!C5 = ""Louca"", query(IMPORTRANGE(cd_planilha, ""Armas!B3:G""), ""Select Col1 Where Col2 = '""&amp;Personagem!$S$17&amp;""' or Col2 = '""&amp;Personagem!$S$18&amp;""' ""),
if('Time 3'!C"&amp;"5 = ""Melina"", query(IMPORTRANGE(cd_planilha, ""Armas!B3:G""), ""Select Col1 Where Col2 = '""&amp;Personagem!$T$17&amp;""' or Col2 = '""&amp;Personagem!$T$18&amp;""'""),
if('Time 3'!C5 = ""Mila"", query(IMPORTRANGE(cd_planilha, ""Armas!B3:G""), ""Select Col1 Where Col2 "&amp;"= '""&amp;Personagem!$U$17&amp;""' or Col2 = '""&amp;Personagem!$U$18&amp;""' ""),
if('Time 3'!C5 = ""Minh"", query(IMPORTRANGE(cd_planilha, ""Armas!B3:G""), ""Select Col1 Where Col2 = '""&amp;Personagem!$V$17&amp;""' or Col2 = '""&amp;Personagem!$V$18&amp;""' ""),
if('Time 3'!C5 = ""Mo"&amp;"jian"", query(IMPORTRANGE(cd_planilha, ""Armas!B3:G""), ""Select Col1 Where Col2 = '""&amp;Personagem!$W$17&amp;""' or Col2 = '""&amp;Personagem!$W$18&amp;""'""),
if('Time 3'!C5 = ""Nya"", query(IMPORTRANGE(cd_planilha, ""Armas!B3:G""), ""Select Col1 Where Col2 = '""&amp;Per"&amp;"sonagem!$X$17&amp;""' or Col2 = '""&amp;Personagem!$X$18&amp;""' ""),
if('Time 3'!C5 = ""Odette"", query(IMPORTRANGE(cd_planilha, ""Armas!B3:G""), ""Select Col1 Where Col2 = '""&amp;Personagem!$Y$17&amp;""' or Col2 = '""&amp;Personagem!$Y$18&amp;""'""),
if('Time 3'!C5 = ""Oneira"", "&amp;"query(IMPORTRANGE(cd_planilha, ""Armas!B3:G""), ""Select Col1 Where Col2 = '""&amp;Personagem!$Z$17&amp;""' or Col2 = '""&amp;Personagem!$Z$18&amp;""' ""),
if('Time 3'!C5 = ""Palash"", query(IMPORTRANGE(cd_planilha, ""Armas!B3:G""), ""Select Col1 Where Col2 = '""&amp;Persona"&amp;"gem!$AA$17&amp;""' or Col2 = '""&amp;Personagem!$AA$18&amp;""'""),
if('Time 3'!C5 = ""Theor"", query(IMPORTRANGE(cd_planilha, ""Armas!B3:G""), ""Select Col1 Where Col2 = '""&amp;Personagem!$AB$17&amp;""' or Col2 = '""&amp;Personagem!$AB$18&amp;""' ""),
if('Time 3'!C5 = ""Yue"", quer"&amp;"y(IMPORTRANGE(cd_planilha, ""Armas!B3:G""), ""Select Col1 Where Col2 = '""&amp;Personagem!$AC$17&amp;""' or Col2 = '""&amp;Personagem!$AC$18&amp;""'""
)))))))))))))))))))))))))))))"),"Pó Colorido")</f>
        <v>Pó Colorido</v>
      </c>
      <c r="F1196" s="241"/>
      <c r="G1196" s="241" t="str">
        <f>IFERROR(__xludf.DUMMYFUNCTION("if('Time 3'!C6 = ""Albert"", query(IMPORTRANGE(cd_planilha, ""Armas!B3:G""), ""Select Col1 Where Col2 = '""&amp;Personagem!$B$17&amp;""' or Col2 = '""&amp;Personagem!$B$18&amp;""'""),     
if('Time 3'!C6 = ""Alicia"", query(IMPORTRANGE(cd_planilha, ""Armas!B3:G""), ""Sel"&amp;"ect Col1 Where Col2 = '""&amp;Personagem!$C$17&amp;""' or Col2 = '""&amp;Personagem!$C$18&amp;""'""),
if('Time 3'!C6 = ""Azula"", query(IMPORTRANGE(cd_planilha, ""Armas!B3:G""), ""Select Col1 Where Col2 = '""&amp;Personagem!$D$17&amp;""' or Col2 = '""&amp;Personagem!$D$18&amp;""' ""),
i"&amp;"f('Time 3'!C6 = ""Charles"", query(IMPORTRANGE(cd_planilha, ""Armas!B3:G""), ""Select Col1 Where Col2 = '""&amp;Personagem!$E$17&amp;""' or Col2 = '""&amp;Personagem!$E$18&amp;""'""),
if('Time 3'!C6 = ""Clovis"", query(IMPORTRANGE(cd_planilha, ""Armas!B3:G""), ""Select C"&amp;"ol1 Where Col2 = '""&amp;Personagem!$F$17&amp;""' or Col2 = '""&amp;Personagem!$F$18&amp;""' ""),
if('Time 3'!C6 = ""Darthos"", query(IMPORTRANGE(cd_planilha, ""Armas!B3:G""), ""Select Col1 Where Col2 = '""&amp;Personagem!$G$17&amp;""' or Col2 = '""&amp;Personagem!$G$18&amp;""'""),
if('"&amp;"Time 3'!C6 = ""Edward"", query(IMPORTRANGE(cd_planilha, ""Armas!B3:G""), ""Select Col1 Where Col2 = '""&amp;Personagem!$H$17&amp;""' or Col2 = '""&amp;Personagem!$H$18&amp;""' ""),
if('Time 3'!C6 = ""Fiora"", query(IMPORTRANGE(cd_planilha, ""Armas!B3:G""), ""Select Col1 "&amp;"Where Col2 = '""&amp;Personagem!$I$17&amp;""' or Col2 = '""&amp;Personagem!$I$18&amp;""' ""),
if('Time 3'!C6 = ""Francesca"", query(IMPORTRANGE(cd_planilha, ""Armas!B3:G""), ""Select Col1 Where Col2 = '""&amp;Personagem!$J$17&amp;""' or Col2 = '""&amp;Personagem!$J$18&amp;""'""),
if('Ti"&amp;"me 3'!C6 = ""Garreth"", query(IMPORTRANGE(cd_planilha, ""Armas!B3:G""), ""Select Col1 Where Col2 = '""&amp;Personagem!$K$17&amp;""' or Col2 = '""&amp;Personagem!$K$18&amp;""'""),
if('Time 3'!C6 = ""Gauvin"", query(IMPORTRANGE(cd_planilha, ""Armas!B3:G""), ""Select Col1 W"&amp;"here Col2 = '""&amp;Personagem!$L$17&amp;""' or Col2 = '""&amp;Personagem!$L$18&amp;""' ""),
if('Time 3'!C6 = ""Irene"", query(IMPORTRANGE(cd_planilha, ""Armas!B3:G""), ""Select Col1 Where Col2 = '""&amp;Personagem!$M$17&amp;""' or Col2 = '""&amp;Personagem!$M$18&amp;""' ""),
if('Time 3"&amp;"'!C6 = ""Karal"", query(IMPORTRANGE(cd_planilha, ""Armas!B3:G""), ""Select Col1 Where Col2 = '""&amp;Personagem!$N$17&amp;""' or Col2 = '""&amp;Personagem!$N$18&amp;""' ""),
if('Time 3'!C6 = ""Kuro Shobi"", query(IMPORTRANGE(cd_planilha, ""Armas!B3:G""), ""Select Col1 Wh"&amp;"ere Col2 = '""&amp;Personagem!$O$17&amp;""' or Col2 = '""&amp;Personagem!$O$18&amp;""'""),
if('Time 3'!C6 = ""Kurul"", query(IMPORTRANGE(cd_planilha, ""Armas!B3:G""), ""Select Col1 Where Col2 = '""&amp;Personagem!$P$17&amp;""' or Col2 = '""&amp;Personagem!$P$18&amp;""' ""),
if('Time 3'!"&amp;"C6 = ""Lancaster"", query(IMPORTRANGE(cd_planilha, ""Armas!B3:G""), ""Select Col1 Where Col2 = '""&amp;Personagem!$Q$17&amp;""' or Col2 = '""&amp;Personagem!$Q$18&amp;""'""),
if('Time 3'!C6 = ""Lorelei"", query(IMPORTRANGE(cd_planilha, ""Armas!B3:G""), ""Select Col1 Wher"&amp;"e Col2 = '""&amp;Personagem!$R$17&amp;""' or Col2 = '""&amp;Personagem!$R$18&amp;""' ""),
if('Time 3'!C6 = ""Louca"", query(IMPORTRANGE(cd_planilha, ""Armas!B3:G""), ""Select Col1 Where Col2 = '""&amp;Personagem!$S$17&amp;""' or Col2 = '""&amp;Personagem!$S$18&amp;""' ""),
if('Time 3'!C"&amp;"6 = ""Melina"", query(IMPORTRANGE(cd_planilha, ""Armas!B3:G""), ""Select Col1 Where Col2 = '""&amp;Personagem!$T$17&amp;""' or Col2 = '""&amp;Personagem!$T$18&amp;""'""),
if('Time 3'!C6 = ""Mila"", query(IMPORTRANGE(cd_planilha, ""Armas!B3:G""), ""Select Col1 Where Col2 "&amp;"= '""&amp;Personagem!$U$17&amp;""' or Col2 = '""&amp;Personagem!$U$18&amp;""' ""),
if('Time 3'!C6 = ""Minh"", query(IMPORTRANGE(cd_planilha, ""Armas!B3:G""), ""Select Col1 Where Col2 = '""&amp;Personagem!$V$17&amp;""' or Col2 = '""&amp;Personagem!$V$18&amp;""' ""),
if('Time 3'!C6 = ""Mo"&amp;"jian"", query(IMPORTRANGE(cd_planilha, ""Armas!B3:G""), ""Select Col1 Where Col2 = '""&amp;Personagem!$W$17&amp;""' or Col2 = '""&amp;Personagem!$W$18&amp;""'""),
if('Time 3'!C6 = ""Nya"", query(IMPORTRANGE(cd_planilha, ""Armas!B3:G""), ""Select Col1 Where Col2 = '""&amp;Per"&amp;"sonagem!$X$17&amp;""' or Col2 = '""&amp;Personagem!$X$18&amp;""' ""),
if('Time 3'!C6 = ""Odette"", query(IMPORTRANGE(cd_planilha, ""Armas!B3:G""), ""Select Col1 Where Col2 = '""&amp;Personagem!$Y$17&amp;""' or Col2 = '""&amp;Personagem!$Y$18&amp;""'""),
if('Time 3'!C6 = ""Oneira"", "&amp;"query(IMPORTRANGE(cd_planilha, ""Armas!B3:G""), ""Select Col1 Where Col2 = '""&amp;Personagem!$Z$17&amp;""' or Col2 = '""&amp;Personagem!$Z$18&amp;""' ""),
if('Time 3'!C6 = ""Palash"", query(IMPORTRANGE(cd_planilha, ""Armas!B3:G""), ""Select Col1 Where Col2 = '""&amp;Persona"&amp;"gem!$AA$17&amp;""' or Col2 = '""&amp;Personagem!$AA$18&amp;""'""),
if('Time 3'!C6 = ""Theor"", query(IMPORTRANGE(cd_planilha, ""Armas!B3:G""), ""Select Col1 Where Col2 = '""&amp;Personagem!$AB$17&amp;""' or Col2 = '""&amp;Personagem!$AB$18&amp;""' ""),
if('Time 3'!C6 = ""Yue"", quer"&amp;"y(IMPORTRANGE(cd_planilha, ""Armas!B3:G""), ""Select Col1 Where Col2 = '""&amp;Personagem!$AC$17&amp;""' or Col2 = '""&amp;Personagem!$AC$18&amp;""'""
)))))))))))))))))))))))))))))"),"Pó Colorido")</f>
        <v>Pó Colorido</v>
      </c>
      <c r="H1196" s="241"/>
      <c r="I1196" s="241" t="str">
        <f>IFERROR(__xludf.DUMMYFUNCTION("if('Time 3'!C7 = ""Albert"", query(IMPORTRANGE(cd_planilha, ""Armas!B3:G""), ""Select Col1 Where Col2 = '""&amp;Personagem!$B$17&amp;""' or Col2 = '""&amp;Personagem!$B$18&amp;""'""),     
if('Time 3'!C7 = ""Alicia"", query(IMPORTRANGE(cd_planilha, ""Armas!B3:G""), ""Sel"&amp;"ect Col1 Where Col2 = '""&amp;Personagem!$C$17&amp;""' or Col2 = '""&amp;Personagem!$C$18&amp;""'""),
if('Time 3'!C7 = ""Azula"", query(IMPORTRANGE(cd_planilha, ""Armas!B3:G""), ""Select Col1 Where Col2 = '""&amp;Personagem!$D$17&amp;""' or Col2 = '""&amp;Personagem!$D$18&amp;""' ""),
i"&amp;"f('Time 3'!C7 = ""Charles"", query(IMPORTRANGE(cd_planilha, ""Armas!B3:G""), ""Select Col1 Where Col2 = '""&amp;Personagem!$E$17&amp;""' or Col2 = '""&amp;Personagem!$E$18&amp;""'""),
if('Time 3'!C7 = ""Clovis"", query(IMPORTRANGE(cd_planilha, ""Armas!B3:G""), ""Select C"&amp;"ol1 Where Col2 = '""&amp;Personagem!$F$17&amp;""' or Col2 = '""&amp;Personagem!$F$18&amp;""' ""),
if('Time 3'!C7 = ""Darthos"", query(IMPORTRANGE(cd_planilha, ""Armas!B3:G""), ""Select Col1 Where Col2 = '""&amp;Personagem!$G$17&amp;""' or Col2 = '""&amp;Personagem!$G$18&amp;""'""),
if('"&amp;"Time 3'!C7 = ""Edward"", query(IMPORTRANGE(cd_planilha, ""Armas!B3:G""), ""Select Col1 Where Col2 = '""&amp;Personagem!$H$17&amp;""' or Col2 = '""&amp;Personagem!$H$18&amp;""' ""),
if('Time 3'!C7 = ""Fiora"", query(IMPORTRANGE(cd_planilha, ""Armas!B3:G""), ""Select Col1 "&amp;"Where Col2 = '""&amp;Personagem!$I$17&amp;""' or Col2 = '""&amp;Personagem!$I$18&amp;""' ""),
if('Time 3'!C7 = ""Francesca"", query(IMPORTRANGE(cd_planilha, ""Armas!B3:G""), ""Select Col1 Where Col2 = '""&amp;Personagem!$J$17&amp;""' or Col2 = '""&amp;Personagem!$J$18&amp;""'""),
if('Ti"&amp;"me 3'!C7 = ""Garreth"", query(IMPORTRANGE(cd_planilha, ""Armas!B3:G""), ""Select Col1 Where Col2 = '""&amp;Personagem!$K$17&amp;""' or Col2 = '""&amp;Personagem!$K$18&amp;""'""),
if('Time 3'!C7 = ""Gauvin"", query(IMPORTRANGE(cd_planilha, ""Armas!B3:G""), ""Select Col1 W"&amp;"here Col2 = '""&amp;Personagem!$L$17&amp;""' or Col2 = '""&amp;Personagem!$L$18&amp;""' ""),
if('Time 3'!C7 = ""Irene"", query(IMPORTRANGE(cd_planilha, ""Armas!B3:G""), ""Select Col1 Where Col2 = '""&amp;Personagem!$M$17&amp;""' or Col2 = '""&amp;Personagem!$M$18&amp;""' ""),
if('Time 3"&amp;"'!C7 = ""Karal"", query(IMPORTRANGE(cd_planilha, ""Armas!B3:G""), ""Select Col1 Where Col2 = '""&amp;Personagem!$N$17&amp;""' or Col2 = '""&amp;Personagem!$N$18&amp;""' ""),
if('Time 3'!C7 = ""Kuro Shobi"", query(IMPORTRANGE(cd_planilha, ""Armas!B3:G""), ""Select Col1 Wh"&amp;"ere Col2 = '""&amp;Personagem!$O$17&amp;""' or Col2 = '""&amp;Personagem!$O$18&amp;""'""),
if('Time 3'!C7 = ""Kurul"", query(IMPORTRANGE(cd_planilha, ""Armas!B3:G""), ""Select Col1 Where Col2 = '""&amp;Personagem!$P$17&amp;""' or Col2 = '""&amp;Personagem!$P$18&amp;""' ""),
if('Time 3'!"&amp;"C7 = ""Lancaster"", query(IMPORTRANGE(cd_planilha, ""Armas!B3:G""), ""Select Col1 Where Col2 = '""&amp;Personagem!$Q$17&amp;""' or Col2 = '""&amp;Personagem!$Q$18&amp;""'""),
if('Time 3'!C7 = ""Lorelei"", query(IMPORTRANGE(cd_planilha, ""Armas!B3:G""), ""Select Col1 Wher"&amp;"e Col2 = '""&amp;Personagem!$R$17&amp;""' or Col2 = '""&amp;Personagem!$R$18&amp;""' ""),
if('Time 3'!C7 = ""Louca"", query(IMPORTRANGE(cd_planilha, ""Armas!B3:G""), ""Select Col1 Where Col2 = '""&amp;Personagem!$S$17&amp;""' or Col2 = '""&amp;Personagem!$S$18&amp;""' ""),
if('Time 3'!C"&amp;"7 = ""Melina"", query(IMPORTRANGE(cd_planilha, ""Armas!B3:G""), ""Select Col1 Where Col2 = '""&amp;Personagem!$T$17&amp;""' or Col2 = '""&amp;Personagem!$T$18&amp;""'""),
if('Time 3'!C7 = ""Mila"", query(IMPORTRANGE(cd_planilha, ""Armas!B3:G""), ""Select Col1 Where Col2 "&amp;"= '""&amp;Personagem!$U$17&amp;""' or Col2 = '""&amp;Personagem!$U$18&amp;""' ""),
if('Time 3'!C7 = ""Minh"", query(IMPORTRANGE(cd_planilha, ""Armas!B3:G""), ""Select Col1 Where Col2 = '""&amp;Personagem!$V$17&amp;""' or Col2 = '""&amp;Personagem!$V$18&amp;""' ""),
if('Time 3'!C7 = ""Mo"&amp;"jian"", query(IMPORTRANGE(cd_planilha, ""Armas!B3:G""), ""Select Col1 Where Col2 = '""&amp;Personagem!$W$17&amp;""' or Col2 = '""&amp;Personagem!$W$18&amp;""'""),
if('Time 3'!C7 = ""Nya"", query(IMPORTRANGE(cd_planilha, ""Armas!B3:G""), ""Select Col1 Where Col2 = '""&amp;Per"&amp;"sonagem!$X$17&amp;""' or Col2 = '""&amp;Personagem!$X$18&amp;""' ""),
if('Time 3'!C7 = ""Odette"", query(IMPORTRANGE(cd_planilha, ""Armas!B3:G""), ""Select Col1 Where Col2 = '""&amp;Personagem!$Y$17&amp;""' or Col2 = '""&amp;Personagem!$Y$18&amp;""'""),
if('Time 3'!C7 = ""Oneira"", "&amp;"query(IMPORTRANGE(cd_planilha, ""Armas!B3:G""), ""Select Col1 Where Col2 = '""&amp;Personagem!$Z$17&amp;""' or Col2 = '""&amp;Personagem!$Z$18&amp;""' ""),
if('Time 3'!C7 = ""Palash"", query(IMPORTRANGE(cd_planilha, ""Armas!B3:G""), ""Select Col1 Where Col2 = '""&amp;Persona"&amp;"gem!$AA$17&amp;""' or Col2 = '""&amp;Personagem!$AA$18&amp;""'""),
if('Time 3'!C7 = ""Theor"", query(IMPORTRANGE(cd_planilha, ""Armas!B3:G""), ""Select Col1 Where Col2 = '""&amp;Personagem!$AB$17&amp;""' or Col2 = '""&amp;Personagem!$AB$18&amp;""' ""),
if('Time 3'!C7 = ""Yue"", quer"&amp;"y(IMPORTRANGE(cd_planilha, ""Armas!B3:G""), ""Select Col1 Where Col2 = '""&amp;Personagem!$AC$17&amp;""' or Col2 = '""&amp;Personagem!$AC$18&amp;""'""
)))))))))))))))))))))))))))))"),"Pó Colorido")</f>
        <v>Pó Colorido</v>
      </c>
      <c r="J1196" s="241"/>
      <c r="K1196" s="241" t="str">
        <f>IFERROR(__xludf.DUMMYFUNCTION("if('Time 3'!C8 = ""Albert"", query(IMPORTRANGE(cd_planilha, ""Armas!B3:G""), ""Select Col1 Where Col2 = '""&amp;Personagem!$B$17&amp;""' or Col2 = '""&amp;Personagem!$B$18&amp;""'""),     
if('Time 3'!C8 = ""Alicia"", query(IMPORTRANGE(cd_planilha, ""Armas!B3:G""), ""Sel"&amp;"ect Col1 Where Col2 = '""&amp;Personagem!$C$17&amp;""' or Col2 = '""&amp;Personagem!$C$18&amp;""'""),
if('Time 3'!C8 = ""Azula"", query(IMPORTRANGE(cd_planilha, ""Armas!B3:G""), ""Select Col1 Where Col2 = '""&amp;Personagem!$D$17&amp;""' or Col2 = '""&amp;Personagem!$D$18&amp;""' ""),
i"&amp;"f('Time 3'!C8 = ""Charles"", query(IMPORTRANGE(cd_planilha, ""Armas!B3:G""), ""Select Col1 Where Col2 = '""&amp;Personagem!$E$17&amp;""' or Col2 = '""&amp;Personagem!$E$18&amp;""'""),
if('Time 3'!C8 = ""Clovis"", query(IMPORTRANGE(cd_planilha, ""Armas!B3:G""), ""Select C"&amp;"ol1 Where Col2 = '""&amp;Personagem!$F$17&amp;""' or Col2 = '""&amp;Personagem!$F$18&amp;""' ""),
if('Time 3'!C8 = ""Darthos"", query(IMPORTRANGE(cd_planilha, ""Armas!B3:G""), ""Select Col1 Where Col2 = '""&amp;Personagem!$G$17&amp;""' or Col2 = '""&amp;Personagem!$G$18&amp;""'""),
if('"&amp;"Time 3'!C8 = ""Edward"", query(IMPORTRANGE(cd_planilha, ""Armas!B3:G""), ""Select Col1 Where Col2 = '""&amp;Personagem!$H$17&amp;""' or Col2 = '""&amp;Personagem!$H$18&amp;""' ""),
if('Time 3'!C8 = ""Fiora"", query(IMPORTRANGE(cd_planilha, ""Armas!B3:G""), ""Select Col1 "&amp;"Where Col2 = '""&amp;Personagem!$I$17&amp;""' or Col2 = '""&amp;Personagem!$I$18&amp;""' ""),
if('Time 3'!C8 = ""Francesca"", query(IMPORTRANGE(cd_planilha, ""Armas!B3:G""), ""Select Col1 Where Col2 = '""&amp;Personagem!$J$17&amp;""' or Col2 = '""&amp;Personagem!$J$18&amp;""'""),
if('Ti"&amp;"me 3'!C8 = ""Garreth"", query(IMPORTRANGE(cd_planilha, ""Armas!B3:G""), ""Select Col1 Where Col2 = '""&amp;Personagem!$K$17&amp;""' or Col2 = '""&amp;Personagem!$K$18&amp;""'""),
if('Time 3'!C8 = ""Gauvin"", query(IMPORTRANGE(cd_planilha, ""Armas!B3:G""), ""Select Col1 W"&amp;"here Col2 = '""&amp;Personagem!$L$17&amp;""' or Col2 = '""&amp;Personagem!$L$18&amp;""' ""),
if('Time 3'!C8 = ""Irene"", query(IMPORTRANGE(cd_planilha, ""Armas!B3:G""), ""Select Col1 Where Col2 = '""&amp;Personagem!$M$17&amp;""' or Col2 = '""&amp;Personagem!$M$18&amp;""' ""),
if('Time 3"&amp;"'!C8 = ""Karal"", query(IMPORTRANGE(cd_planilha, ""Armas!B3:G""), ""Select Col1 Where Col2 = '""&amp;Personagem!$N$17&amp;""' or Col2 = '""&amp;Personagem!$N$18&amp;""' ""),
if('Time 3'!C8 = ""Kuro Shobi"", query(IMPORTRANGE(cd_planilha, ""Armas!B3:G""), ""Select Col1 Wh"&amp;"ere Col2 = '""&amp;Personagem!$O$17&amp;""' or Col2 = '""&amp;Personagem!$O$18&amp;""'""),
if('Time 3'!C8 = ""Kurul"", query(IMPORTRANGE(cd_planilha, ""Armas!B3:G""), ""Select Col1 Where Col2 = '""&amp;Personagem!$P$17&amp;""' or Col2 = '""&amp;Personagem!$P$18&amp;""' ""),
if('Time 3'!"&amp;"C8 = ""Lancaster"", query(IMPORTRANGE(cd_planilha, ""Armas!B3:G""), ""Select Col1 Where Col2 = '""&amp;Personagem!$Q$17&amp;""' or Col2 = '""&amp;Personagem!$Q$18&amp;""'""),
if('Time 3'!C8 = ""Lorelei"", query(IMPORTRANGE(cd_planilha, ""Armas!B3:G""), ""Select Col1 Wher"&amp;"e Col2 = '""&amp;Personagem!$R$17&amp;""' or Col2 = '""&amp;Personagem!$R$18&amp;""' ""),
if('Time 3'!C8 = ""Louca"", query(IMPORTRANGE(cd_planilha, ""Armas!B3:G""), ""Select Col1 Where Col2 = '""&amp;Personagem!$S$17&amp;""' or Col2 = '""&amp;Personagem!$S$18&amp;""' ""),
if('Time 3'!C"&amp;"8 = ""Melina"", query(IMPORTRANGE(cd_planilha, ""Armas!B3:G""), ""Select Col1 Where Col2 = '""&amp;Personagem!$T$17&amp;""' or Col2 = '""&amp;Personagem!$T$18&amp;""'""),
if('Time 3'!C8 = ""Mila"", query(IMPORTRANGE(cd_planilha, ""Armas!B3:G""), ""Select Col1 Where Col2 "&amp;"= '""&amp;Personagem!$U$17&amp;""' or Col2 = '""&amp;Personagem!$U$18&amp;""' ""),
if('Time 3'!C8 = ""Minh"", query(IMPORTRANGE(cd_planilha, ""Armas!B3:G""), ""Select Col1 Where Col2 = '""&amp;Personagem!$V$17&amp;""' or Col2 = '""&amp;Personagem!$V$18&amp;""' ""),
if('Time 3'!C8 = ""Mo"&amp;"jian"", query(IMPORTRANGE(cd_planilha, ""Armas!B3:G""), ""Select Col1 Where Col2 = '""&amp;Personagem!$W$17&amp;""' or Col2 = '""&amp;Personagem!$W$18&amp;""'""),
if('Time 3'!C8 = ""Nya"", query(IMPORTRANGE(cd_planilha, ""Armas!B3:G""), ""Select Col1 Where Col2 = '""&amp;Per"&amp;"sonagem!$X$17&amp;""' or Col2 = '""&amp;Personagem!$X$18&amp;""' ""),
if('Time 3'!C8 = ""Odette"", query(IMPORTRANGE(cd_planilha, ""Armas!B3:G""), ""Select Col1 Where Col2 = '""&amp;Personagem!$Y$17&amp;""' or Col2 = '""&amp;Personagem!$Y$18&amp;""'""),
if('Time 3'!C8 = ""Oneira"", "&amp;"query(IMPORTRANGE(cd_planilha, ""Armas!B3:G""), ""Select Col1 Where Col2 = '""&amp;Personagem!$Z$17&amp;""' or Col2 = '""&amp;Personagem!$Z$18&amp;""' ""),
if('Time 3'!C8 = ""Palash"", query(IMPORTRANGE(cd_planilha, ""Armas!B3:G""), ""Select Col1 Where Col2 = '""&amp;Persona"&amp;"gem!$AA$17&amp;""' or Col2 = '""&amp;Personagem!$AA$18&amp;""'""),
if('Time 3'!C8 = ""Theor"", query(IMPORTRANGE(cd_planilha, ""Armas!B3:G""), ""Select Col1 Where Col2 = '""&amp;Personagem!$AB$17&amp;""' or Col2 = '""&amp;Personagem!$AB$18&amp;""' ""),
if('Time 3'!C8 = ""Yue"", quer"&amp;"y(IMPORTRANGE(cd_planilha, ""Armas!B3:G""), ""Select Col1 Where Col2 = '""&amp;Personagem!$AC$17&amp;""' or Col2 = '""&amp;Personagem!$AC$18&amp;""'""
)))))))))))))))))))))))))))))"),"Totem da Dor")</f>
        <v>Totem da Dor</v>
      </c>
      <c r="L1196" s="242"/>
      <c r="M1196" s="241"/>
      <c r="N1196" s="241"/>
      <c r="O1196" s="241"/>
      <c r="P1196" s="241"/>
      <c r="Q1196" s="241"/>
      <c r="R1196" s="241"/>
      <c r="S1196" s="241"/>
      <c r="T1196" s="241"/>
      <c r="U1196" s="241"/>
      <c r="V1196" s="241"/>
      <c r="W1196" s="241"/>
      <c r="X1196" s="243"/>
      <c r="Y1196" s="243"/>
      <c r="Z1196" s="243"/>
      <c r="AA1196" s="243"/>
      <c r="AB1196" s="243"/>
      <c r="AC1196" s="243"/>
      <c r="AD1196" s="243"/>
      <c r="AE1196" s="243"/>
      <c r="AF1196" s="243"/>
      <c r="AG1196" s="243"/>
      <c r="AH1196" s="243"/>
      <c r="AI1196" s="243"/>
      <c r="AJ1196" s="243"/>
    </row>
    <row r="1197">
      <c r="A1197" s="241" t="str">
        <f>IFERROR(__xludf.DUMMYFUNCTION("""COMPUTED_VALUE"""),"Semente Rápida")</f>
        <v>Semente Rápida</v>
      </c>
      <c r="B1197" s="241"/>
      <c r="C1197" s="241" t="str">
        <f>IFERROR(__xludf.DUMMYFUNCTION("""COMPUTED_VALUE"""),"A arte da guerra")</f>
        <v>A arte da guerra</v>
      </c>
      <c r="D1197" s="241"/>
      <c r="E1197" s="241" t="str">
        <f>IFERROR(__xludf.DUMMYFUNCTION("""COMPUTED_VALUE"""),"Semente Rápida")</f>
        <v>Semente Rápida</v>
      </c>
      <c r="F1197" s="241"/>
      <c r="G1197" s="241" t="str">
        <f>IFERROR(__xludf.DUMMYFUNCTION("""COMPUTED_VALUE"""),"Semente Rápida")</f>
        <v>Semente Rápida</v>
      </c>
      <c r="H1197" s="241"/>
      <c r="I1197" s="241" t="str">
        <f>IFERROR(__xludf.DUMMYFUNCTION("""COMPUTED_VALUE"""),"Semente Rápida")</f>
        <v>Semente Rápida</v>
      </c>
      <c r="J1197" s="241"/>
      <c r="K1197" s="241" t="str">
        <f>IFERROR(__xludf.DUMMYFUNCTION("""COMPUTED_VALUE"""),"A arte da guerra")</f>
        <v>A arte da guerra</v>
      </c>
      <c r="L1197" s="242"/>
      <c r="M1197" s="241"/>
      <c r="N1197" s="241"/>
      <c r="O1197" s="241"/>
      <c r="P1197" s="241"/>
      <c r="Q1197" s="241"/>
      <c r="R1197" s="241"/>
      <c r="S1197" s="241"/>
      <c r="T1197" s="241"/>
      <c r="U1197" s="241"/>
      <c r="V1197" s="241"/>
      <c r="W1197" s="241"/>
      <c r="X1197" s="243"/>
      <c r="Y1197" s="243"/>
      <c r="Z1197" s="243"/>
      <c r="AA1197" s="243"/>
      <c r="AB1197" s="243"/>
      <c r="AC1197" s="243"/>
      <c r="AD1197" s="243"/>
      <c r="AE1197" s="243"/>
      <c r="AF1197" s="243"/>
      <c r="AG1197" s="243"/>
      <c r="AH1197" s="243"/>
      <c r="AI1197" s="243"/>
      <c r="AJ1197" s="243"/>
    </row>
    <row r="1198" hidden="1">
      <c r="A1198" s="241" t="str">
        <f>IFERROR(__xludf.DUMMYFUNCTION("""COMPUTED_VALUE"""),"Chá Revitalizador ")</f>
        <v>Chá Revitalizador </v>
      </c>
      <c r="B1198" s="241"/>
      <c r="C1198" s="241" t="str">
        <f>IFERROR(__xludf.DUMMYFUNCTION("""COMPUTED_VALUE"""),"Ordem Imperial")</f>
        <v>Ordem Imperial</v>
      </c>
      <c r="D1198" s="241"/>
      <c r="E1198" s="241" t="str">
        <f>IFERROR(__xludf.DUMMYFUNCTION("""COMPUTED_VALUE"""),"Chá Revitalizador ")</f>
        <v>Chá Revitalizador </v>
      </c>
      <c r="F1198" s="241"/>
      <c r="G1198" s="241" t="str">
        <f>IFERROR(__xludf.DUMMYFUNCTION("""COMPUTED_VALUE"""),"Chá Revitalizador ")</f>
        <v>Chá Revitalizador </v>
      </c>
      <c r="H1198" s="241"/>
      <c r="I1198" s="241" t="str">
        <f>IFERROR(__xludf.DUMMYFUNCTION("""COMPUTED_VALUE"""),"Chá Revitalizador ")</f>
        <v>Chá Revitalizador </v>
      </c>
      <c r="J1198" s="241"/>
      <c r="K1198" s="241" t="str">
        <f>IFERROR(__xludf.DUMMYFUNCTION("""COMPUTED_VALUE"""),"Ordem Imperial")</f>
        <v>Ordem Imperial</v>
      </c>
      <c r="L1198" s="242"/>
      <c r="M1198" s="241"/>
      <c r="N1198" s="241"/>
      <c r="O1198" s="241"/>
      <c r="P1198" s="241"/>
      <c r="Q1198" s="241"/>
      <c r="R1198" s="241"/>
      <c r="S1198" s="241"/>
      <c r="T1198" s="241"/>
      <c r="U1198" s="241"/>
      <c r="V1198" s="241"/>
      <c r="W1198" s="241"/>
      <c r="X1198" s="243"/>
      <c r="Y1198" s="243"/>
      <c r="Z1198" s="243"/>
      <c r="AA1198" s="243"/>
      <c r="AB1198" s="243"/>
      <c r="AC1198" s="243"/>
      <c r="AD1198" s="243"/>
      <c r="AE1198" s="243"/>
      <c r="AF1198" s="243"/>
      <c r="AG1198" s="243"/>
      <c r="AH1198" s="243"/>
      <c r="AI1198" s="243"/>
      <c r="AJ1198" s="243"/>
    </row>
    <row r="1199" hidden="1">
      <c r="A1199" s="241" t="str">
        <f>IFERROR(__xludf.DUMMYFUNCTION("""COMPUTED_VALUE"""),"Semente forte")</f>
        <v>Semente forte</v>
      </c>
      <c r="B1199" s="241"/>
      <c r="C1199" s="241" t="str">
        <f>IFERROR(__xludf.DUMMYFUNCTION("""COMPUTED_VALUE"""),"Celtic Slate")</f>
        <v>Celtic Slate</v>
      </c>
      <c r="D1199" s="241"/>
      <c r="E1199" s="241" t="str">
        <f>IFERROR(__xludf.DUMMYFUNCTION("""COMPUTED_VALUE"""),"Semente forte")</f>
        <v>Semente forte</v>
      </c>
      <c r="F1199" s="241"/>
      <c r="G1199" s="241" t="str">
        <f>IFERROR(__xludf.DUMMYFUNCTION("""COMPUTED_VALUE"""),"Semente forte")</f>
        <v>Semente forte</v>
      </c>
      <c r="H1199" s="241"/>
      <c r="I1199" s="241" t="str">
        <f>IFERROR(__xludf.DUMMYFUNCTION("""COMPUTED_VALUE"""),"Semente forte")</f>
        <v>Semente forte</v>
      </c>
      <c r="J1199" s="241"/>
      <c r="K1199" s="241" t="str">
        <f>IFERROR(__xludf.DUMMYFUNCTION("""COMPUTED_VALUE"""),"Celtic Slate")</f>
        <v>Celtic Slate</v>
      </c>
      <c r="L1199" s="242"/>
      <c r="M1199" s="241"/>
      <c r="N1199" s="241"/>
      <c r="O1199" s="241"/>
      <c r="P1199" s="241"/>
      <c r="Q1199" s="241"/>
      <c r="R1199" s="241"/>
      <c r="S1199" s="241"/>
      <c r="T1199" s="241"/>
      <c r="U1199" s="241"/>
      <c r="V1199" s="241"/>
      <c r="W1199" s="241"/>
      <c r="X1199" s="243"/>
      <c r="Y1199" s="243"/>
      <c r="Z1199" s="243"/>
      <c r="AA1199" s="243"/>
      <c r="AB1199" s="243"/>
      <c r="AC1199" s="243"/>
      <c r="AD1199" s="243"/>
      <c r="AE1199" s="243"/>
      <c r="AF1199" s="243"/>
      <c r="AG1199" s="243"/>
      <c r="AH1199" s="243"/>
      <c r="AI1199" s="243"/>
      <c r="AJ1199" s="243"/>
    </row>
    <row r="1200" hidden="1">
      <c r="A1200" s="241" t="str">
        <f>IFERROR(__xludf.DUMMYFUNCTION("""COMPUTED_VALUE"""),"Panaceia")</f>
        <v>Panaceia</v>
      </c>
      <c r="B1200" s="241"/>
      <c r="C1200" s="241" t="str">
        <f>IFERROR(__xludf.DUMMYFUNCTION("""COMPUTED_VALUE"""),"Codéx Mágico")</f>
        <v>Codéx Mágico</v>
      </c>
      <c r="D1200" s="241"/>
      <c r="E1200" s="241" t="str">
        <f>IFERROR(__xludf.DUMMYFUNCTION("""COMPUTED_VALUE"""),"Panaceia")</f>
        <v>Panaceia</v>
      </c>
      <c r="F1200" s="241"/>
      <c r="G1200" s="241" t="str">
        <f>IFERROR(__xludf.DUMMYFUNCTION("""COMPUTED_VALUE"""),"Panaceia")</f>
        <v>Panaceia</v>
      </c>
      <c r="H1200" s="241"/>
      <c r="I1200" s="241" t="str">
        <f>IFERROR(__xludf.DUMMYFUNCTION("""COMPUTED_VALUE"""),"Panaceia")</f>
        <v>Panaceia</v>
      </c>
      <c r="J1200" s="241"/>
      <c r="K1200" s="241" t="str">
        <f>IFERROR(__xludf.DUMMYFUNCTION("""COMPUTED_VALUE"""),"Codéx Mágico")</f>
        <v>Codéx Mágico</v>
      </c>
      <c r="L1200" s="242"/>
      <c r="M1200" s="241"/>
      <c r="N1200" s="241"/>
      <c r="O1200" s="241"/>
      <c r="P1200" s="241"/>
      <c r="Q1200" s="241"/>
      <c r="R1200" s="241"/>
      <c r="S1200" s="241"/>
      <c r="T1200" s="241"/>
      <c r="U1200" s="241"/>
      <c r="V1200" s="241"/>
      <c r="W1200" s="241"/>
      <c r="X1200" s="243"/>
      <c r="Y1200" s="243"/>
      <c r="Z1200" s="243"/>
      <c r="AA1200" s="243"/>
      <c r="AB1200" s="243"/>
      <c r="AC1200" s="243"/>
      <c r="AD1200" s="243"/>
      <c r="AE1200" s="243"/>
      <c r="AF1200" s="243"/>
      <c r="AG1200" s="243"/>
      <c r="AH1200" s="243"/>
      <c r="AI1200" s="243"/>
      <c r="AJ1200" s="243"/>
    </row>
    <row r="1201" hidden="1">
      <c r="A1201" s="241" t="str">
        <f>IFERROR(__xludf.DUMMYFUNCTION("""COMPUTED_VALUE"""),"Lucky Clover")</f>
        <v>Lucky Clover</v>
      </c>
      <c r="B1201" s="241"/>
      <c r="C1201" s="241" t="str">
        <f>IFERROR(__xludf.DUMMYFUNCTION("""COMPUTED_VALUE"""),"Selo do Mal")</f>
        <v>Selo do Mal</v>
      </c>
      <c r="D1201" s="241"/>
      <c r="E1201" s="241" t="str">
        <f>IFERROR(__xludf.DUMMYFUNCTION("""COMPUTED_VALUE"""),"Lucky Clover")</f>
        <v>Lucky Clover</v>
      </c>
      <c r="F1201" s="241"/>
      <c r="G1201" s="241" t="str">
        <f>IFERROR(__xludf.DUMMYFUNCTION("""COMPUTED_VALUE"""),"Lucky Clover")</f>
        <v>Lucky Clover</v>
      </c>
      <c r="H1201" s="241"/>
      <c r="I1201" s="241" t="str">
        <f>IFERROR(__xludf.DUMMYFUNCTION("""COMPUTED_VALUE"""),"Lucky Clover")</f>
        <v>Lucky Clover</v>
      </c>
      <c r="J1201" s="241"/>
      <c r="K1201" s="241" t="str">
        <f>IFERROR(__xludf.DUMMYFUNCTION("""COMPUTED_VALUE"""),"Selo do Mal")</f>
        <v>Selo do Mal</v>
      </c>
      <c r="L1201" s="242"/>
      <c r="M1201" s="241"/>
      <c r="N1201" s="241"/>
      <c r="O1201" s="241"/>
      <c r="P1201" s="241"/>
      <c r="Q1201" s="241"/>
      <c r="R1201" s="241"/>
      <c r="S1201" s="241"/>
      <c r="T1201" s="241"/>
      <c r="U1201" s="241"/>
      <c r="V1201" s="241"/>
      <c r="W1201" s="241"/>
      <c r="X1201" s="243"/>
      <c r="Y1201" s="243"/>
      <c r="Z1201" s="243"/>
      <c r="AA1201" s="243"/>
      <c r="AB1201" s="243"/>
      <c r="AC1201" s="243"/>
      <c r="AD1201" s="243"/>
      <c r="AE1201" s="243"/>
      <c r="AF1201" s="243"/>
      <c r="AG1201" s="243"/>
      <c r="AH1201" s="243"/>
      <c r="AI1201" s="243"/>
      <c r="AJ1201" s="243"/>
    </row>
    <row r="1202" hidden="1">
      <c r="A1202" s="241" t="str">
        <f>IFERROR(__xludf.DUMMYFUNCTION("""COMPUTED_VALUE"""),"Semente mágica")</f>
        <v>Semente mágica</v>
      </c>
      <c r="B1202" s="241"/>
      <c r="C1202" s="241" t="str">
        <f>IFERROR(__xludf.DUMMYFUNCTION("""COMPUTED_VALUE"""),"Selo de Tigre")</f>
        <v>Selo de Tigre</v>
      </c>
      <c r="D1202" s="241"/>
      <c r="E1202" s="241" t="str">
        <f>IFERROR(__xludf.DUMMYFUNCTION("""COMPUTED_VALUE"""),"Semente mágica")</f>
        <v>Semente mágica</v>
      </c>
      <c r="F1202" s="241"/>
      <c r="G1202" s="241" t="str">
        <f>IFERROR(__xludf.DUMMYFUNCTION("""COMPUTED_VALUE"""),"Semente mágica")</f>
        <v>Semente mágica</v>
      </c>
      <c r="H1202" s="241"/>
      <c r="I1202" s="241" t="str">
        <f>IFERROR(__xludf.DUMMYFUNCTION("""COMPUTED_VALUE"""),"Semente mágica")</f>
        <v>Semente mágica</v>
      </c>
      <c r="J1202" s="241"/>
      <c r="K1202" s="241" t="str">
        <f>IFERROR(__xludf.DUMMYFUNCTION("""COMPUTED_VALUE"""),"Selo de Tigre")</f>
        <v>Selo de Tigre</v>
      </c>
      <c r="L1202" s="242"/>
      <c r="M1202" s="241"/>
      <c r="N1202" s="241"/>
      <c r="O1202" s="241"/>
      <c r="P1202" s="241"/>
      <c r="Q1202" s="241"/>
      <c r="R1202" s="241"/>
      <c r="S1202" s="241"/>
      <c r="T1202" s="241"/>
      <c r="U1202" s="241"/>
      <c r="V1202" s="241"/>
      <c r="W1202" s="241"/>
      <c r="X1202" s="243"/>
      <c r="Y1202" s="243"/>
      <c r="Z1202" s="243"/>
      <c r="AA1202" s="243"/>
      <c r="AB1202" s="243"/>
      <c r="AC1202" s="243"/>
      <c r="AD1202" s="243"/>
      <c r="AE1202" s="243"/>
      <c r="AF1202" s="243"/>
      <c r="AG1202" s="243"/>
      <c r="AH1202" s="243"/>
      <c r="AI1202" s="243"/>
      <c r="AJ1202" s="243"/>
    </row>
    <row r="1203" hidden="1">
      <c r="A1203" s="241" t="str">
        <f>IFERROR(__xludf.DUMMYFUNCTION("""COMPUTED_VALUE"""),"Feijões Mágicos ")</f>
        <v>Feijões Mágicos </v>
      </c>
      <c r="B1203" s="241"/>
      <c r="C1203" s="241" t="str">
        <f>IFERROR(__xludf.DUMMYFUNCTION("""COMPUTED_VALUE"""),"Compêndio Arcano")</f>
        <v>Compêndio Arcano</v>
      </c>
      <c r="D1203" s="241"/>
      <c r="E1203" s="241" t="str">
        <f>IFERROR(__xludf.DUMMYFUNCTION("""COMPUTED_VALUE"""),"Feijões Mágicos ")</f>
        <v>Feijões Mágicos </v>
      </c>
      <c r="F1203" s="241"/>
      <c r="G1203" s="241" t="str">
        <f>IFERROR(__xludf.DUMMYFUNCTION("""COMPUTED_VALUE"""),"Feijões Mágicos ")</f>
        <v>Feijões Mágicos </v>
      </c>
      <c r="H1203" s="241"/>
      <c r="I1203" s="241" t="str">
        <f>IFERROR(__xludf.DUMMYFUNCTION("""COMPUTED_VALUE"""),"Feijões Mágicos ")</f>
        <v>Feijões Mágicos </v>
      </c>
      <c r="J1203" s="241"/>
      <c r="K1203" s="241" t="str">
        <f>IFERROR(__xludf.DUMMYFUNCTION("""COMPUTED_VALUE"""),"Compêndio Arcano")</f>
        <v>Compêndio Arcano</v>
      </c>
      <c r="L1203" s="242"/>
      <c r="M1203" s="241"/>
      <c r="N1203" s="241"/>
      <c r="O1203" s="241"/>
      <c r="P1203" s="241"/>
      <c r="Q1203" s="241"/>
      <c r="R1203" s="241"/>
      <c r="S1203" s="241"/>
      <c r="T1203" s="241"/>
      <c r="U1203" s="241"/>
      <c r="V1203" s="241"/>
      <c r="W1203" s="241"/>
      <c r="X1203" s="243"/>
      <c r="Y1203" s="243"/>
      <c r="Z1203" s="243"/>
      <c r="AA1203" s="243"/>
      <c r="AB1203" s="243"/>
      <c r="AC1203" s="243"/>
      <c r="AD1203" s="243"/>
      <c r="AE1203" s="243"/>
      <c r="AF1203" s="243"/>
      <c r="AG1203" s="243"/>
      <c r="AH1203" s="243"/>
      <c r="AI1203" s="243"/>
      <c r="AJ1203" s="243"/>
    </row>
    <row r="1204" hidden="1">
      <c r="A1204" s="241" t="str">
        <f>IFERROR(__xludf.DUMMYFUNCTION("""COMPUTED_VALUE"""),"Pó de demônio")</f>
        <v>Pó de demônio</v>
      </c>
      <c r="B1204" s="241"/>
      <c r="C1204" s="241" t="str">
        <f>IFERROR(__xludf.DUMMYFUNCTION("""COMPUTED_VALUE"""),"Pergaminho de Retorno")</f>
        <v>Pergaminho de Retorno</v>
      </c>
      <c r="D1204" s="241"/>
      <c r="E1204" s="241" t="str">
        <f>IFERROR(__xludf.DUMMYFUNCTION("""COMPUTED_VALUE"""),"Pó de demônio")</f>
        <v>Pó de demônio</v>
      </c>
      <c r="F1204" s="241"/>
      <c r="G1204" s="241" t="str">
        <f>IFERROR(__xludf.DUMMYFUNCTION("""COMPUTED_VALUE"""),"Pó de demônio")</f>
        <v>Pó de demônio</v>
      </c>
      <c r="H1204" s="241"/>
      <c r="I1204" s="241" t="str">
        <f>IFERROR(__xludf.DUMMYFUNCTION("""COMPUTED_VALUE"""),"Pó de demônio")</f>
        <v>Pó de demônio</v>
      </c>
      <c r="J1204" s="241"/>
      <c r="K1204" s="241" t="str">
        <f>IFERROR(__xludf.DUMMYFUNCTION("""COMPUTED_VALUE"""),"Pergaminho de Retorno")</f>
        <v>Pergaminho de Retorno</v>
      </c>
      <c r="L1204" s="242"/>
      <c r="M1204" s="241"/>
      <c r="N1204" s="241"/>
      <c r="O1204" s="241"/>
      <c r="P1204" s="241"/>
      <c r="Q1204" s="241"/>
      <c r="R1204" s="241"/>
      <c r="S1204" s="241"/>
      <c r="T1204" s="241"/>
      <c r="U1204" s="241"/>
      <c r="V1204" s="241"/>
      <c r="W1204" s="241"/>
      <c r="X1204" s="243"/>
      <c r="Y1204" s="243"/>
      <c r="Z1204" s="243"/>
      <c r="AA1204" s="243"/>
      <c r="AB1204" s="243"/>
      <c r="AC1204" s="243"/>
      <c r="AD1204" s="243"/>
      <c r="AE1204" s="243"/>
      <c r="AF1204" s="243"/>
      <c r="AG1204" s="243"/>
      <c r="AH1204" s="243"/>
      <c r="AI1204" s="243"/>
      <c r="AJ1204" s="243"/>
    </row>
    <row r="1205" hidden="1">
      <c r="A1205" s="241" t="str">
        <f>IFERROR(__xludf.DUMMYFUNCTION("""COMPUTED_VALUE"""),"Chá dragônico")</f>
        <v>Chá dragônico</v>
      </c>
      <c r="B1205" s="241"/>
      <c r="C1205" s="241" t="str">
        <f>IFERROR(__xludf.DUMMYFUNCTION("""COMPUTED_VALUE"""),"Tomo Divino")</f>
        <v>Tomo Divino</v>
      </c>
      <c r="D1205" s="241"/>
      <c r="E1205" s="241" t="str">
        <f>IFERROR(__xludf.DUMMYFUNCTION("""COMPUTED_VALUE"""),"Chá dragônico")</f>
        <v>Chá dragônico</v>
      </c>
      <c r="F1205" s="241"/>
      <c r="G1205" s="241" t="str">
        <f>IFERROR(__xludf.DUMMYFUNCTION("""COMPUTED_VALUE"""),"Chá dragônico")</f>
        <v>Chá dragônico</v>
      </c>
      <c r="H1205" s="241"/>
      <c r="I1205" s="241" t="str">
        <f>IFERROR(__xludf.DUMMYFUNCTION("""COMPUTED_VALUE"""),"Chá dragônico")</f>
        <v>Chá dragônico</v>
      </c>
      <c r="J1205" s="241"/>
      <c r="K1205" s="241" t="str">
        <f>IFERROR(__xludf.DUMMYFUNCTION("""COMPUTED_VALUE"""),"Tomo Divino")</f>
        <v>Tomo Divino</v>
      </c>
      <c r="L1205" s="242"/>
      <c r="M1205" s="241"/>
      <c r="N1205" s="241"/>
      <c r="O1205" s="241"/>
      <c r="P1205" s="241"/>
      <c r="Q1205" s="241"/>
      <c r="R1205" s="241"/>
      <c r="S1205" s="241"/>
      <c r="T1205" s="241"/>
      <c r="U1205" s="241"/>
      <c r="V1205" s="241"/>
      <c r="W1205" s="241"/>
      <c r="X1205" s="243"/>
      <c r="Y1205" s="243"/>
      <c r="Z1205" s="243"/>
      <c r="AA1205" s="243"/>
      <c r="AB1205" s="243"/>
      <c r="AC1205" s="243"/>
      <c r="AD1205" s="243"/>
      <c r="AE1205" s="243"/>
      <c r="AF1205" s="243"/>
      <c r="AG1205" s="243"/>
      <c r="AH1205" s="243"/>
      <c r="AI1205" s="243"/>
      <c r="AJ1205" s="243"/>
    </row>
    <row r="1206" hidden="1">
      <c r="A1206" s="241" t="str">
        <f>IFERROR(__xludf.DUMMYFUNCTION("""COMPUTED_VALUE"""),"Seed of Power")</f>
        <v>Seed of Power</v>
      </c>
      <c r="B1206" s="241"/>
      <c r="C1206" s="241" t="str">
        <f>IFERROR(__xludf.DUMMYFUNCTION("""COMPUTED_VALUE"""),"Pergaminho Assombrado")</f>
        <v>Pergaminho Assombrado</v>
      </c>
      <c r="D1206" s="241"/>
      <c r="E1206" s="241" t="str">
        <f>IFERROR(__xludf.DUMMYFUNCTION("""COMPUTED_VALUE"""),"Seed of Power")</f>
        <v>Seed of Power</v>
      </c>
      <c r="F1206" s="241"/>
      <c r="G1206" s="241" t="str">
        <f>IFERROR(__xludf.DUMMYFUNCTION("""COMPUTED_VALUE"""),"Seed of Power")</f>
        <v>Seed of Power</v>
      </c>
      <c r="H1206" s="241"/>
      <c r="I1206" s="241" t="str">
        <f>IFERROR(__xludf.DUMMYFUNCTION("""COMPUTED_VALUE"""),"Seed of Power")</f>
        <v>Seed of Power</v>
      </c>
      <c r="J1206" s="241"/>
      <c r="K1206" s="241" t="str">
        <f>IFERROR(__xludf.DUMMYFUNCTION("""COMPUTED_VALUE"""),"Pergaminho Assombrado")</f>
        <v>Pergaminho Assombrado</v>
      </c>
      <c r="L1206" s="242"/>
      <c r="M1206" s="241"/>
      <c r="N1206" s="241"/>
      <c r="O1206" s="241"/>
      <c r="P1206" s="241"/>
      <c r="Q1206" s="241"/>
      <c r="R1206" s="241"/>
      <c r="S1206" s="241"/>
      <c r="T1206" s="241"/>
      <c r="U1206" s="241"/>
      <c r="V1206" s="241"/>
      <c r="W1206" s="241"/>
      <c r="X1206" s="243"/>
      <c r="Y1206" s="243"/>
      <c r="Z1206" s="243"/>
      <c r="AA1206" s="243"/>
      <c r="AB1206" s="243"/>
      <c r="AC1206" s="243"/>
      <c r="AD1206" s="243"/>
      <c r="AE1206" s="243"/>
      <c r="AF1206" s="243"/>
      <c r="AG1206" s="243"/>
      <c r="AH1206" s="243"/>
      <c r="AI1206" s="243"/>
      <c r="AJ1206" s="243"/>
    </row>
    <row r="1207" hidden="1">
      <c r="A1207" s="241" t="str">
        <f>IFERROR(__xludf.DUMMYFUNCTION("""COMPUTED_VALUE"""),"Sacred Mooncake")</f>
        <v>Sacred Mooncake</v>
      </c>
      <c r="B1207" s="241"/>
      <c r="C1207" s="241" t="str">
        <f>IFERROR(__xludf.DUMMYFUNCTION("""COMPUTED_VALUE"""),"Guardian Seal")</f>
        <v>Guardian Seal</v>
      </c>
      <c r="D1207" s="241"/>
      <c r="E1207" s="241" t="str">
        <f>IFERROR(__xludf.DUMMYFUNCTION("""COMPUTED_VALUE"""),"Sacred Mooncake")</f>
        <v>Sacred Mooncake</v>
      </c>
      <c r="F1207" s="241"/>
      <c r="G1207" s="241" t="str">
        <f>IFERROR(__xludf.DUMMYFUNCTION("""COMPUTED_VALUE"""),"Sacred Mooncake")</f>
        <v>Sacred Mooncake</v>
      </c>
      <c r="H1207" s="241"/>
      <c r="I1207" s="241" t="str">
        <f>IFERROR(__xludf.DUMMYFUNCTION("""COMPUTED_VALUE"""),"Sacred Mooncake")</f>
        <v>Sacred Mooncake</v>
      </c>
      <c r="J1207" s="241"/>
      <c r="K1207" s="241" t="str">
        <f>IFERROR(__xludf.DUMMYFUNCTION("""COMPUTED_VALUE"""),"Guardian Seal")</f>
        <v>Guardian Seal</v>
      </c>
      <c r="L1207" s="242"/>
      <c r="M1207" s="241"/>
      <c r="N1207" s="241"/>
      <c r="O1207" s="241"/>
      <c r="P1207" s="241"/>
      <c r="Q1207" s="241"/>
      <c r="R1207" s="241"/>
      <c r="S1207" s="241"/>
      <c r="T1207" s="241"/>
      <c r="U1207" s="241"/>
      <c r="V1207" s="241"/>
      <c r="W1207" s="241"/>
      <c r="X1207" s="243"/>
      <c r="Y1207" s="243"/>
      <c r="Z1207" s="243"/>
      <c r="AA1207" s="243"/>
      <c r="AB1207" s="243"/>
      <c r="AC1207" s="243"/>
      <c r="AD1207" s="243"/>
      <c r="AE1207" s="243"/>
      <c r="AF1207" s="243"/>
      <c r="AG1207" s="243"/>
      <c r="AH1207" s="243"/>
      <c r="AI1207" s="243"/>
      <c r="AJ1207" s="243"/>
    </row>
    <row r="1208" hidden="1">
      <c r="A1208" s="241" t="str">
        <f>IFERROR(__xludf.DUMMYFUNCTION("""COMPUTED_VALUE"""),"Agulhas Envenenadas")</f>
        <v>Agulhas Envenenadas</v>
      </c>
      <c r="B1208" s="241"/>
      <c r="C1208" s="241" t="str">
        <f>IFERROR(__xludf.DUMMYFUNCTION("""COMPUTED_VALUE"""),"Pergaminho de sangue")</f>
        <v>Pergaminho de sangue</v>
      </c>
      <c r="D1208" s="241"/>
      <c r="E1208" s="241" t="str">
        <f>IFERROR(__xludf.DUMMYFUNCTION("""COMPUTED_VALUE"""),"Gotas de Elíxir")</f>
        <v>Gotas de Elíxir</v>
      </c>
      <c r="F1208" s="241"/>
      <c r="G1208" s="241" t="str">
        <f>IFERROR(__xludf.DUMMYFUNCTION("""COMPUTED_VALUE"""),"Agulhas Envenenadas")</f>
        <v>Agulhas Envenenadas</v>
      </c>
      <c r="H1208" s="241"/>
      <c r="I1208" s="241" t="str">
        <f>IFERROR(__xludf.DUMMYFUNCTION("""COMPUTED_VALUE"""),"Agulhas Envenenadas")</f>
        <v>Agulhas Envenenadas</v>
      </c>
      <c r="J1208" s="241"/>
      <c r="K1208" s="241" t="str">
        <f>IFERROR(__xludf.DUMMYFUNCTION("""COMPUTED_VALUE"""),"Pergaminho de sangue")</f>
        <v>Pergaminho de sangue</v>
      </c>
      <c r="L1208" s="242"/>
      <c r="M1208" s="241"/>
      <c r="N1208" s="241"/>
      <c r="O1208" s="241"/>
      <c r="P1208" s="241"/>
      <c r="Q1208" s="241"/>
      <c r="R1208" s="241"/>
      <c r="S1208" s="241"/>
      <c r="T1208" s="241"/>
      <c r="U1208" s="241"/>
      <c r="V1208" s="241"/>
      <c r="W1208" s="241"/>
      <c r="X1208" s="243"/>
      <c r="Y1208" s="243"/>
      <c r="Z1208" s="243"/>
      <c r="AA1208" s="243"/>
      <c r="AB1208" s="243"/>
      <c r="AC1208" s="243"/>
      <c r="AD1208" s="243"/>
      <c r="AE1208" s="243"/>
      <c r="AF1208" s="243"/>
      <c r="AG1208" s="243"/>
      <c r="AH1208" s="243"/>
      <c r="AI1208" s="243"/>
      <c r="AJ1208" s="243"/>
    </row>
    <row r="1209" hidden="1">
      <c r="A1209" s="241" t="str">
        <f>IFERROR(__xludf.DUMMYFUNCTION("""COMPUTED_VALUE"""),"Bomba Tóxica")</f>
        <v>Bomba Tóxica</v>
      </c>
      <c r="B1209" s="241"/>
      <c r="C1209" s="241" t="str">
        <f>IFERROR(__xludf.DUMMYFUNCTION("""COMPUTED_VALUE"""),"Gotas de Elíxir")</f>
        <v>Gotas de Elíxir</v>
      </c>
      <c r="D1209" s="241"/>
      <c r="E1209" s="241" t="str">
        <f>IFERROR(__xludf.DUMMYFUNCTION("""COMPUTED_VALUE"""),"Cálice")</f>
        <v>Cálice</v>
      </c>
      <c r="F1209" s="241"/>
      <c r="G1209" s="241" t="str">
        <f>IFERROR(__xludf.DUMMYFUNCTION("""COMPUTED_VALUE"""),"Bomba Tóxica")</f>
        <v>Bomba Tóxica</v>
      </c>
      <c r="H1209" s="241"/>
      <c r="I1209" s="241" t="str">
        <f>IFERROR(__xludf.DUMMYFUNCTION("""COMPUTED_VALUE"""),"Bomba Tóxica")</f>
        <v>Bomba Tóxica</v>
      </c>
      <c r="J1209" s="241"/>
      <c r="K1209" s="241"/>
      <c r="L1209" s="242"/>
      <c r="M1209" s="241"/>
      <c r="N1209" s="241"/>
      <c r="O1209" s="241"/>
      <c r="P1209" s="241"/>
      <c r="Q1209" s="241"/>
      <c r="R1209" s="241"/>
      <c r="S1209" s="241"/>
      <c r="T1209" s="241"/>
      <c r="U1209" s="241"/>
      <c r="V1209" s="241"/>
      <c r="W1209" s="241"/>
      <c r="X1209" s="243"/>
      <c r="Y1209" s="243"/>
      <c r="Z1209" s="243"/>
      <c r="AA1209" s="243"/>
      <c r="AB1209" s="243"/>
      <c r="AC1209" s="243"/>
      <c r="AD1209" s="243"/>
      <c r="AE1209" s="243"/>
      <c r="AF1209" s="243"/>
      <c r="AG1209" s="243"/>
      <c r="AH1209" s="243"/>
      <c r="AI1209" s="243"/>
      <c r="AJ1209" s="243"/>
    </row>
    <row r="1210" hidden="1">
      <c r="A1210" s="241" t="str">
        <f>IFERROR(__xludf.DUMMYFUNCTION("""COMPUTED_VALUE"""),"Shuriken Mágico")</f>
        <v>Shuriken Mágico</v>
      </c>
      <c r="B1210" s="241"/>
      <c r="C1210" s="241" t="str">
        <f>IFERROR(__xludf.DUMMYFUNCTION("""COMPUTED_VALUE"""),"Cálice")</f>
        <v>Cálice</v>
      </c>
      <c r="D1210" s="241"/>
      <c r="E1210" s="241" t="str">
        <f>IFERROR(__xludf.DUMMYFUNCTION("""COMPUTED_VALUE"""),"Sangue de Demônio")</f>
        <v>Sangue de Demônio</v>
      </c>
      <c r="F1210" s="241"/>
      <c r="G1210" s="241" t="str">
        <f>IFERROR(__xludf.DUMMYFUNCTION("""COMPUTED_VALUE"""),"Shuriken Mágico")</f>
        <v>Shuriken Mágico</v>
      </c>
      <c r="H1210" s="241"/>
      <c r="I1210" s="241" t="str">
        <f>IFERROR(__xludf.DUMMYFUNCTION("""COMPUTED_VALUE"""),"Shuriken Mágico")</f>
        <v>Shuriken Mágico</v>
      </c>
      <c r="J1210" s="241"/>
      <c r="K1210" s="241"/>
      <c r="L1210" s="242"/>
      <c r="M1210" s="241"/>
      <c r="N1210" s="241"/>
      <c r="O1210" s="241"/>
      <c r="P1210" s="241"/>
      <c r="Q1210" s="241"/>
      <c r="R1210" s="241"/>
      <c r="S1210" s="241"/>
      <c r="T1210" s="241"/>
      <c r="U1210" s="241"/>
      <c r="V1210" s="241"/>
      <c r="W1210" s="241"/>
      <c r="X1210" s="243"/>
      <c r="Y1210" s="243"/>
      <c r="Z1210" s="243"/>
      <c r="AA1210" s="243"/>
      <c r="AB1210" s="243"/>
      <c r="AC1210" s="243"/>
      <c r="AD1210" s="243"/>
      <c r="AE1210" s="243"/>
      <c r="AF1210" s="243"/>
      <c r="AG1210" s="243"/>
      <c r="AH1210" s="243"/>
      <c r="AI1210" s="243"/>
      <c r="AJ1210" s="243"/>
    </row>
    <row r="1211" hidden="1">
      <c r="A1211" s="241" t="str">
        <f>IFERROR(__xludf.DUMMYFUNCTION("""COMPUTED_VALUE"""),"Milho Arco-íris")</f>
        <v>Milho Arco-íris</v>
      </c>
      <c r="B1211" s="241"/>
      <c r="C1211" s="241" t="str">
        <f>IFERROR(__xludf.DUMMYFUNCTION("""COMPUTED_VALUE"""),"Sangue de Demônio")</f>
        <v>Sangue de Demônio</v>
      </c>
      <c r="D1211" s="241"/>
      <c r="E1211" s="241" t="str">
        <f>IFERROR(__xludf.DUMMYFUNCTION("""COMPUTED_VALUE"""),"Elven Sunblock")</f>
        <v>Elven Sunblock</v>
      </c>
      <c r="F1211" s="241"/>
      <c r="G1211" s="241" t="str">
        <f>IFERROR(__xludf.DUMMYFUNCTION("""COMPUTED_VALUE"""),"Milho Arco-íris")</f>
        <v>Milho Arco-íris</v>
      </c>
      <c r="H1211" s="241"/>
      <c r="I1211" s="241" t="str">
        <f>IFERROR(__xludf.DUMMYFUNCTION("""COMPUTED_VALUE"""),"Milho Arco-íris")</f>
        <v>Milho Arco-íris</v>
      </c>
      <c r="J1211" s="241"/>
      <c r="K1211" s="241"/>
      <c r="L1211" s="242"/>
      <c r="M1211" s="241"/>
      <c r="N1211" s="241"/>
      <c r="O1211" s="241"/>
      <c r="P1211" s="241"/>
      <c r="Q1211" s="241"/>
      <c r="R1211" s="241"/>
      <c r="S1211" s="241"/>
      <c r="T1211" s="241"/>
      <c r="U1211" s="241"/>
      <c r="V1211" s="241"/>
      <c r="W1211" s="241"/>
      <c r="X1211" s="243"/>
      <c r="Y1211" s="243"/>
      <c r="Z1211" s="243"/>
      <c r="AA1211" s="243"/>
      <c r="AB1211" s="243"/>
      <c r="AC1211" s="243"/>
      <c r="AD1211" s="243"/>
      <c r="AE1211" s="243"/>
      <c r="AF1211" s="243"/>
      <c r="AG1211" s="243"/>
      <c r="AH1211" s="243"/>
      <c r="AI1211" s="243"/>
      <c r="AJ1211" s="243"/>
    </row>
    <row r="1212" hidden="1">
      <c r="A1212" s="241" t="str">
        <f>IFERROR(__xludf.DUMMYFUNCTION("""COMPUTED_VALUE"""),"Chakran Cantante")</f>
        <v>Chakran Cantante</v>
      </c>
      <c r="B1212" s="241"/>
      <c r="C1212" s="241" t="str">
        <f>IFERROR(__xludf.DUMMYFUNCTION("""COMPUTED_VALUE"""),"Elven Sunblock")</f>
        <v>Elven Sunblock</v>
      </c>
      <c r="D1212" s="241"/>
      <c r="E1212" s="241" t="str">
        <f>IFERROR(__xludf.DUMMYFUNCTION("""COMPUTED_VALUE"""),"Elixir ")</f>
        <v>Elixir </v>
      </c>
      <c r="F1212" s="241"/>
      <c r="G1212" s="241" t="str">
        <f>IFERROR(__xludf.DUMMYFUNCTION("""COMPUTED_VALUE"""),"Chakran Cantante")</f>
        <v>Chakran Cantante</v>
      </c>
      <c r="H1212" s="241"/>
      <c r="I1212" s="241" t="str">
        <f>IFERROR(__xludf.DUMMYFUNCTION("""COMPUTED_VALUE"""),"Chakran Cantante")</f>
        <v>Chakran Cantante</v>
      </c>
      <c r="J1212" s="241"/>
      <c r="K1212" s="241"/>
      <c r="L1212" s="242"/>
      <c r="M1212" s="241"/>
      <c r="N1212" s="241"/>
      <c r="O1212" s="241"/>
      <c r="P1212" s="241"/>
      <c r="Q1212" s="241"/>
      <c r="R1212" s="241"/>
      <c r="S1212" s="241"/>
      <c r="T1212" s="241"/>
      <c r="U1212" s="241"/>
      <c r="V1212" s="241"/>
      <c r="W1212" s="241"/>
      <c r="X1212" s="243"/>
      <c r="Y1212" s="243"/>
      <c r="Z1212" s="243"/>
      <c r="AA1212" s="243"/>
      <c r="AB1212" s="243"/>
      <c r="AC1212" s="243"/>
      <c r="AD1212" s="243"/>
      <c r="AE1212" s="243"/>
      <c r="AF1212" s="243"/>
      <c r="AG1212" s="243"/>
      <c r="AH1212" s="243"/>
      <c r="AI1212" s="243"/>
      <c r="AJ1212" s="243"/>
    </row>
    <row r="1213" hidden="1">
      <c r="A1213" s="241" t="str">
        <f>IFERROR(__xludf.DUMMYFUNCTION("""COMPUTED_VALUE"""),"Dardos Explosivos")</f>
        <v>Dardos Explosivos</v>
      </c>
      <c r="B1213" s="241"/>
      <c r="C1213" s="241" t="str">
        <f>IFERROR(__xludf.DUMMYFUNCTION("""COMPUTED_VALUE"""),"Elixir ")</f>
        <v>Elixir </v>
      </c>
      <c r="D1213" s="241"/>
      <c r="E1213" s="241" t="str">
        <f>IFERROR(__xludf.DUMMYFUNCTION("""COMPUTED_VALUE"""),"Sangue de Dragão ")</f>
        <v>Sangue de Dragão </v>
      </c>
      <c r="F1213" s="241"/>
      <c r="G1213" s="241" t="str">
        <f>IFERROR(__xludf.DUMMYFUNCTION("""COMPUTED_VALUE"""),"Dardos Explosivos")</f>
        <v>Dardos Explosivos</v>
      </c>
      <c r="H1213" s="241"/>
      <c r="I1213" s="241" t="str">
        <f>IFERROR(__xludf.DUMMYFUNCTION("""COMPUTED_VALUE"""),"Dardos Explosivos")</f>
        <v>Dardos Explosivos</v>
      </c>
      <c r="J1213" s="241"/>
      <c r="K1213" s="241"/>
      <c r="L1213" s="242"/>
      <c r="M1213" s="241"/>
      <c r="N1213" s="241"/>
      <c r="O1213" s="241"/>
      <c r="P1213" s="241"/>
      <c r="Q1213" s="241"/>
      <c r="R1213" s="241"/>
      <c r="S1213" s="241"/>
      <c r="T1213" s="241"/>
      <c r="U1213" s="241"/>
      <c r="V1213" s="241"/>
      <c r="W1213" s="241"/>
      <c r="X1213" s="243"/>
      <c r="Y1213" s="243"/>
      <c r="Z1213" s="243"/>
      <c r="AA1213" s="243"/>
      <c r="AB1213" s="243"/>
      <c r="AC1213" s="243"/>
      <c r="AD1213" s="243"/>
      <c r="AE1213" s="243"/>
      <c r="AF1213" s="243"/>
      <c r="AG1213" s="243"/>
      <c r="AH1213" s="243"/>
      <c r="AI1213" s="243"/>
      <c r="AJ1213" s="243"/>
    </row>
    <row r="1214" hidden="1">
      <c r="A1214" s="241" t="str">
        <f>IFERROR(__xludf.DUMMYFUNCTION("""COMPUTED_VALUE"""),"Fura-Coração")</f>
        <v>Fura-Coração</v>
      </c>
      <c r="B1214" s="241"/>
      <c r="C1214" s="241" t="str">
        <f>IFERROR(__xludf.DUMMYFUNCTION("""COMPUTED_VALUE"""),"Sangue de Dragão ")</f>
        <v>Sangue de Dragão </v>
      </c>
      <c r="D1214" s="241"/>
      <c r="E1214" s="241" t="str">
        <f>IFERROR(__xludf.DUMMYFUNCTION("""COMPUTED_VALUE"""),"Megalixir ")</f>
        <v>Megalixir </v>
      </c>
      <c r="F1214" s="241"/>
      <c r="G1214" s="241" t="str">
        <f>IFERROR(__xludf.DUMMYFUNCTION("""COMPUTED_VALUE"""),"Fura-Coração")</f>
        <v>Fura-Coração</v>
      </c>
      <c r="H1214" s="241"/>
      <c r="I1214" s="241" t="str">
        <f>IFERROR(__xludf.DUMMYFUNCTION("""COMPUTED_VALUE"""),"Fura-Coração")</f>
        <v>Fura-Coração</v>
      </c>
      <c r="J1214" s="241"/>
      <c r="K1214" s="241"/>
      <c r="L1214" s="242"/>
      <c r="M1214" s="241"/>
      <c r="N1214" s="241"/>
      <c r="O1214" s="241"/>
      <c r="P1214" s="241"/>
      <c r="Q1214" s="241"/>
      <c r="R1214" s="241"/>
      <c r="S1214" s="241"/>
      <c r="T1214" s="241"/>
      <c r="U1214" s="241"/>
      <c r="V1214" s="241"/>
      <c r="W1214" s="241"/>
      <c r="X1214" s="243"/>
      <c r="Y1214" s="243"/>
      <c r="Z1214" s="243"/>
      <c r="AA1214" s="243"/>
      <c r="AB1214" s="243"/>
      <c r="AC1214" s="243"/>
      <c r="AD1214" s="243"/>
      <c r="AE1214" s="243"/>
      <c r="AF1214" s="243"/>
      <c r="AG1214" s="243"/>
      <c r="AH1214" s="243"/>
      <c r="AI1214" s="243"/>
      <c r="AJ1214" s="243"/>
    </row>
    <row r="1215" hidden="1">
      <c r="A1215" s="241" t="str">
        <f>IFERROR(__xludf.DUMMYFUNCTION("""COMPUTED_VALUE"""),"Estrondo de trovão")</f>
        <v>Estrondo de trovão</v>
      </c>
      <c r="B1215" s="241"/>
      <c r="C1215" s="241" t="str">
        <f>IFERROR(__xludf.DUMMYFUNCTION("""COMPUTED_VALUE"""),"Megalixir ")</f>
        <v>Megalixir </v>
      </c>
      <c r="D1215" s="241"/>
      <c r="E1215" s="241" t="str">
        <f>IFERROR(__xludf.DUMMYFUNCTION("""COMPUTED_VALUE"""),"Elixir of Immortality")</f>
        <v>Elixir of Immortality</v>
      </c>
      <c r="F1215" s="241"/>
      <c r="G1215" s="241" t="str">
        <f>IFERROR(__xludf.DUMMYFUNCTION("""COMPUTED_VALUE"""),"Estrondo de trovão")</f>
        <v>Estrondo de trovão</v>
      </c>
      <c r="H1215" s="241"/>
      <c r="I1215" s="241" t="str">
        <f>IFERROR(__xludf.DUMMYFUNCTION("""COMPUTED_VALUE"""),"Estrondo de trovão")</f>
        <v>Estrondo de trovão</v>
      </c>
      <c r="J1215" s="241"/>
      <c r="K1215" s="241"/>
      <c r="L1215" s="242"/>
      <c r="M1215" s="241"/>
      <c r="N1215" s="241"/>
      <c r="O1215" s="241"/>
      <c r="P1215" s="241"/>
      <c r="Q1215" s="241"/>
      <c r="R1215" s="241"/>
      <c r="S1215" s="241"/>
      <c r="T1215" s="241"/>
      <c r="U1215" s="241"/>
      <c r="V1215" s="241"/>
      <c r="W1215" s="241"/>
      <c r="X1215" s="243"/>
      <c r="Y1215" s="243"/>
      <c r="Z1215" s="243"/>
      <c r="AA1215" s="243"/>
      <c r="AB1215" s="243"/>
      <c r="AC1215" s="243"/>
      <c r="AD1215" s="243"/>
      <c r="AE1215" s="243"/>
      <c r="AF1215" s="243"/>
      <c r="AG1215" s="243"/>
      <c r="AH1215" s="243"/>
      <c r="AI1215" s="243"/>
      <c r="AJ1215" s="243"/>
    </row>
    <row r="1216" hidden="1">
      <c r="A1216" s="241" t="str">
        <f>IFERROR(__xludf.DUMMYFUNCTION("""COMPUTED_VALUE"""),"Kunai de fogo-gelo")</f>
        <v>Kunai de fogo-gelo</v>
      </c>
      <c r="B1216" s="241"/>
      <c r="C1216" s="241" t="str">
        <f>IFERROR(__xludf.DUMMYFUNCTION("""COMPUTED_VALUE"""),"Elixir of Immortality")</f>
        <v>Elixir of Immortality</v>
      </c>
      <c r="D1216" s="241"/>
      <c r="E1216" s="241" t="str">
        <f>IFERROR(__xludf.DUMMYFUNCTION("""COMPUTED_VALUE"""),"Essência de Deus")</f>
        <v>Essência de Deus</v>
      </c>
      <c r="F1216" s="241"/>
      <c r="G1216" s="241" t="str">
        <f>IFERROR(__xludf.DUMMYFUNCTION("""COMPUTED_VALUE"""),"Kunai de fogo-gelo")</f>
        <v>Kunai de fogo-gelo</v>
      </c>
      <c r="H1216" s="241"/>
      <c r="I1216" s="241" t="str">
        <f>IFERROR(__xludf.DUMMYFUNCTION("""COMPUTED_VALUE"""),"Kunai de fogo-gelo")</f>
        <v>Kunai de fogo-gelo</v>
      </c>
      <c r="J1216" s="241"/>
      <c r="K1216" s="241"/>
      <c r="L1216" s="242"/>
      <c r="M1216" s="241"/>
      <c r="N1216" s="241"/>
      <c r="O1216" s="241"/>
      <c r="P1216" s="241"/>
      <c r="Q1216" s="241"/>
      <c r="R1216" s="241"/>
      <c r="S1216" s="241"/>
      <c r="T1216" s="241"/>
      <c r="U1216" s="241"/>
      <c r="V1216" s="241"/>
      <c r="W1216" s="241"/>
      <c r="X1216" s="243"/>
      <c r="Y1216" s="243"/>
      <c r="Z1216" s="243"/>
      <c r="AA1216" s="243"/>
      <c r="AB1216" s="243"/>
      <c r="AC1216" s="243"/>
      <c r="AD1216" s="243"/>
      <c r="AE1216" s="243"/>
      <c r="AF1216" s="243"/>
      <c r="AG1216" s="243"/>
      <c r="AH1216" s="243"/>
      <c r="AI1216" s="243"/>
      <c r="AJ1216" s="243"/>
    </row>
    <row r="1217" hidden="1">
      <c r="A1217" s="241" t="str">
        <f>IFERROR(__xludf.DUMMYFUNCTION("""COMPUTED_VALUE"""),"Eggsplosives")</f>
        <v>Eggsplosives</v>
      </c>
      <c r="B1217" s="241"/>
      <c r="C1217" s="241" t="str">
        <f>IFERROR(__xludf.DUMMYFUNCTION("""COMPUTED_VALUE"""),"Essência de Deus")</f>
        <v>Essência de Deus</v>
      </c>
      <c r="D1217" s="241"/>
      <c r="E1217" s="241" t="str">
        <f>IFERROR(__xludf.DUMMYFUNCTION("""COMPUTED_VALUE"""),"Poção de Obsidiana")</f>
        <v>Poção de Obsidiana</v>
      </c>
      <c r="F1217" s="241"/>
      <c r="G1217" s="241" t="str">
        <f>IFERROR(__xludf.DUMMYFUNCTION("""COMPUTED_VALUE"""),"Eggsplosives")</f>
        <v>Eggsplosives</v>
      </c>
      <c r="H1217" s="241"/>
      <c r="I1217" s="241" t="str">
        <f>IFERROR(__xludf.DUMMYFUNCTION("""COMPUTED_VALUE"""),"Eggsplosives")</f>
        <v>Eggsplosives</v>
      </c>
      <c r="J1217" s="241"/>
      <c r="K1217" s="241"/>
      <c r="L1217" s="242"/>
      <c r="M1217" s="241"/>
      <c r="N1217" s="241"/>
      <c r="O1217" s="241"/>
      <c r="P1217" s="241"/>
      <c r="Q1217" s="241"/>
      <c r="R1217" s="241"/>
      <c r="S1217" s="241"/>
      <c r="T1217" s="241"/>
      <c r="U1217" s="241"/>
      <c r="V1217" s="241"/>
      <c r="W1217" s="241"/>
      <c r="X1217" s="243"/>
      <c r="Y1217" s="243"/>
      <c r="Z1217" s="243"/>
      <c r="AA1217" s="243"/>
      <c r="AB1217" s="243"/>
      <c r="AC1217" s="243"/>
      <c r="AD1217" s="243"/>
      <c r="AE1217" s="243"/>
      <c r="AF1217" s="243"/>
      <c r="AG1217" s="243"/>
      <c r="AH1217" s="243"/>
      <c r="AI1217" s="243"/>
      <c r="AJ1217" s="243"/>
    </row>
    <row r="1218" hidden="1">
      <c r="A1218" s="241" t="str">
        <f>IFERROR(__xludf.DUMMYFUNCTION("""COMPUTED_VALUE"""),"Bomba do Inferno")</f>
        <v>Bomba do Inferno</v>
      </c>
      <c r="B1218" s="241"/>
      <c r="C1218" s="241" t="str">
        <f>IFERROR(__xludf.DUMMYFUNCTION("""COMPUTED_VALUE"""),"Poção de Obsidiana")</f>
        <v>Poção de Obsidiana</v>
      </c>
      <c r="D1218" s="241"/>
      <c r="E1218" s="241" t="str">
        <f>IFERROR(__xludf.DUMMYFUNCTION("""COMPUTED_VALUE"""),"Pirate's Brew")</f>
        <v>Pirate's Brew</v>
      </c>
      <c r="F1218" s="241"/>
      <c r="G1218" s="241" t="str">
        <f>IFERROR(__xludf.DUMMYFUNCTION("""COMPUTED_VALUE"""),"Bomba do Inferno")</f>
        <v>Bomba do Inferno</v>
      </c>
      <c r="H1218" s="241"/>
      <c r="I1218" s="241" t="str">
        <f>IFERROR(__xludf.DUMMYFUNCTION("""COMPUTED_VALUE"""),"Bomba do Inferno")</f>
        <v>Bomba do Inferno</v>
      </c>
      <c r="J1218" s="241"/>
      <c r="K1218" s="241"/>
      <c r="L1218" s="242"/>
      <c r="M1218" s="241"/>
      <c r="N1218" s="241"/>
      <c r="O1218" s="241"/>
      <c r="P1218" s="241"/>
      <c r="Q1218" s="241"/>
      <c r="R1218" s="241"/>
      <c r="S1218" s="241"/>
      <c r="T1218" s="241"/>
      <c r="U1218" s="241"/>
      <c r="V1218" s="241"/>
      <c r="W1218" s="241"/>
      <c r="X1218" s="243"/>
      <c r="Y1218" s="243"/>
      <c r="Z1218" s="243"/>
      <c r="AA1218" s="243"/>
      <c r="AB1218" s="243"/>
      <c r="AC1218" s="243"/>
      <c r="AD1218" s="243"/>
      <c r="AE1218" s="243"/>
      <c r="AF1218" s="243"/>
      <c r="AG1218" s="243"/>
      <c r="AH1218" s="243"/>
      <c r="AI1218" s="243"/>
      <c r="AJ1218" s="243"/>
    </row>
    <row r="1219" hidden="1">
      <c r="A1219" s="241" t="str">
        <f>IFERROR(__xludf.DUMMYFUNCTION("""COMPUTED_VALUE"""),"Flying Guillotine")</f>
        <v>Flying Guillotine</v>
      </c>
      <c r="B1219" s="241"/>
      <c r="C1219" s="241" t="str">
        <f>IFERROR(__xludf.DUMMYFUNCTION("""COMPUTED_VALUE"""),"Pirate's Brew")</f>
        <v>Pirate's Brew</v>
      </c>
      <c r="D1219" s="241"/>
      <c r="E1219" s="241" t="str">
        <f>IFERROR(__xludf.DUMMYFUNCTION("""COMPUTED_VALUE"""),"Poção Fogo de Dragão")</f>
        <v>Poção Fogo de Dragão</v>
      </c>
      <c r="F1219" s="241"/>
      <c r="G1219" s="241" t="str">
        <f>IFERROR(__xludf.DUMMYFUNCTION("""COMPUTED_VALUE"""),"Flying Guillotine")</f>
        <v>Flying Guillotine</v>
      </c>
      <c r="H1219" s="241"/>
      <c r="I1219" s="241" t="str">
        <f>IFERROR(__xludf.DUMMYFUNCTION("""COMPUTED_VALUE"""),"Flying Guillotine")</f>
        <v>Flying Guillotine</v>
      </c>
      <c r="J1219" s="241"/>
      <c r="K1219" s="241"/>
      <c r="L1219" s="242"/>
      <c r="M1219" s="241"/>
      <c r="N1219" s="241"/>
      <c r="O1219" s="241"/>
      <c r="P1219" s="241"/>
      <c r="Q1219" s="241"/>
      <c r="R1219" s="241"/>
      <c r="S1219" s="241"/>
      <c r="T1219" s="241"/>
      <c r="U1219" s="241"/>
      <c r="V1219" s="241"/>
      <c r="W1219" s="241"/>
      <c r="X1219" s="243"/>
      <c r="Y1219" s="243"/>
      <c r="Z1219" s="243"/>
      <c r="AA1219" s="243"/>
      <c r="AB1219" s="243"/>
      <c r="AC1219" s="243"/>
      <c r="AD1219" s="243"/>
      <c r="AE1219" s="243"/>
      <c r="AF1219" s="243"/>
      <c r="AG1219" s="243"/>
      <c r="AH1219" s="243"/>
      <c r="AI1219" s="243"/>
      <c r="AJ1219" s="243"/>
    </row>
    <row r="1220" hidden="1">
      <c r="A1220" s="241" t="str">
        <f>IFERROR(__xludf.DUMMYFUNCTION("""COMPUTED_VALUE"""),"Quicksilver")</f>
        <v>Quicksilver</v>
      </c>
      <c r="B1220" s="241"/>
      <c r="C1220" s="241" t="str">
        <f>IFERROR(__xludf.DUMMYFUNCTION("""COMPUTED_VALUE"""),"Poção Fogo de Dragão")</f>
        <v>Poção Fogo de Dragão</v>
      </c>
      <c r="D1220" s="241"/>
      <c r="E1220" s="241" t="str">
        <f>IFERROR(__xludf.DUMMYFUNCTION("""COMPUTED_VALUE"""),"Gaia's Essence")</f>
        <v>Gaia's Essence</v>
      </c>
      <c r="F1220" s="241"/>
      <c r="G1220" s="241" t="str">
        <f>IFERROR(__xludf.DUMMYFUNCTION("""COMPUTED_VALUE"""),"Quicksilver")</f>
        <v>Quicksilver</v>
      </c>
      <c r="H1220" s="241"/>
      <c r="I1220" s="241" t="str">
        <f>IFERROR(__xludf.DUMMYFUNCTION("""COMPUTED_VALUE"""),"Quicksilver")</f>
        <v>Quicksilver</v>
      </c>
      <c r="J1220" s="241"/>
      <c r="K1220" s="241"/>
      <c r="L1220" s="242"/>
      <c r="M1220" s="241"/>
      <c r="N1220" s="241"/>
      <c r="O1220" s="241"/>
      <c r="P1220" s="241"/>
      <c r="Q1220" s="241"/>
      <c r="R1220" s="241"/>
      <c r="S1220" s="241"/>
      <c r="T1220" s="241"/>
      <c r="U1220" s="241"/>
      <c r="V1220" s="241"/>
      <c r="W1220" s="241"/>
      <c r="X1220" s="243"/>
      <c r="Y1220" s="243"/>
      <c r="Z1220" s="243"/>
      <c r="AA1220" s="243"/>
      <c r="AB1220" s="243"/>
      <c r="AC1220" s="243"/>
      <c r="AD1220" s="243"/>
      <c r="AE1220" s="243"/>
      <c r="AF1220" s="243"/>
      <c r="AG1220" s="243"/>
      <c r="AH1220" s="243"/>
      <c r="AI1220" s="243"/>
      <c r="AJ1220" s="243"/>
    </row>
    <row r="1221" hidden="1">
      <c r="A1221" s="241"/>
      <c r="B1221" s="241"/>
      <c r="C1221" s="241" t="str">
        <f>IFERROR(__xludf.DUMMYFUNCTION("""COMPUTED_VALUE"""),"Gaia's Essence")</f>
        <v>Gaia's Essence</v>
      </c>
      <c r="D1221" s="241"/>
      <c r="E1221" s="241" t="str">
        <f>IFERROR(__xludf.DUMMYFUNCTION("""COMPUTED_VALUE"""),"Unholy Potion")</f>
        <v>Unholy Potion</v>
      </c>
      <c r="F1221" s="241"/>
      <c r="G1221" s="241"/>
      <c r="H1221" s="241"/>
      <c r="I1221" s="241"/>
      <c r="J1221" s="241"/>
      <c r="K1221" s="241"/>
      <c r="L1221" s="242"/>
      <c r="M1221" s="241"/>
      <c r="N1221" s="241"/>
      <c r="O1221" s="241"/>
      <c r="P1221" s="241"/>
      <c r="Q1221" s="241"/>
      <c r="R1221" s="241"/>
      <c r="S1221" s="241"/>
      <c r="T1221" s="241"/>
      <c r="U1221" s="241"/>
      <c r="V1221" s="241"/>
      <c r="W1221" s="241"/>
      <c r="X1221" s="243"/>
      <c r="Y1221" s="243"/>
      <c r="Z1221" s="243"/>
      <c r="AA1221" s="243"/>
      <c r="AB1221" s="243"/>
      <c r="AC1221" s="243"/>
      <c r="AD1221" s="243"/>
      <c r="AE1221" s="243"/>
      <c r="AF1221" s="243"/>
      <c r="AG1221" s="243"/>
      <c r="AH1221" s="243"/>
      <c r="AI1221" s="243"/>
      <c r="AJ1221" s="243"/>
    </row>
    <row r="1222" hidden="1">
      <c r="A1222" s="241"/>
      <c r="B1222" s="241"/>
      <c r="C1222" s="241" t="str">
        <f>IFERROR(__xludf.DUMMYFUNCTION("""COMPUTED_VALUE"""),"Unholy Potion")</f>
        <v>Unholy Potion</v>
      </c>
      <c r="D1222" s="241"/>
      <c r="E1222" s="241"/>
      <c r="F1222" s="241"/>
      <c r="G1222" s="241"/>
      <c r="H1222" s="241"/>
      <c r="I1222" s="241"/>
      <c r="J1222" s="241"/>
      <c r="K1222" s="241"/>
      <c r="L1222" s="242"/>
      <c r="M1222" s="241"/>
      <c r="N1222" s="241"/>
      <c r="O1222" s="241"/>
      <c r="P1222" s="241"/>
      <c r="Q1222" s="241"/>
      <c r="R1222" s="241"/>
      <c r="S1222" s="241"/>
      <c r="T1222" s="241"/>
      <c r="U1222" s="241"/>
      <c r="V1222" s="241"/>
      <c r="W1222" s="241"/>
      <c r="X1222" s="243"/>
      <c r="Y1222" s="243"/>
      <c r="Z1222" s="243"/>
      <c r="AA1222" s="243"/>
      <c r="AB1222" s="243"/>
      <c r="AC1222" s="243"/>
      <c r="AD1222" s="243"/>
      <c r="AE1222" s="243"/>
      <c r="AF1222" s="243"/>
      <c r="AG1222" s="243"/>
      <c r="AH1222" s="243"/>
      <c r="AI1222" s="243"/>
      <c r="AJ1222" s="243"/>
    </row>
    <row r="1223" hidden="1">
      <c r="A1223" s="241"/>
      <c r="B1223" s="241"/>
      <c r="C1223" s="241"/>
      <c r="D1223" s="241"/>
      <c r="E1223" s="241"/>
      <c r="F1223" s="241"/>
      <c r="G1223" s="241"/>
      <c r="H1223" s="241"/>
      <c r="I1223" s="241"/>
      <c r="J1223" s="241"/>
      <c r="K1223" s="241"/>
      <c r="L1223" s="242"/>
      <c r="M1223" s="241"/>
      <c r="N1223" s="241"/>
      <c r="O1223" s="241"/>
      <c r="P1223" s="241"/>
      <c r="Q1223" s="241"/>
      <c r="R1223" s="241"/>
      <c r="S1223" s="241"/>
      <c r="T1223" s="241"/>
      <c r="U1223" s="241"/>
      <c r="V1223" s="241"/>
      <c r="W1223" s="241"/>
      <c r="X1223" s="243"/>
      <c r="Y1223" s="243"/>
      <c r="Z1223" s="243"/>
      <c r="AA1223" s="243"/>
      <c r="AB1223" s="243"/>
      <c r="AC1223" s="243"/>
      <c r="AD1223" s="243"/>
      <c r="AE1223" s="243"/>
      <c r="AF1223" s="243"/>
      <c r="AG1223" s="243"/>
      <c r="AH1223" s="243"/>
      <c r="AI1223" s="243"/>
      <c r="AJ1223" s="243"/>
    </row>
    <row r="1224" hidden="1">
      <c r="A1224" s="241"/>
      <c r="B1224" s="241"/>
      <c r="C1224" s="241"/>
      <c r="D1224" s="241"/>
      <c r="E1224" s="241"/>
      <c r="F1224" s="241"/>
      <c r="G1224" s="241"/>
      <c r="H1224" s="241"/>
      <c r="I1224" s="241"/>
      <c r="J1224" s="241"/>
      <c r="K1224" s="241"/>
      <c r="L1224" s="242"/>
      <c r="M1224" s="241"/>
      <c r="N1224" s="241"/>
      <c r="O1224" s="241"/>
      <c r="P1224" s="241"/>
      <c r="Q1224" s="241"/>
      <c r="R1224" s="241"/>
      <c r="S1224" s="241"/>
      <c r="T1224" s="241"/>
      <c r="U1224" s="241"/>
      <c r="V1224" s="241"/>
      <c r="W1224" s="241"/>
      <c r="X1224" s="243"/>
      <c r="Y1224" s="243"/>
      <c r="Z1224" s="243"/>
      <c r="AA1224" s="243"/>
      <c r="AB1224" s="243"/>
      <c r="AC1224" s="243"/>
      <c r="AD1224" s="243"/>
      <c r="AE1224" s="243"/>
      <c r="AF1224" s="243"/>
      <c r="AG1224" s="243"/>
      <c r="AH1224" s="243"/>
      <c r="AI1224" s="243"/>
      <c r="AJ1224" s="243"/>
    </row>
    <row r="1225" hidden="1">
      <c r="A1225" s="241"/>
      <c r="B1225" s="241"/>
      <c r="C1225" s="241"/>
      <c r="D1225" s="241"/>
      <c r="E1225" s="241"/>
      <c r="F1225" s="241"/>
      <c r="G1225" s="241"/>
      <c r="H1225" s="241"/>
      <c r="I1225" s="241"/>
      <c r="J1225" s="241"/>
      <c r="K1225" s="241"/>
      <c r="L1225" s="242"/>
      <c r="M1225" s="241"/>
      <c r="N1225" s="241"/>
      <c r="O1225" s="241"/>
      <c r="P1225" s="241"/>
      <c r="Q1225" s="241"/>
      <c r="R1225" s="241"/>
      <c r="S1225" s="241"/>
      <c r="T1225" s="241"/>
      <c r="U1225" s="241"/>
      <c r="V1225" s="241"/>
      <c r="W1225" s="241"/>
      <c r="X1225" s="243"/>
      <c r="Y1225" s="243"/>
      <c r="Z1225" s="243"/>
      <c r="AA1225" s="243"/>
      <c r="AB1225" s="243"/>
      <c r="AC1225" s="243"/>
      <c r="AD1225" s="243"/>
      <c r="AE1225" s="243"/>
      <c r="AF1225" s="243"/>
      <c r="AG1225" s="243"/>
      <c r="AH1225" s="243"/>
      <c r="AI1225" s="243"/>
      <c r="AJ1225" s="243"/>
    </row>
    <row r="1226" hidden="1">
      <c r="A1226" s="241"/>
      <c r="B1226" s="241"/>
      <c r="C1226" s="241"/>
      <c r="D1226" s="241"/>
      <c r="E1226" s="241"/>
      <c r="F1226" s="241"/>
      <c r="G1226" s="241"/>
      <c r="H1226" s="241"/>
      <c r="I1226" s="241"/>
      <c r="J1226" s="241"/>
      <c r="K1226" s="241"/>
      <c r="L1226" s="242"/>
      <c r="M1226" s="241"/>
      <c r="N1226" s="241"/>
      <c r="O1226" s="241"/>
      <c r="P1226" s="241"/>
      <c r="Q1226" s="241"/>
      <c r="R1226" s="241"/>
      <c r="S1226" s="241"/>
      <c r="T1226" s="241"/>
      <c r="U1226" s="241"/>
      <c r="V1226" s="241"/>
      <c r="W1226" s="241"/>
      <c r="X1226" s="243"/>
      <c r="Y1226" s="243"/>
      <c r="Z1226" s="243"/>
      <c r="AA1226" s="243"/>
      <c r="AB1226" s="243"/>
      <c r="AC1226" s="243"/>
      <c r="AD1226" s="243"/>
      <c r="AE1226" s="243"/>
      <c r="AF1226" s="243"/>
      <c r="AG1226" s="243"/>
      <c r="AH1226" s="243"/>
      <c r="AI1226" s="243"/>
      <c r="AJ1226" s="243"/>
    </row>
    <row r="1227" hidden="1">
      <c r="A1227" s="241"/>
      <c r="B1227" s="241"/>
      <c r="C1227" s="241"/>
      <c r="D1227" s="241"/>
      <c r="E1227" s="241"/>
      <c r="F1227" s="241"/>
      <c r="G1227" s="241"/>
      <c r="H1227" s="241"/>
      <c r="I1227" s="241"/>
      <c r="J1227" s="241"/>
      <c r="K1227" s="241"/>
      <c r="L1227" s="242"/>
      <c r="M1227" s="241"/>
      <c r="N1227" s="241"/>
      <c r="O1227" s="241"/>
      <c r="P1227" s="241"/>
      <c r="Q1227" s="241"/>
      <c r="R1227" s="241"/>
      <c r="S1227" s="241"/>
      <c r="T1227" s="241"/>
      <c r="U1227" s="241"/>
      <c r="V1227" s="241"/>
      <c r="W1227" s="241"/>
      <c r="X1227" s="243"/>
      <c r="Y1227" s="243"/>
      <c r="Z1227" s="243"/>
      <c r="AA1227" s="243"/>
      <c r="AB1227" s="243"/>
      <c r="AC1227" s="243"/>
      <c r="AD1227" s="243"/>
      <c r="AE1227" s="243"/>
      <c r="AF1227" s="243"/>
      <c r="AG1227" s="243"/>
      <c r="AH1227" s="243"/>
      <c r="AI1227" s="243"/>
      <c r="AJ1227" s="243"/>
    </row>
    <row r="1228" hidden="1">
      <c r="A1228" s="241"/>
      <c r="B1228" s="241"/>
      <c r="C1228" s="241"/>
      <c r="D1228" s="241"/>
      <c r="E1228" s="241"/>
      <c r="F1228" s="241"/>
      <c r="G1228" s="241"/>
      <c r="H1228" s="241"/>
      <c r="I1228" s="241"/>
      <c r="J1228" s="241"/>
      <c r="K1228" s="241"/>
      <c r="L1228" s="242"/>
      <c r="M1228" s="241"/>
      <c r="N1228" s="241"/>
      <c r="O1228" s="241"/>
      <c r="P1228" s="241"/>
      <c r="Q1228" s="241"/>
      <c r="R1228" s="241"/>
      <c r="S1228" s="241"/>
      <c r="T1228" s="241"/>
      <c r="U1228" s="241"/>
      <c r="V1228" s="241"/>
      <c r="W1228" s="241"/>
      <c r="X1228" s="243"/>
      <c r="Y1228" s="243"/>
      <c r="Z1228" s="243"/>
      <c r="AA1228" s="243"/>
      <c r="AB1228" s="243"/>
      <c r="AC1228" s="243"/>
      <c r="AD1228" s="243"/>
      <c r="AE1228" s="243"/>
      <c r="AF1228" s="243"/>
      <c r="AG1228" s="243"/>
      <c r="AH1228" s="243"/>
      <c r="AI1228" s="243"/>
      <c r="AJ1228" s="243"/>
    </row>
    <row r="1229" hidden="1">
      <c r="A1229" s="241"/>
      <c r="B1229" s="241"/>
      <c r="C1229" s="241"/>
      <c r="D1229" s="241"/>
      <c r="E1229" s="241"/>
      <c r="F1229" s="241"/>
      <c r="G1229" s="241"/>
      <c r="H1229" s="241"/>
      <c r="I1229" s="241"/>
      <c r="J1229" s="241"/>
      <c r="K1229" s="241"/>
      <c r="L1229" s="242"/>
      <c r="M1229" s="241"/>
      <c r="N1229" s="241"/>
      <c r="O1229" s="241"/>
      <c r="P1229" s="241"/>
      <c r="Q1229" s="241"/>
      <c r="R1229" s="241"/>
      <c r="S1229" s="241"/>
      <c r="T1229" s="241"/>
      <c r="U1229" s="241"/>
      <c r="V1229" s="241"/>
      <c r="W1229" s="241"/>
      <c r="X1229" s="243"/>
      <c r="Y1229" s="243"/>
      <c r="Z1229" s="243"/>
      <c r="AA1229" s="243"/>
      <c r="AB1229" s="243"/>
      <c r="AC1229" s="243"/>
      <c r="AD1229" s="243"/>
      <c r="AE1229" s="243"/>
      <c r="AF1229" s="243"/>
      <c r="AG1229" s="243"/>
      <c r="AH1229" s="243"/>
      <c r="AI1229" s="243"/>
      <c r="AJ1229" s="243"/>
    </row>
    <row r="1230" hidden="1">
      <c r="A1230" s="241"/>
      <c r="B1230" s="241"/>
      <c r="C1230" s="241"/>
      <c r="D1230" s="241"/>
      <c r="E1230" s="241"/>
      <c r="F1230" s="241"/>
      <c r="G1230" s="241"/>
      <c r="H1230" s="241"/>
      <c r="I1230" s="241"/>
      <c r="J1230" s="241"/>
      <c r="K1230" s="241"/>
      <c r="L1230" s="242"/>
      <c r="M1230" s="241"/>
      <c r="N1230" s="241"/>
      <c r="O1230" s="241"/>
      <c r="P1230" s="241"/>
      <c r="Q1230" s="241"/>
      <c r="R1230" s="241"/>
      <c r="S1230" s="241"/>
      <c r="T1230" s="241"/>
      <c r="U1230" s="241"/>
      <c r="V1230" s="241"/>
      <c r="W1230" s="241"/>
      <c r="X1230" s="243"/>
      <c r="Y1230" s="243"/>
      <c r="Z1230" s="243"/>
      <c r="AA1230" s="243"/>
      <c r="AB1230" s="243"/>
      <c r="AC1230" s="243"/>
      <c r="AD1230" s="243"/>
      <c r="AE1230" s="243"/>
      <c r="AF1230" s="243"/>
      <c r="AG1230" s="243"/>
      <c r="AH1230" s="243"/>
      <c r="AI1230" s="243"/>
      <c r="AJ1230" s="243"/>
    </row>
    <row r="1231" hidden="1">
      <c r="A1231" s="241"/>
      <c r="B1231" s="241"/>
      <c r="C1231" s="241"/>
      <c r="D1231" s="241"/>
      <c r="E1231" s="241"/>
      <c r="F1231" s="241"/>
      <c r="G1231" s="241"/>
      <c r="H1231" s="241"/>
      <c r="I1231" s="241"/>
      <c r="J1231" s="241"/>
      <c r="K1231" s="241"/>
      <c r="L1231" s="242"/>
      <c r="M1231" s="241"/>
      <c r="N1231" s="241"/>
      <c r="O1231" s="241"/>
      <c r="P1231" s="241"/>
      <c r="Q1231" s="241"/>
      <c r="R1231" s="241"/>
      <c r="S1231" s="241"/>
      <c r="T1231" s="241"/>
      <c r="U1231" s="241"/>
      <c r="V1231" s="241"/>
      <c r="W1231" s="241"/>
      <c r="X1231" s="243"/>
      <c r="Y1231" s="243"/>
      <c r="Z1231" s="243"/>
      <c r="AA1231" s="243"/>
      <c r="AB1231" s="243"/>
      <c r="AC1231" s="243"/>
      <c r="AD1231" s="243"/>
      <c r="AE1231" s="243"/>
      <c r="AF1231" s="243"/>
      <c r="AG1231" s="243"/>
      <c r="AH1231" s="243"/>
      <c r="AI1231" s="243"/>
      <c r="AJ1231" s="243"/>
    </row>
    <row r="1232" hidden="1">
      <c r="A1232" s="241"/>
      <c r="B1232" s="241"/>
      <c r="C1232" s="241"/>
      <c r="D1232" s="241"/>
      <c r="E1232" s="241"/>
      <c r="F1232" s="241"/>
      <c r="G1232" s="241"/>
      <c r="H1232" s="241"/>
      <c r="I1232" s="241"/>
      <c r="J1232" s="241"/>
      <c r="K1232" s="241"/>
      <c r="L1232" s="242"/>
      <c r="M1232" s="241"/>
      <c r="N1232" s="241"/>
      <c r="O1232" s="241"/>
      <c r="P1232" s="241"/>
      <c r="Q1232" s="241"/>
      <c r="R1232" s="241"/>
      <c r="S1232" s="241"/>
      <c r="T1232" s="241"/>
      <c r="U1232" s="241"/>
      <c r="V1232" s="241"/>
      <c r="W1232" s="241"/>
      <c r="X1232" s="243"/>
      <c r="Y1232" s="243"/>
      <c r="Z1232" s="243"/>
      <c r="AA1232" s="243"/>
      <c r="AB1232" s="243"/>
      <c r="AC1232" s="243"/>
      <c r="AD1232" s="243"/>
      <c r="AE1232" s="243"/>
      <c r="AF1232" s="243"/>
      <c r="AG1232" s="243"/>
      <c r="AH1232" s="243"/>
      <c r="AI1232" s="243"/>
      <c r="AJ1232" s="243"/>
    </row>
    <row r="1233" hidden="1">
      <c r="A1233" s="241"/>
      <c r="B1233" s="241"/>
      <c r="C1233" s="241"/>
      <c r="D1233" s="241"/>
      <c r="E1233" s="241"/>
      <c r="F1233" s="241"/>
      <c r="G1233" s="241"/>
      <c r="H1233" s="241"/>
      <c r="I1233" s="241"/>
      <c r="J1233" s="241"/>
      <c r="K1233" s="241"/>
      <c r="L1233" s="242"/>
      <c r="M1233" s="241"/>
      <c r="N1233" s="241"/>
      <c r="O1233" s="241"/>
      <c r="P1233" s="241"/>
      <c r="Q1233" s="241"/>
      <c r="R1233" s="241"/>
      <c r="S1233" s="241"/>
      <c r="T1233" s="241"/>
      <c r="U1233" s="241"/>
      <c r="V1233" s="241"/>
      <c r="W1233" s="241"/>
      <c r="X1233" s="243"/>
      <c r="Y1233" s="243"/>
      <c r="Z1233" s="243"/>
      <c r="AA1233" s="243"/>
      <c r="AB1233" s="243"/>
      <c r="AC1233" s="243"/>
      <c r="AD1233" s="243"/>
      <c r="AE1233" s="243"/>
      <c r="AF1233" s="243"/>
      <c r="AG1233" s="243"/>
      <c r="AH1233" s="243"/>
      <c r="AI1233" s="243"/>
      <c r="AJ1233" s="243"/>
    </row>
    <row r="1234" hidden="1">
      <c r="A1234" s="241"/>
      <c r="B1234" s="241"/>
      <c r="C1234" s="241"/>
      <c r="D1234" s="241"/>
      <c r="E1234" s="241"/>
      <c r="F1234" s="241"/>
      <c r="G1234" s="241"/>
      <c r="H1234" s="241"/>
      <c r="I1234" s="241"/>
      <c r="J1234" s="241"/>
      <c r="K1234" s="241"/>
      <c r="L1234" s="242"/>
      <c r="M1234" s="241"/>
      <c r="N1234" s="241"/>
      <c r="O1234" s="241"/>
      <c r="P1234" s="241"/>
      <c r="Q1234" s="241"/>
      <c r="R1234" s="241"/>
      <c r="S1234" s="241"/>
      <c r="T1234" s="241"/>
      <c r="U1234" s="241"/>
      <c r="V1234" s="241"/>
      <c r="W1234" s="241"/>
      <c r="X1234" s="243"/>
      <c r="Y1234" s="243"/>
      <c r="Z1234" s="243"/>
      <c r="AA1234" s="243"/>
      <c r="AB1234" s="243"/>
      <c r="AC1234" s="243"/>
      <c r="AD1234" s="243"/>
      <c r="AE1234" s="243"/>
      <c r="AF1234" s="243"/>
      <c r="AG1234" s="243"/>
      <c r="AH1234" s="243"/>
      <c r="AI1234" s="243"/>
      <c r="AJ1234" s="243"/>
    </row>
    <row r="1235" hidden="1">
      <c r="A1235" s="241"/>
      <c r="B1235" s="241"/>
      <c r="C1235" s="241"/>
      <c r="D1235" s="241"/>
      <c r="E1235" s="241"/>
      <c r="F1235" s="241"/>
      <c r="G1235" s="241"/>
      <c r="H1235" s="241"/>
      <c r="I1235" s="241"/>
      <c r="J1235" s="241"/>
      <c r="K1235" s="241"/>
      <c r="L1235" s="242"/>
      <c r="M1235" s="241"/>
      <c r="N1235" s="241"/>
      <c r="O1235" s="241"/>
      <c r="P1235" s="241"/>
      <c r="Q1235" s="241"/>
      <c r="R1235" s="241"/>
      <c r="S1235" s="241"/>
      <c r="T1235" s="241"/>
      <c r="U1235" s="241"/>
      <c r="V1235" s="241"/>
      <c r="W1235" s="241"/>
      <c r="X1235" s="243"/>
      <c r="Y1235" s="243"/>
      <c r="Z1235" s="243"/>
      <c r="AA1235" s="243"/>
      <c r="AB1235" s="243"/>
      <c r="AC1235" s="243"/>
      <c r="AD1235" s="243"/>
      <c r="AE1235" s="243"/>
      <c r="AF1235" s="243"/>
      <c r="AG1235" s="243"/>
      <c r="AH1235" s="243"/>
      <c r="AI1235" s="243"/>
      <c r="AJ1235" s="243"/>
    </row>
    <row r="1236" hidden="1">
      <c r="A1236" s="241"/>
      <c r="B1236" s="241"/>
      <c r="C1236" s="241"/>
      <c r="D1236" s="241"/>
      <c r="E1236" s="241"/>
      <c r="F1236" s="241"/>
      <c r="G1236" s="241"/>
      <c r="H1236" s="241"/>
      <c r="I1236" s="241"/>
      <c r="J1236" s="241"/>
      <c r="K1236" s="241"/>
      <c r="L1236" s="242"/>
      <c r="M1236" s="241"/>
      <c r="N1236" s="241"/>
      <c r="O1236" s="241"/>
      <c r="P1236" s="241"/>
      <c r="Q1236" s="241"/>
      <c r="R1236" s="241"/>
      <c r="S1236" s="241"/>
      <c r="T1236" s="241"/>
      <c r="U1236" s="241"/>
      <c r="V1236" s="241"/>
      <c r="W1236" s="241"/>
      <c r="X1236" s="243"/>
      <c r="Y1236" s="243"/>
      <c r="Z1236" s="243"/>
      <c r="AA1236" s="243"/>
      <c r="AB1236" s="243"/>
      <c r="AC1236" s="243"/>
      <c r="AD1236" s="243"/>
      <c r="AE1236" s="243"/>
      <c r="AF1236" s="243"/>
      <c r="AG1236" s="243"/>
      <c r="AH1236" s="243"/>
      <c r="AI1236" s="243"/>
      <c r="AJ1236" s="243"/>
    </row>
    <row r="1237" hidden="1">
      <c r="A1237" s="241"/>
      <c r="B1237" s="241"/>
      <c r="C1237" s="241"/>
      <c r="D1237" s="241"/>
      <c r="E1237" s="241"/>
      <c r="F1237" s="241"/>
      <c r="G1237" s="241"/>
      <c r="H1237" s="241"/>
      <c r="I1237" s="241"/>
      <c r="J1237" s="241"/>
      <c r="K1237" s="241"/>
      <c r="L1237" s="242"/>
      <c r="M1237" s="241"/>
      <c r="N1237" s="241"/>
      <c r="O1237" s="241"/>
      <c r="P1237" s="241"/>
      <c r="Q1237" s="241"/>
      <c r="R1237" s="241"/>
      <c r="S1237" s="241"/>
      <c r="T1237" s="241"/>
      <c r="U1237" s="241"/>
      <c r="V1237" s="241"/>
      <c r="W1237" s="241"/>
      <c r="X1237" s="243"/>
      <c r="Y1237" s="243"/>
      <c r="Z1237" s="243"/>
      <c r="AA1237" s="243"/>
      <c r="AB1237" s="243"/>
      <c r="AC1237" s="243"/>
      <c r="AD1237" s="243"/>
      <c r="AE1237" s="243"/>
      <c r="AF1237" s="243"/>
      <c r="AG1237" s="243"/>
      <c r="AH1237" s="243"/>
      <c r="AI1237" s="243"/>
      <c r="AJ1237" s="243"/>
    </row>
    <row r="1238" hidden="1">
      <c r="A1238" s="241"/>
      <c r="B1238" s="241"/>
      <c r="C1238" s="241"/>
      <c r="D1238" s="241"/>
      <c r="E1238" s="241"/>
      <c r="F1238" s="241"/>
      <c r="G1238" s="241"/>
      <c r="H1238" s="241"/>
      <c r="I1238" s="241"/>
      <c r="J1238" s="241"/>
      <c r="K1238" s="241"/>
      <c r="L1238" s="242"/>
      <c r="M1238" s="241"/>
      <c r="N1238" s="241"/>
      <c r="O1238" s="241"/>
      <c r="P1238" s="241"/>
      <c r="Q1238" s="241"/>
      <c r="R1238" s="241"/>
      <c r="S1238" s="241"/>
      <c r="T1238" s="241"/>
      <c r="U1238" s="241"/>
      <c r="V1238" s="241"/>
      <c r="W1238" s="241"/>
      <c r="X1238" s="243"/>
      <c r="Y1238" s="243"/>
      <c r="Z1238" s="243"/>
      <c r="AA1238" s="243"/>
      <c r="AB1238" s="243"/>
      <c r="AC1238" s="243"/>
      <c r="AD1238" s="243"/>
      <c r="AE1238" s="243"/>
      <c r="AF1238" s="243"/>
      <c r="AG1238" s="243"/>
      <c r="AH1238" s="243"/>
      <c r="AI1238" s="243"/>
      <c r="AJ1238" s="243"/>
    </row>
    <row r="1239" hidden="1">
      <c r="A1239" s="241"/>
      <c r="B1239" s="241"/>
      <c r="C1239" s="241"/>
      <c r="D1239" s="241"/>
      <c r="E1239" s="241"/>
      <c r="F1239" s="241"/>
      <c r="G1239" s="241"/>
      <c r="H1239" s="241"/>
      <c r="I1239" s="241"/>
      <c r="J1239" s="241"/>
      <c r="K1239" s="241"/>
      <c r="L1239" s="242"/>
      <c r="M1239" s="241"/>
      <c r="N1239" s="241"/>
      <c r="O1239" s="241"/>
      <c r="P1239" s="241"/>
      <c r="Q1239" s="241"/>
      <c r="R1239" s="241"/>
      <c r="S1239" s="241"/>
      <c r="T1239" s="241"/>
      <c r="U1239" s="241"/>
      <c r="V1239" s="241"/>
      <c r="W1239" s="241"/>
      <c r="X1239" s="243"/>
      <c r="Y1239" s="243"/>
      <c r="Z1239" s="243"/>
      <c r="AA1239" s="243"/>
      <c r="AB1239" s="243"/>
      <c r="AC1239" s="243"/>
      <c r="AD1239" s="243"/>
      <c r="AE1239" s="243"/>
      <c r="AF1239" s="243"/>
      <c r="AG1239" s="243"/>
      <c r="AH1239" s="243"/>
      <c r="AI1239" s="243"/>
      <c r="AJ1239" s="243"/>
    </row>
    <row r="1240" hidden="1">
      <c r="A1240" s="241"/>
      <c r="B1240" s="241"/>
      <c r="C1240" s="241"/>
      <c r="D1240" s="241"/>
      <c r="E1240" s="241"/>
      <c r="F1240" s="241"/>
      <c r="G1240" s="241"/>
      <c r="H1240" s="241"/>
      <c r="I1240" s="241"/>
      <c r="J1240" s="241"/>
      <c r="K1240" s="241"/>
      <c r="L1240" s="242"/>
      <c r="M1240" s="241"/>
      <c r="N1240" s="241"/>
      <c r="O1240" s="241"/>
      <c r="P1240" s="241"/>
      <c r="Q1240" s="241"/>
      <c r="R1240" s="241"/>
      <c r="S1240" s="241"/>
      <c r="T1240" s="241"/>
      <c r="U1240" s="241"/>
      <c r="V1240" s="241"/>
      <c r="W1240" s="241"/>
      <c r="X1240" s="243"/>
      <c r="Y1240" s="243"/>
      <c r="Z1240" s="243"/>
      <c r="AA1240" s="243"/>
      <c r="AB1240" s="243"/>
      <c r="AC1240" s="243"/>
      <c r="AD1240" s="243"/>
      <c r="AE1240" s="243"/>
      <c r="AF1240" s="243"/>
      <c r="AG1240" s="243"/>
      <c r="AH1240" s="243"/>
      <c r="AI1240" s="243"/>
      <c r="AJ1240" s="243"/>
    </row>
    <row r="1241" hidden="1">
      <c r="A1241" s="241"/>
      <c r="B1241" s="241"/>
      <c r="C1241" s="241"/>
      <c r="D1241" s="241"/>
      <c r="E1241" s="241"/>
      <c r="F1241" s="241"/>
      <c r="G1241" s="241"/>
      <c r="H1241" s="241"/>
      <c r="I1241" s="241"/>
      <c r="J1241" s="241"/>
      <c r="K1241" s="241"/>
      <c r="L1241" s="242"/>
      <c r="M1241" s="241"/>
      <c r="N1241" s="241"/>
      <c r="O1241" s="241"/>
      <c r="P1241" s="241"/>
      <c r="Q1241" s="241"/>
      <c r="R1241" s="241"/>
      <c r="S1241" s="241"/>
      <c r="T1241" s="241"/>
      <c r="U1241" s="241"/>
      <c r="V1241" s="241"/>
      <c r="W1241" s="241"/>
      <c r="X1241" s="243"/>
      <c r="Y1241" s="243"/>
      <c r="Z1241" s="243"/>
      <c r="AA1241" s="243"/>
      <c r="AB1241" s="243"/>
      <c r="AC1241" s="243"/>
      <c r="AD1241" s="243"/>
      <c r="AE1241" s="243"/>
      <c r="AF1241" s="243"/>
      <c r="AG1241" s="243"/>
      <c r="AH1241" s="243"/>
      <c r="AI1241" s="243"/>
      <c r="AJ1241" s="243"/>
    </row>
    <row r="1242" hidden="1">
      <c r="A1242" s="241"/>
      <c r="B1242" s="241"/>
      <c r="C1242" s="241"/>
      <c r="D1242" s="241"/>
      <c r="E1242" s="241"/>
      <c r="F1242" s="241"/>
      <c r="G1242" s="241"/>
      <c r="H1242" s="241"/>
      <c r="I1242" s="241"/>
      <c r="J1242" s="241"/>
      <c r="K1242" s="241"/>
      <c r="L1242" s="242"/>
      <c r="M1242" s="241"/>
      <c r="N1242" s="241"/>
      <c r="O1242" s="241"/>
      <c r="P1242" s="241"/>
      <c r="Q1242" s="241"/>
      <c r="R1242" s="241"/>
      <c r="S1242" s="241"/>
      <c r="T1242" s="241"/>
      <c r="U1242" s="241"/>
      <c r="V1242" s="241"/>
      <c r="W1242" s="241"/>
      <c r="X1242" s="243"/>
      <c r="Y1242" s="243"/>
      <c r="Z1242" s="243"/>
      <c r="AA1242" s="243"/>
      <c r="AB1242" s="243"/>
      <c r="AC1242" s="243"/>
      <c r="AD1242" s="243"/>
      <c r="AE1242" s="243"/>
      <c r="AF1242" s="243"/>
      <c r="AG1242" s="243"/>
      <c r="AH1242" s="243"/>
      <c r="AI1242" s="243"/>
      <c r="AJ1242" s="243"/>
    </row>
    <row r="1243" hidden="1">
      <c r="A1243" s="241"/>
      <c r="B1243" s="241"/>
      <c r="C1243" s="241"/>
      <c r="D1243" s="241"/>
      <c r="E1243" s="241"/>
      <c r="F1243" s="241"/>
      <c r="G1243" s="241"/>
      <c r="H1243" s="241"/>
      <c r="I1243" s="241"/>
      <c r="J1243" s="241"/>
      <c r="K1243" s="241"/>
      <c r="L1243" s="242"/>
      <c r="M1243" s="241"/>
      <c r="N1243" s="241"/>
      <c r="O1243" s="241"/>
      <c r="P1243" s="241"/>
      <c r="Q1243" s="241"/>
      <c r="R1243" s="241"/>
      <c r="S1243" s="241"/>
      <c r="T1243" s="241"/>
      <c r="U1243" s="241"/>
      <c r="V1243" s="241"/>
      <c r="W1243" s="241"/>
      <c r="X1243" s="243"/>
      <c r="Y1243" s="243"/>
      <c r="Z1243" s="243"/>
      <c r="AA1243" s="243"/>
      <c r="AB1243" s="243"/>
      <c r="AC1243" s="243"/>
      <c r="AD1243" s="243"/>
      <c r="AE1243" s="243"/>
      <c r="AF1243" s="243"/>
      <c r="AG1243" s="243"/>
      <c r="AH1243" s="243"/>
      <c r="AI1243" s="243"/>
      <c r="AJ1243" s="243"/>
    </row>
    <row r="1244" hidden="1">
      <c r="A1244" s="241"/>
      <c r="B1244" s="241"/>
      <c r="C1244" s="241"/>
      <c r="D1244" s="241"/>
      <c r="E1244" s="241"/>
      <c r="F1244" s="241"/>
      <c r="G1244" s="241"/>
      <c r="H1244" s="241"/>
      <c r="I1244" s="241"/>
      <c r="J1244" s="241"/>
      <c r="K1244" s="241"/>
      <c r="L1244" s="242"/>
      <c r="M1244" s="241"/>
      <c r="N1244" s="241"/>
      <c r="O1244" s="241"/>
      <c r="P1244" s="241"/>
      <c r="Q1244" s="241"/>
      <c r="R1244" s="241"/>
      <c r="S1244" s="241"/>
      <c r="T1244" s="241"/>
      <c r="U1244" s="241"/>
      <c r="V1244" s="241"/>
      <c r="W1244" s="241"/>
      <c r="X1244" s="243"/>
      <c r="Y1244" s="243"/>
      <c r="Z1244" s="243"/>
      <c r="AA1244" s="243"/>
      <c r="AB1244" s="243"/>
      <c r="AC1244" s="243"/>
      <c r="AD1244" s="243"/>
      <c r="AE1244" s="243"/>
      <c r="AF1244" s="243"/>
      <c r="AG1244" s="243"/>
      <c r="AH1244" s="243"/>
      <c r="AI1244" s="243"/>
      <c r="AJ1244" s="243"/>
    </row>
    <row r="1245" hidden="1">
      <c r="A1245" s="241"/>
      <c r="B1245" s="241"/>
      <c r="C1245" s="241"/>
      <c r="D1245" s="241"/>
      <c r="E1245" s="241"/>
      <c r="F1245" s="241"/>
      <c r="G1245" s="241"/>
      <c r="H1245" s="241"/>
      <c r="I1245" s="241"/>
      <c r="J1245" s="241"/>
      <c r="K1245" s="241"/>
      <c r="L1245" s="242"/>
      <c r="M1245" s="241"/>
      <c r="N1245" s="241"/>
      <c r="O1245" s="241"/>
      <c r="P1245" s="241"/>
      <c r="Q1245" s="241"/>
      <c r="R1245" s="241"/>
      <c r="S1245" s="241"/>
      <c r="T1245" s="241"/>
      <c r="U1245" s="241"/>
      <c r="V1245" s="241"/>
      <c r="W1245" s="241"/>
      <c r="X1245" s="243"/>
      <c r="Y1245" s="243"/>
      <c r="Z1245" s="243"/>
      <c r="AA1245" s="243"/>
      <c r="AB1245" s="243"/>
      <c r="AC1245" s="243"/>
      <c r="AD1245" s="243"/>
      <c r="AE1245" s="243"/>
      <c r="AF1245" s="243"/>
      <c r="AG1245" s="243"/>
      <c r="AH1245" s="243"/>
      <c r="AI1245" s="243"/>
      <c r="AJ1245" s="243"/>
    </row>
    <row r="1246" hidden="1">
      <c r="A1246" s="241"/>
      <c r="B1246" s="241"/>
      <c r="C1246" s="241"/>
      <c r="D1246" s="241"/>
      <c r="E1246" s="241"/>
      <c r="F1246" s="241"/>
      <c r="G1246" s="241"/>
      <c r="H1246" s="241"/>
      <c r="I1246" s="241"/>
      <c r="J1246" s="241"/>
      <c r="K1246" s="241"/>
      <c r="L1246" s="242"/>
      <c r="M1246" s="241"/>
      <c r="N1246" s="241"/>
      <c r="O1246" s="241"/>
      <c r="P1246" s="241"/>
      <c r="Q1246" s="241"/>
      <c r="R1246" s="241"/>
      <c r="S1246" s="241"/>
      <c r="T1246" s="241"/>
      <c r="U1246" s="241"/>
      <c r="V1246" s="241"/>
      <c r="W1246" s="241"/>
      <c r="X1246" s="243"/>
      <c r="Y1246" s="243"/>
      <c r="Z1246" s="243"/>
      <c r="AA1246" s="243"/>
      <c r="AB1246" s="243"/>
      <c r="AC1246" s="243"/>
      <c r="AD1246" s="243"/>
      <c r="AE1246" s="243"/>
      <c r="AF1246" s="243"/>
      <c r="AG1246" s="243"/>
      <c r="AH1246" s="243"/>
      <c r="AI1246" s="243"/>
      <c r="AJ1246" s="243"/>
    </row>
    <row r="1247" hidden="1">
      <c r="A1247" s="241"/>
      <c r="B1247" s="241"/>
      <c r="C1247" s="241"/>
      <c r="D1247" s="241"/>
      <c r="E1247" s="241"/>
      <c r="F1247" s="241"/>
      <c r="G1247" s="241"/>
      <c r="H1247" s="241"/>
      <c r="I1247" s="241"/>
      <c r="J1247" s="241"/>
      <c r="K1247" s="241"/>
      <c r="L1247" s="242"/>
      <c r="M1247" s="241"/>
      <c r="N1247" s="241"/>
      <c r="O1247" s="241"/>
      <c r="P1247" s="241"/>
      <c r="Q1247" s="241"/>
      <c r="R1247" s="241"/>
      <c r="S1247" s="241"/>
      <c r="T1247" s="241"/>
      <c r="U1247" s="241"/>
      <c r="V1247" s="241"/>
      <c r="W1247" s="241"/>
      <c r="X1247" s="243"/>
      <c r="Y1247" s="243"/>
      <c r="Z1247" s="243"/>
      <c r="AA1247" s="243"/>
      <c r="AB1247" s="243"/>
      <c r="AC1247" s="243"/>
      <c r="AD1247" s="243"/>
      <c r="AE1247" s="243"/>
      <c r="AF1247" s="243"/>
      <c r="AG1247" s="243"/>
      <c r="AH1247" s="243"/>
      <c r="AI1247" s="243"/>
      <c r="AJ1247" s="243"/>
    </row>
    <row r="1248" hidden="1">
      <c r="A1248" s="241"/>
      <c r="B1248" s="241"/>
      <c r="C1248" s="241"/>
      <c r="D1248" s="241"/>
      <c r="E1248" s="241"/>
      <c r="F1248" s="241"/>
      <c r="G1248" s="241"/>
      <c r="H1248" s="241"/>
      <c r="I1248" s="241"/>
      <c r="J1248" s="241"/>
      <c r="K1248" s="241"/>
      <c r="L1248" s="242"/>
      <c r="M1248" s="241"/>
      <c r="N1248" s="241"/>
      <c r="O1248" s="241"/>
      <c r="P1248" s="241"/>
      <c r="Q1248" s="241"/>
      <c r="R1248" s="241"/>
      <c r="S1248" s="241"/>
      <c r="T1248" s="241"/>
      <c r="U1248" s="241"/>
      <c r="V1248" s="241"/>
      <c r="W1248" s="241"/>
      <c r="X1248" s="243"/>
      <c r="Y1248" s="243"/>
      <c r="Z1248" s="243"/>
      <c r="AA1248" s="243"/>
      <c r="AB1248" s="243"/>
      <c r="AC1248" s="243"/>
      <c r="AD1248" s="243"/>
      <c r="AE1248" s="243"/>
      <c r="AF1248" s="243"/>
      <c r="AG1248" s="243"/>
      <c r="AH1248" s="243"/>
      <c r="AI1248" s="243"/>
      <c r="AJ1248" s="243"/>
    </row>
    <row r="1249" hidden="1">
      <c r="A1249" s="241"/>
      <c r="B1249" s="241"/>
      <c r="C1249" s="241"/>
      <c r="D1249" s="241"/>
      <c r="E1249" s="241"/>
      <c r="F1249" s="241"/>
      <c r="G1249" s="241"/>
      <c r="H1249" s="241"/>
      <c r="I1249" s="241"/>
      <c r="J1249" s="241"/>
      <c r="K1249" s="241"/>
      <c r="L1249" s="242"/>
      <c r="M1249" s="241"/>
      <c r="N1249" s="241"/>
      <c r="O1249" s="241"/>
      <c r="P1249" s="241"/>
      <c r="Q1249" s="241"/>
      <c r="R1249" s="241"/>
      <c r="S1249" s="241"/>
      <c r="T1249" s="241"/>
      <c r="U1249" s="241"/>
      <c r="V1249" s="241"/>
      <c r="W1249" s="241"/>
      <c r="X1249" s="243"/>
      <c r="Y1249" s="243"/>
      <c r="Z1249" s="243"/>
      <c r="AA1249" s="243"/>
      <c r="AB1249" s="243"/>
      <c r="AC1249" s="243"/>
      <c r="AD1249" s="243"/>
      <c r="AE1249" s="243"/>
      <c r="AF1249" s="243"/>
      <c r="AG1249" s="243"/>
      <c r="AH1249" s="243"/>
      <c r="AI1249" s="243"/>
      <c r="AJ1249" s="243"/>
    </row>
    <row r="1250" hidden="1">
      <c r="A1250" s="241"/>
      <c r="B1250" s="241"/>
      <c r="C1250" s="241"/>
      <c r="D1250" s="241"/>
      <c r="E1250" s="241"/>
      <c r="F1250" s="241"/>
      <c r="G1250" s="241"/>
      <c r="H1250" s="241"/>
      <c r="I1250" s="241"/>
      <c r="J1250" s="241"/>
      <c r="K1250" s="241"/>
      <c r="L1250" s="242"/>
      <c r="M1250" s="241"/>
      <c r="N1250" s="241"/>
      <c r="O1250" s="241"/>
      <c r="P1250" s="241"/>
      <c r="Q1250" s="241"/>
      <c r="R1250" s="241"/>
      <c r="S1250" s="241"/>
      <c r="T1250" s="241"/>
      <c r="U1250" s="241"/>
      <c r="V1250" s="241"/>
      <c r="W1250" s="241"/>
      <c r="X1250" s="243"/>
      <c r="Y1250" s="243"/>
      <c r="Z1250" s="243"/>
      <c r="AA1250" s="243"/>
      <c r="AB1250" s="243"/>
      <c r="AC1250" s="243"/>
      <c r="AD1250" s="243"/>
      <c r="AE1250" s="243"/>
      <c r="AF1250" s="243"/>
      <c r="AG1250" s="243"/>
      <c r="AH1250" s="243"/>
      <c r="AI1250" s="243"/>
      <c r="AJ1250" s="243"/>
    </row>
    <row r="1251" hidden="1">
      <c r="A1251" s="241"/>
      <c r="B1251" s="241"/>
      <c r="C1251" s="241"/>
      <c r="D1251" s="241"/>
      <c r="E1251" s="241"/>
      <c r="F1251" s="241"/>
      <c r="G1251" s="241"/>
      <c r="H1251" s="241"/>
      <c r="I1251" s="241"/>
      <c r="J1251" s="241"/>
      <c r="K1251" s="241"/>
      <c r="L1251" s="242"/>
      <c r="M1251" s="241"/>
      <c r="N1251" s="241"/>
      <c r="O1251" s="241"/>
      <c r="P1251" s="241"/>
      <c r="Q1251" s="241"/>
      <c r="R1251" s="241"/>
      <c r="S1251" s="241"/>
      <c r="T1251" s="241"/>
      <c r="U1251" s="241"/>
      <c r="V1251" s="241"/>
      <c r="W1251" s="241"/>
      <c r="X1251" s="243"/>
      <c r="Y1251" s="243"/>
      <c r="Z1251" s="243"/>
      <c r="AA1251" s="243"/>
      <c r="AB1251" s="243"/>
      <c r="AC1251" s="243"/>
      <c r="AD1251" s="243"/>
      <c r="AE1251" s="243"/>
      <c r="AF1251" s="243"/>
      <c r="AG1251" s="243"/>
      <c r="AH1251" s="243"/>
      <c r="AI1251" s="243"/>
      <c r="AJ1251" s="243"/>
    </row>
    <row r="1252" hidden="1">
      <c r="A1252" s="241"/>
      <c r="B1252" s="241"/>
      <c r="C1252" s="241"/>
      <c r="D1252" s="241"/>
      <c r="E1252" s="241"/>
      <c r="F1252" s="241"/>
      <c r="G1252" s="241"/>
      <c r="H1252" s="241"/>
      <c r="I1252" s="241"/>
      <c r="J1252" s="241"/>
      <c r="K1252" s="241"/>
      <c r="L1252" s="242"/>
      <c r="M1252" s="241"/>
      <c r="N1252" s="241"/>
      <c r="O1252" s="241"/>
      <c r="P1252" s="241"/>
      <c r="Q1252" s="241"/>
      <c r="R1252" s="241"/>
      <c r="S1252" s="241"/>
      <c r="T1252" s="241"/>
      <c r="U1252" s="241"/>
      <c r="V1252" s="241"/>
      <c r="W1252" s="241"/>
      <c r="X1252" s="243"/>
      <c r="Y1252" s="243"/>
      <c r="Z1252" s="243"/>
      <c r="AA1252" s="243"/>
      <c r="AB1252" s="243"/>
      <c r="AC1252" s="243"/>
      <c r="AD1252" s="243"/>
      <c r="AE1252" s="243"/>
      <c r="AF1252" s="243"/>
      <c r="AG1252" s="243"/>
      <c r="AH1252" s="243"/>
      <c r="AI1252" s="243"/>
      <c r="AJ1252" s="243"/>
    </row>
    <row r="1253" hidden="1">
      <c r="A1253" s="241"/>
      <c r="B1253" s="241"/>
      <c r="C1253" s="241"/>
      <c r="D1253" s="241"/>
      <c r="E1253" s="241"/>
      <c r="F1253" s="241"/>
      <c r="G1253" s="241"/>
      <c r="H1253" s="241"/>
      <c r="I1253" s="241"/>
      <c r="J1253" s="241"/>
      <c r="K1253" s="241"/>
      <c r="L1253" s="242"/>
      <c r="M1253" s="241"/>
      <c r="N1253" s="241"/>
      <c r="O1253" s="241"/>
      <c r="P1253" s="241"/>
      <c r="Q1253" s="241"/>
      <c r="R1253" s="241"/>
      <c r="S1253" s="241"/>
      <c r="T1253" s="241"/>
      <c r="U1253" s="241"/>
      <c r="V1253" s="241"/>
      <c r="W1253" s="241"/>
      <c r="X1253" s="243"/>
      <c r="Y1253" s="243"/>
      <c r="Z1253" s="243"/>
      <c r="AA1253" s="243"/>
      <c r="AB1253" s="243"/>
      <c r="AC1253" s="243"/>
      <c r="AD1253" s="243"/>
      <c r="AE1253" s="243"/>
      <c r="AF1253" s="243"/>
      <c r="AG1253" s="243"/>
      <c r="AH1253" s="243"/>
      <c r="AI1253" s="243"/>
      <c r="AJ1253" s="243"/>
    </row>
    <row r="1254" hidden="1">
      <c r="A1254" s="241"/>
      <c r="B1254" s="241"/>
      <c r="C1254" s="241"/>
      <c r="D1254" s="241"/>
      <c r="E1254" s="241"/>
      <c r="F1254" s="241"/>
      <c r="G1254" s="241"/>
      <c r="H1254" s="241"/>
      <c r="I1254" s="241"/>
      <c r="J1254" s="241"/>
      <c r="K1254" s="241"/>
      <c r="L1254" s="242"/>
      <c r="M1254" s="241"/>
      <c r="N1254" s="241"/>
      <c r="O1254" s="241"/>
      <c r="P1254" s="241"/>
      <c r="Q1254" s="241"/>
      <c r="R1254" s="241"/>
      <c r="S1254" s="241"/>
      <c r="T1254" s="241"/>
      <c r="U1254" s="241"/>
      <c r="V1254" s="241"/>
      <c r="W1254" s="241"/>
      <c r="X1254" s="243"/>
      <c r="Y1254" s="243"/>
      <c r="Z1254" s="243"/>
      <c r="AA1254" s="243"/>
      <c r="AB1254" s="243"/>
      <c r="AC1254" s="243"/>
      <c r="AD1254" s="243"/>
      <c r="AE1254" s="243"/>
      <c r="AF1254" s="243"/>
      <c r="AG1254" s="243"/>
      <c r="AH1254" s="243"/>
      <c r="AI1254" s="243"/>
      <c r="AJ1254" s="243"/>
    </row>
    <row r="1255" hidden="1">
      <c r="A1255" s="241"/>
      <c r="B1255" s="241"/>
      <c r="C1255" s="241"/>
      <c r="D1255" s="241"/>
      <c r="E1255" s="241"/>
      <c r="F1255" s="241"/>
      <c r="G1255" s="241"/>
      <c r="H1255" s="241"/>
      <c r="I1255" s="241"/>
      <c r="J1255" s="241"/>
      <c r="K1255" s="241"/>
      <c r="L1255" s="242"/>
      <c r="M1255" s="241"/>
      <c r="N1255" s="241"/>
      <c r="O1255" s="241"/>
      <c r="P1255" s="241"/>
      <c r="Q1255" s="241"/>
      <c r="R1255" s="241"/>
      <c r="S1255" s="241"/>
      <c r="T1255" s="241"/>
      <c r="U1255" s="241"/>
      <c r="V1255" s="241"/>
      <c r="W1255" s="241"/>
      <c r="X1255" s="243"/>
      <c r="Y1255" s="243"/>
      <c r="Z1255" s="243"/>
      <c r="AA1255" s="243"/>
      <c r="AB1255" s="243"/>
      <c r="AC1255" s="243"/>
      <c r="AD1255" s="243"/>
      <c r="AE1255" s="243"/>
      <c r="AF1255" s="243"/>
      <c r="AG1255" s="243"/>
      <c r="AH1255" s="243"/>
      <c r="AI1255" s="243"/>
      <c r="AJ1255" s="243"/>
    </row>
    <row r="1256" hidden="1">
      <c r="A1256" s="241"/>
      <c r="B1256" s="241"/>
      <c r="C1256" s="241"/>
      <c r="D1256" s="241"/>
      <c r="E1256" s="241"/>
      <c r="F1256" s="241"/>
      <c r="G1256" s="241"/>
      <c r="H1256" s="241"/>
      <c r="I1256" s="241"/>
      <c r="J1256" s="241"/>
      <c r="K1256" s="241"/>
      <c r="L1256" s="242"/>
      <c r="M1256" s="241"/>
      <c r="N1256" s="241"/>
      <c r="O1256" s="241"/>
      <c r="P1256" s="241"/>
      <c r="Q1256" s="241"/>
      <c r="R1256" s="241"/>
      <c r="S1256" s="241"/>
      <c r="T1256" s="241"/>
      <c r="U1256" s="241"/>
      <c r="V1256" s="241"/>
      <c r="W1256" s="241"/>
      <c r="X1256" s="243"/>
      <c r="Y1256" s="243"/>
      <c r="Z1256" s="243"/>
      <c r="AA1256" s="243"/>
      <c r="AB1256" s="243"/>
      <c r="AC1256" s="243"/>
      <c r="AD1256" s="243"/>
      <c r="AE1256" s="243"/>
      <c r="AF1256" s="243"/>
      <c r="AG1256" s="243"/>
      <c r="AH1256" s="243"/>
      <c r="AI1256" s="243"/>
      <c r="AJ1256" s="243"/>
    </row>
    <row r="1257" hidden="1">
      <c r="A1257" s="241"/>
      <c r="B1257" s="241"/>
      <c r="C1257" s="241"/>
      <c r="D1257" s="241"/>
      <c r="E1257" s="241"/>
      <c r="F1257" s="241"/>
      <c r="G1257" s="241"/>
      <c r="H1257" s="241"/>
      <c r="I1257" s="241"/>
      <c r="J1257" s="241"/>
      <c r="K1257" s="241"/>
      <c r="L1257" s="242"/>
      <c r="M1257" s="241"/>
      <c r="N1257" s="241"/>
      <c r="O1257" s="241"/>
      <c r="P1257" s="241"/>
      <c r="Q1257" s="241"/>
      <c r="R1257" s="241"/>
      <c r="S1257" s="241"/>
      <c r="T1257" s="241"/>
      <c r="U1257" s="241"/>
      <c r="V1257" s="241"/>
      <c r="W1257" s="241"/>
      <c r="X1257" s="243"/>
      <c r="Y1257" s="243"/>
      <c r="Z1257" s="243"/>
      <c r="AA1257" s="243"/>
      <c r="AB1257" s="243"/>
      <c r="AC1257" s="243"/>
      <c r="AD1257" s="243"/>
      <c r="AE1257" s="243"/>
      <c r="AF1257" s="243"/>
      <c r="AG1257" s="243"/>
      <c r="AH1257" s="243"/>
      <c r="AI1257" s="243"/>
      <c r="AJ1257" s="243"/>
    </row>
    <row r="1258" hidden="1">
      <c r="A1258" s="241"/>
      <c r="B1258" s="241"/>
      <c r="C1258" s="241"/>
      <c r="D1258" s="241"/>
      <c r="E1258" s="241"/>
      <c r="F1258" s="241"/>
      <c r="G1258" s="241"/>
      <c r="H1258" s="241"/>
      <c r="I1258" s="241"/>
      <c r="J1258" s="241"/>
      <c r="K1258" s="241"/>
      <c r="L1258" s="242"/>
      <c r="M1258" s="241"/>
      <c r="N1258" s="241"/>
      <c r="O1258" s="241"/>
      <c r="P1258" s="241"/>
      <c r="Q1258" s="241"/>
      <c r="R1258" s="241"/>
      <c r="S1258" s="241"/>
      <c r="T1258" s="241"/>
      <c r="U1258" s="241"/>
      <c r="V1258" s="241"/>
      <c r="W1258" s="241"/>
      <c r="X1258" s="243"/>
      <c r="Y1258" s="243"/>
      <c r="Z1258" s="243"/>
      <c r="AA1258" s="243"/>
      <c r="AB1258" s="243"/>
      <c r="AC1258" s="243"/>
      <c r="AD1258" s="243"/>
      <c r="AE1258" s="243"/>
      <c r="AF1258" s="243"/>
      <c r="AG1258" s="243"/>
      <c r="AH1258" s="243"/>
      <c r="AI1258" s="243"/>
      <c r="AJ1258" s="243"/>
    </row>
    <row r="1259" hidden="1">
      <c r="A1259" s="241"/>
      <c r="B1259" s="241"/>
      <c r="C1259" s="241"/>
      <c r="D1259" s="241"/>
      <c r="E1259" s="241"/>
      <c r="F1259" s="241"/>
      <c r="G1259" s="241"/>
      <c r="H1259" s="241"/>
      <c r="I1259" s="241"/>
      <c r="J1259" s="241"/>
      <c r="K1259" s="241"/>
      <c r="L1259" s="242"/>
      <c r="M1259" s="241"/>
      <c r="N1259" s="241"/>
      <c r="O1259" s="241"/>
      <c r="P1259" s="241"/>
      <c r="Q1259" s="241"/>
      <c r="R1259" s="241"/>
      <c r="S1259" s="241"/>
      <c r="T1259" s="241"/>
      <c r="U1259" s="241"/>
      <c r="V1259" s="241"/>
      <c r="W1259" s="241"/>
      <c r="X1259" s="243"/>
      <c r="Y1259" s="243"/>
      <c r="Z1259" s="243"/>
      <c r="AA1259" s="243"/>
      <c r="AB1259" s="243"/>
      <c r="AC1259" s="243"/>
      <c r="AD1259" s="243"/>
      <c r="AE1259" s="243"/>
      <c r="AF1259" s="243"/>
      <c r="AG1259" s="243"/>
      <c r="AH1259" s="243"/>
      <c r="AI1259" s="243"/>
      <c r="AJ1259" s="243"/>
    </row>
    <row r="1260" hidden="1">
      <c r="A1260" s="241"/>
      <c r="B1260" s="241"/>
      <c r="C1260" s="241"/>
      <c r="D1260" s="241"/>
      <c r="E1260" s="241"/>
      <c r="F1260" s="241"/>
      <c r="G1260" s="241"/>
      <c r="H1260" s="241"/>
      <c r="I1260" s="241"/>
      <c r="J1260" s="241"/>
      <c r="K1260" s="241"/>
      <c r="L1260" s="242"/>
      <c r="M1260" s="241"/>
      <c r="N1260" s="241"/>
      <c r="O1260" s="241"/>
      <c r="P1260" s="241"/>
      <c r="Q1260" s="241"/>
      <c r="R1260" s="241"/>
      <c r="S1260" s="241"/>
      <c r="T1260" s="241"/>
      <c r="U1260" s="241"/>
      <c r="V1260" s="241"/>
      <c r="W1260" s="241"/>
      <c r="X1260" s="243"/>
      <c r="Y1260" s="243"/>
      <c r="Z1260" s="243"/>
      <c r="AA1260" s="243"/>
      <c r="AB1260" s="243"/>
      <c r="AC1260" s="243"/>
      <c r="AD1260" s="243"/>
      <c r="AE1260" s="243"/>
      <c r="AF1260" s="243"/>
      <c r="AG1260" s="243"/>
      <c r="AH1260" s="243"/>
      <c r="AI1260" s="243"/>
      <c r="AJ1260" s="243"/>
    </row>
    <row r="1261" hidden="1">
      <c r="A1261" s="241"/>
      <c r="B1261" s="241"/>
      <c r="C1261" s="241"/>
      <c r="D1261" s="241"/>
      <c r="E1261" s="241"/>
      <c r="F1261" s="241"/>
      <c r="G1261" s="241"/>
      <c r="H1261" s="241"/>
      <c r="I1261" s="241"/>
      <c r="J1261" s="241"/>
      <c r="K1261" s="241"/>
      <c r="L1261" s="242"/>
      <c r="M1261" s="241"/>
      <c r="N1261" s="241"/>
      <c r="O1261" s="241"/>
      <c r="P1261" s="241"/>
      <c r="Q1261" s="241"/>
      <c r="R1261" s="241"/>
      <c r="S1261" s="241"/>
      <c r="T1261" s="241"/>
      <c r="U1261" s="241"/>
      <c r="V1261" s="241"/>
      <c r="W1261" s="241"/>
      <c r="X1261" s="243"/>
      <c r="Y1261" s="243"/>
      <c r="Z1261" s="243"/>
      <c r="AA1261" s="243"/>
      <c r="AB1261" s="243"/>
      <c r="AC1261" s="243"/>
      <c r="AD1261" s="243"/>
      <c r="AE1261" s="243"/>
      <c r="AF1261" s="243"/>
      <c r="AG1261" s="243"/>
      <c r="AH1261" s="243"/>
      <c r="AI1261" s="243"/>
      <c r="AJ1261" s="243"/>
    </row>
    <row r="1262" hidden="1">
      <c r="A1262" s="241"/>
      <c r="B1262" s="241"/>
      <c r="C1262" s="241"/>
      <c r="D1262" s="241"/>
      <c r="E1262" s="241"/>
      <c r="F1262" s="241"/>
      <c r="G1262" s="241"/>
      <c r="H1262" s="241"/>
      <c r="I1262" s="241"/>
      <c r="J1262" s="241"/>
      <c r="K1262" s="241"/>
      <c r="L1262" s="242"/>
      <c r="M1262" s="241"/>
      <c r="N1262" s="241"/>
      <c r="O1262" s="241"/>
      <c r="P1262" s="241"/>
      <c r="Q1262" s="241"/>
      <c r="R1262" s="241"/>
      <c r="S1262" s="241"/>
      <c r="T1262" s="241"/>
      <c r="U1262" s="241"/>
      <c r="V1262" s="241"/>
      <c r="W1262" s="241"/>
      <c r="X1262" s="243"/>
      <c r="Y1262" s="243"/>
      <c r="Z1262" s="243"/>
      <c r="AA1262" s="243"/>
      <c r="AB1262" s="243"/>
      <c r="AC1262" s="243"/>
      <c r="AD1262" s="243"/>
      <c r="AE1262" s="243"/>
      <c r="AF1262" s="243"/>
      <c r="AG1262" s="243"/>
      <c r="AH1262" s="243"/>
      <c r="AI1262" s="243"/>
      <c r="AJ1262" s="243"/>
    </row>
    <row r="1263" hidden="1">
      <c r="A1263" s="241"/>
      <c r="B1263" s="241"/>
      <c r="C1263" s="241"/>
      <c r="D1263" s="241"/>
      <c r="E1263" s="241"/>
      <c r="F1263" s="241"/>
      <c r="G1263" s="241"/>
      <c r="H1263" s="241"/>
      <c r="I1263" s="241"/>
      <c r="J1263" s="241"/>
      <c r="K1263" s="241"/>
      <c r="L1263" s="242"/>
      <c r="M1263" s="241"/>
      <c r="N1263" s="241"/>
      <c r="O1263" s="241"/>
      <c r="P1263" s="241"/>
      <c r="Q1263" s="241"/>
      <c r="R1263" s="241"/>
      <c r="S1263" s="241"/>
      <c r="T1263" s="241"/>
      <c r="U1263" s="241"/>
      <c r="V1263" s="241"/>
      <c r="W1263" s="241"/>
      <c r="X1263" s="243"/>
      <c r="Y1263" s="243"/>
      <c r="Z1263" s="243"/>
      <c r="AA1263" s="243"/>
      <c r="AB1263" s="243"/>
      <c r="AC1263" s="243"/>
      <c r="AD1263" s="243"/>
      <c r="AE1263" s="243"/>
      <c r="AF1263" s="243"/>
      <c r="AG1263" s="243"/>
      <c r="AH1263" s="243"/>
      <c r="AI1263" s="243"/>
      <c r="AJ1263" s="243"/>
    </row>
    <row r="1264" hidden="1">
      <c r="A1264" s="241"/>
      <c r="B1264" s="241"/>
      <c r="C1264" s="241"/>
      <c r="D1264" s="241"/>
      <c r="E1264" s="241"/>
      <c r="F1264" s="241"/>
      <c r="G1264" s="241"/>
      <c r="H1264" s="241"/>
      <c r="I1264" s="241"/>
      <c r="J1264" s="241"/>
      <c r="K1264" s="241"/>
      <c r="L1264" s="242"/>
      <c r="M1264" s="241"/>
      <c r="N1264" s="241"/>
      <c r="O1264" s="241"/>
      <c r="P1264" s="241"/>
      <c r="Q1264" s="241"/>
      <c r="R1264" s="241"/>
      <c r="S1264" s="241"/>
      <c r="T1264" s="241"/>
      <c r="U1264" s="241"/>
      <c r="V1264" s="241"/>
      <c r="W1264" s="241"/>
      <c r="X1264" s="243"/>
      <c r="Y1264" s="243"/>
      <c r="Z1264" s="243"/>
      <c r="AA1264" s="243"/>
      <c r="AB1264" s="243"/>
      <c r="AC1264" s="243"/>
      <c r="AD1264" s="243"/>
      <c r="AE1264" s="243"/>
      <c r="AF1264" s="243"/>
      <c r="AG1264" s="243"/>
      <c r="AH1264" s="243"/>
      <c r="AI1264" s="243"/>
      <c r="AJ1264" s="243"/>
    </row>
    <row r="1265" hidden="1">
      <c r="A1265" s="241"/>
      <c r="B1265" s="241"/>
      <c r="C1265" s="241"/>
      <c r="D1265" s="241"/>
      <c r="E1265" s="241"/>
      <c r="F1265" s="241"/>
      <c r="G1265" s="241"/>
      <c r="H1265" s="241"/>
      <c r="I1265" s="241"/>
      <c r="J1265" s="241"/>
      <c r="K1265" s="241"/>
      <c r="L1265" s="242"/>
      <c r="M1265" s="241"/>
      <c r="N1265" s="241"/>
      <c r="O1265" s="241"/>
      <c r="P1265" s="241"/>
      <c r="Q1265" s="241"/>
      <c r="R1265" s="241"/>
      <c r="S1265" s="241"/>
      <c r="T1265" s="241"/>
      <c r="U1265" s="241"/>
      <c r="V1265" s="241"/>
      <c r="W1265" s="241"/>
      <c r="X1265" s="243"/>
      <c r="Y1265" s="243"/>
      <c r="Z1265" s="243"/>
      <c r="AA1265" s="243"/>
      <c r="AB1265" s="243"/>
      <c r="AC1265" s="243"/>
      <c r="AD1265" s="243"/>
      <c r="AE1265" s="243"/>
      <c r="AF1265" s="243"/>
      <c r="AG1265" s="243"/>
      <c r="AH1265" s="243"/>
      <c r="AI1265" s="243"/>
      <c r="AJ1265" s="243"/>
    </row>
    <row r="1266" hidden="1">
      <c r="A1266" s="241"/>
      <c r="B1266" s="241"/>
      <c r="C1266" s="241"/>
      <c r="D1266" s="241"/>
      <c r="E1266" s="241"/>
      <c r="F1266" s="241"/>
      <c r="G1266" s="241"/>
      <c r="H1266" s="241"/>
      <c r="I1266" s="241"/>
      <c r="J1266" s="241"/>
      <c r="K1266" s="241"/>
      <c r="L1266" s="242"/>
      <c r="M1266" s="241"/>
      <c r="N1266" s="241"/>
      <c r="O1266" s="241"/>
      <c r="P1266" s="241"/>
      <c r="Q1266" s="241"/>
      <c r="R1266" s="241"/>
      <c r="S1266" s="241"/>
      <c r="T1266" s="241"/>
      <c r="U1266" s="241"/>
      <c r="V1266" s="241"/>
      <c r="W1266" s="241"/>
      <c r="X1266" s="243"/>
      <c r="Y1266" s="243"/>
      <c r="Z1266" s="243"/>
      <c r="AA1266" s="243"/>
      <c r="AB1266" s="243"/>
      <c r="AC1266" s="243"/>
      <c r="AD1266" s="243"/>
      <c r="AE1266" s="243"/>
      <c r="AF1266" s="243"/>
      <c r="AG1266" s="243"/>
      <c r="AH1266" s="243"/>
      <c r="AI1266" s="243"/>
      <c r="AJ1266" s="243"/>
    </row>
    <row r="1267" hidden="1">
      <c r="A1267" s="241"/>
      <c r="B1267" s="241"/>
      <c r="C1267" s="241"/>
      <c r="D1267" s="241"/>
      <c r="E1267" s="241"/>
      <c r="F1267" s="241"/>
      <c r="G1267" s="241"/>
      <c r="H1267" s="241"/>
      <c r="I1267" s="241"/>
      <c r="J1267" s="241"/>
      <c r="K1267" s="241"/>
      <c r="L1267" s="242"/>
      <c r="M1267" s="241"/>
      <c r="N1267" s="241"/>
      <c r="O1267" s="241"/>
      <c r="P1267" s="241"/>
      <c r="Q1267" s="241"/>
      <c r="R1267" s="241"/>
      <c r="S1267" s="241"/>
      <c r="T1267" s="241"/>
      <c r="U1267" s="241"/>
      <c r="V1267" s="241"/>
      <c r="W1267" s="241"/>
      <c r="X1267" s="243"/>
      <c r="Y1267" s="243"/>
      <c r="Z1267" s="243"/>
      <c r="AA1267" s="243"/>
      <c r="AB1267" s="243"/>
      <c r="AC1267" s="243"/>
      <c r="AD1267" s="243"/>
      <c r="AE1267" s="243"/>
      <c r="AF1267" s="243"/>
      <c r="AG1267" s="243"/>
      <c r="AH1267" s="243"/>
      <c r="AI1267" s="243"/>
      <c r="AJ1267" s="243"/>
    </row>
    <row r="1268" hidden="1">
      <c r="A1268" s="241"/>
      <c r="B1268" s="241"/>
      <c r="C1268" s="241"/>
      <c r="D1268" s="241"/>
      <c r="E1268" s="241"/>
      <c r="F1268" s="241"/>
      <c r="G1268" s="241"/>
      <c r="H1268" s="241"/>
      <c r="I1268" s="241"/>
      <c r="J1268" s="241"/>
      <c r="K1268" s="241"/>
      <c r="L1268" s="242"/>
      <c r="M1268" s="241"/>
      <c r="N1268" s="241"/>
      <c r="O1268" s="241"/>
      <c r="P1268" s="241"/>
      <c r="Q1268" s="241"/>
      <c r="R1268" s="241"/>
      <c r="S1268" s="241"/>
      <c r="T1268" s="241"/>
      <c r="U1268" s="241"/>
      <c r="V1268" s="241"/>
      <c r="W1268" s="241"/>
      <c r="X1268" s="243"/>
      <c r="Y1268" s="243"/>
      <c r="Z1268" s="243"/>
      <c r="AA1268" s="243"/>
      <c r="AB1268" s="243"/>
      <c r="AC1268" s="243"/>
      <c r="AD1268" s="243"/>
      <c r="AE1268" s="243"/>
      <c r="AF1268" s="243"/>
      <c r="AG1268" s="243"/>
      <c r="AH1268" s="243"/>
      <c r="AI1268" s="243"/>
      <c r="AJ1268" s="243"/>
    </row>
    <row r="1269" hidden="1">
      <c r="A1269" s="241"/>
      <c r="B1269" s="241"/>
      <c r="C1269" s="241"/>
      <c r="D1269" s="241"/>
      <c r="E1269" s="241"/>
      <c r="F1269" s="241"/>
      <c r="G1269" s="241"/>
      <c r="H1269" s="241"/>
      <c r="I1269" s="241"/>
      <c r="J1269" s="241"/>
      <c r="K1269" s="241"/>
      <c r="L1269" s="242"/>
      <c r="M1269" s="241"/>
      <c r="N1269" s="241"/>
      <c r="O1269" s="241"/>
      <c r="P1269" s="241"/>
      <c r="Q1269" s="241"/>
      <c r="R1269" s="241"/>
      <c r="S1269" s="241"/>
      <c r="T1269" s="241"/>
      <c r="U1269" s="241"/>
      <c r="V1269" s="241"/>
      <c r="W1269" s="241"/>
      <c r="X1269" s="243"/>
      <c r="Y1269" s="243"/>
      <c r="Z1269" s="243"/>
      <c r="AA1269" s="243"/>
      <c r="AB1269" s="243"/>
      <c r="AC1269" s="243"/>
      <c r="AD1269" s="243"/>
      <c r="AE1269" s="243"/>
      <c r="AF1269" s="243"/>
      <c r="AG1269" s="243"/>
      <c r="AH1269" s="243"/>
      <c r="AI1269" s="243"/>
      <c r="AJ1269" s="243"/>
    </row>
    <row r="1270" hidden="1">
      <c r="A1270" s="241"/>
      <c r="B1270" s="241"/>
      <c r="C1270" s="241"/>
      <c r="D1270" s="241"/>
      <c r="E1270" s="241"/>
      <c r="F1270" s="241"/>
      <c r="G1270" s="241"/>
      <c r="H1270" s="241"/>
      <c r="I1270" s="241"/>
      <c r="J1270" s="241"/>
      <c r="K1270" s="241"/>
      <c r="L1270" s="242"/>
      <c r="M1270" s="241"/>
      <c r="N1270" s="241"/>
      <c r="O1270" s="241"/>
      <c r="P1270" s="241"/>
      <c r="Q1270" s="241"/>
      <c r="R1270" s="241"/>
      <c r="S1270" s="241"/>
      <c r="T1270" s="241"/>
      <c r="U1270" s="241"/>
      <c r="V1270" s="241"/>
      <c r="W1270" s="241"/>
      <c r="X1270" s="243"/>
      <c r="Y1270" s="243"/>
      <c r="Z1270" s="243"/>
      <c r="AA1270" s="243"/>
      <c r="AB1270" s="243"/>
      <c r="AC1270" s="243"/>
      <c r="AD1270" s="243"/>
      <c r="AE1270" s="243"/>
      <c r="AF1270" s="243"/>
      <c r="AG1270" s="243"/>
      <c r="AH1270" s="243"/>
      <c r="AI1270" s="243"/>
      <c r="AJ1270" s="243"/>
    </row>
    <row r="1271" hidden="1">
      <c r="A1271" s="241"/>
      <c r="B1271" s="241"/>
      <c r="C1271" s="241"/>
      <c r="D1271" s="241"/>
      <c r="E1271" s="241"/>
      <c r="F1271" s="241"/>
      <c r="G1271" s="241"/>
      <c r="H1271" s="241"/>
      <c r="I1271" s="241"/>
      <c r="J1271" s="241"/>
      <c r="K1271" s="241"/>
      <c r="L1271" s="242"/>
      <c r="M1271" s="241"/>
      <c r="N1271" s="241"/>
      <c r="O1271" s="241"/>
      <c r="P1271" s="241"/>
      <c r="Q1271" s="241"/>
      <c r="R1271" s="241"/>
      <c r="S1271" s="241"/>
      <c r="T1271" s="241"/>
      <c r="U1271" s="241"/>
      <c r="V1271" s="241"/>
      <c r="W1271" s="241"/>
      <c r="X1271" s="243"/>
      <c r="Y1271" s="243"/>
      <c r="Z1271" s="243"/>
      <c r="AA1271" s="243"/>
      <c r="AB1271" s="243"/>
      <c r="AC1271" s="243"/>
      <c r="AD1271" s="243"/>
      <c r="AE1271" s="243"/>
      <c r="AF1271" s="243"/>
      <c r="AG1271" s="243"/>
      <c r="AH1271" s="243"/>
      <c r="AI1271" s="243"/>
      <c r="AJ1271" s="243"/>
    </row>
    <row r="1272" hidden="1">
      <c r="A1272" s="241"/>
      <c r="B1272" s="241"/>
      <c r="C1272" s="241"/>
      <c r="D1272" s="241"/>
      <c r="E1272" s="241"/>
      <c r="F1272" s="241"/>
      <c r="G1272" s="241"/>
      <c r="H1272" s="241"/>
      <c r="I1272" s="241"/>
      <c r="J1272" s="241"/>
      <c r="K1272" s="241"/>
      <c r="L1272" s="242"/>
      <c r="M1272" s="241"/>
      <c r="N1272" s="241"/>
      <c r="O1272" s="241"/>
      <c r="P1272" s="241"/>
      <c r="Q1272" s="241"/>
      <c r="R1272" s="241"/>
      <c r="S1272" s="241"/>
      <c r="T1272" s="241"/>
      <c r="U1272" s="241"/>
      <c r="V1272" s="241"/>
      <c r="W1272" s="241"/>
      <c r="X1272" s="243"/>
      <c r="Y1272" s="243"/>
      <c r="Z1272" s="243"/>
      <c r="AA1272" s="243"/>
      <c r="AB1272" s="243"/>
      <c r="AC1272" s="243"/>
      <c r="AD1272" s="243"/>
      <c r="AE1272" s="243"/>
      <c r="AF1272" s="243"/>
      <c r="AG1272" s="243"/>
      <c r="AH1272" s="243"/>
      <c r="AI1272" s="243"/>
      <c r="AJ1272" s="243"/>
    </row>
    <row r="1273" hidden="1">
      <c r="A1273" s="241"/>
      <c r="B1273" s="241"/>
      <c r="C1273" s="241"/>
      <c r="D1273" s="241"/>
      <c r="E1273" s="241"/>
      <c r="F1273" s="241"/>
      <c r="G1273" s="241"/>
      <c r="H1273" s="241"/>
      <c r="I1273" s="241"/>
      <c r="J1273" s="241"/>
      <c r="K1273" s="241"/>
      <c r="L1273" s="242"/>
      <c r="M1273" s="241"/>
      <c r="N1273" s="241"/>
      <c r="O1273" s="241"/>
      <c r="P1273" s="241"/>
      <c r="Q1273" s="241"/>
      <c r="R1273" s="241"/>
      <c r="S1273" s="241"/>
      <c r="T1273" s="241"/>
      <c r="U1273" s="241"/>
      <c r="V1273" s="241"/>
      <c r="W1273" s="241"/>
      <c r="X1273" s="243"/>
      <c r="Y1273" s="243"/>
      <c r="Z1273" s="243"/>
      <c r="AA1273" s="243"/>
      <c r="AB1273" s="243"/>
      <c r="AC1273" s="243"/>
      <c r="AD1273" s="243"/>
      <c r="AE1273" s="243"/>
      <c r="AF1273" s="243"/>
      <c r="AG1273" s="243"/>
      <c r="AH1273" s="243"/>
      <c r="AI1273" s="243"/>
      <c r="AJ1273" s="243"/>
    </row>
    <row r="1274" hidden="1">
      <c r="A1274" s="241"/>
      <c r="B1274" s="241"/>
      <c r="C1274" s="241"/>
      <c r="D1274" s="241"/>
      <c r="E1274" s="241"/>
      <c r="F1274" s="241"/>
      <c r="G1274" s="241"/>
      <c r="H1274" s="241"/>
      <c r="I1274" s="241"/>
      <c r="J1274" s="241"/>
      <c r="K1274" s="241"/>
      <c r="L1274" s="242"/>
      <c r="M1274" s="241"/>
      <c r="N1274" s="241"/>
      <c r="O1274" s="241"/>
      <c r="P1274" s="241"/>
      <c r="Q1274" s="241"/>
      <c r="R1274" s="241"/>
      <c r="S1274" s="241"/>
      <c r="T1274" s="241"/>
      <c r="U1274" s="241"/>
      <c r="V1274" s="241"/>
      <c r="W1274" s="241"/>
      <c r="X1274" s="243"/>
      <c r="Y1274" s="243"/>
      <c r="Z1274" s="243"/>
      <c r="AA1274" s="243"/>
      <c r="AB1274" s="243"/>
      <c r="AC1274" s="243"/>
      <c r="AD1274" s="243"/>
      <c r="AE1274" s="243"/>
      <c r="AF1274" s="243"/>
      <c r="AG1274" s="243"/>
      <c r="AH1274" s="243"/>
      <c r="AI1274" s="243"/>
      <c r="AJ1274" s="243"/>
    </row>
    <row r="1275" hidden="1">
      <c r="A1275" s="241"/>
      <c r="B1275" s="241"/>
      <c r="C1275" s="241"/>
      <c r="D1275" s="241"/>
      <c r="E1275" s="241"/>
      <c r="F1275" s="241"/>
      <c r="G1275" s="241"/>
      <c r="H1275" s="241"/>
      <c r="I1275" s="241"/>
      <c r="J1275" s="241"/>
      <c r="K1275" s="241"/>
      <c r="L1275" s="242"/>
      <c r="M1275" s="241"/>
      <c r="N1275" s="241"/>
      <c r="O1275" s="241"/>
      <c r="P1275" s="241"/>
      <c r="Q1275" s="241"/>
      <c r="R1275" s="241"/>
      <c r="S1275" s="241"/>
      <c r="T1275" s="241"/>
      <c r="U1275" s="241"/>
      <c r="V1275" s="241"/>
      <c r="W1275" s="241"/>
      <c r="X1275" s="243"/>
      <c r="Y1275" s="243"/>
      <c r="Z1275" s="243"/>
      <c r="AA1275" s="243"/>
      <c r="AB1275" s="243"/>
      <c r="AC1275" s="243"/>
      <c r="AD1275" s="243"/>
      <c r="AE1275" s="243"/>
      <c r="AF1275" s="243"/>
      <c r="AG1275" s="243"/>
      <c r="AH1275" s="243"/>
      <c r="AI1275" s="243"/>
      <c r="AJ1275" s="243"/>
    </row>
    <row r="1276" hidden="1">
      <c r="A1276" s="241"/>
      <c r="B1276" s="241"/>
      <c r="C1276" s="241"/>
      <c r="D1276" s="241"/>
      <c r="E1276" s="241"/>
      <c r="F1276" s="241"/>
      <c r="G1276" s="241"/>
      <c r="H1276" s="241"/>
      <c r="I1276" s="241"/>
      <c r="J1276" s="241"/>
      <c r="K1276" s="241"/>
      <c r="L1276" s="242"/>
      <c r="M1276" s="241"/>
      <c r="N1276" s="241"/>
      <c r="O1276" s="241"/>
      <c r="P1276" s="241"/>
      <c r="Q1276" s="241"/>
      <c r="R1276" s="241"/>
      <c r="S1276" s="241"/>
      <c r="T1276" s="241"/>
      <c r="U1276" s="241"/>
      <c r="V1276" s="241"/>
      <c r="W1276" s="241"/>
      <c r="X1276" s="243"/>
      <c r="Y1276" s="243"/>
      <c r="Z1276" s="243"/>
      <c r="AA1276" s="243"/>
      <c r="AB1276" s="243"/>
      <c r="AC1276" s="243"/>
      <c r="AD1276" s="243"/>
      <c r="AE1276" s="243"/>
      <c r="AF1276" s="243"/>
      <c r="AG1276" s="243"/>
      <c r="AH1276" s="243"/>
      <c r="AI1276" s="243"/>
      <c r="AJ1276" s="243"/>
    </row>
    <row r="1277" hidden="1">
      <c r="A1277" s="241"/>
      <c r="B1277" s="241"/>
      <c r="C1277" s="241"/>
      <c r="D1277" s="241"/>
      <c r="E1277" s="241"/>
      <c r="F1277" s="241"/>
      <c r="G1277" s="241"/>
      <c r="H1277" s="241"/>
      <c r="I1277" s="241"/>
      <c r="J1277" s="241"/>
      <c r="K1277" s="241"/>
      <c r="L1277" s="242"/>
      <c r="M1277" s="241"/>
      <c r="N1277" s="241"/>
      <c r="O1277" s="241"/>
      <c r="P1277" s="241"/>
      <c r="Q1277" s="241"/>
      <c r="R1277" s="241"/>
      <c r="S1277" s="241"/>
      <c r="T1277" s="241"/>
      <c r="U1277" s="241"/>
      <c r="V1277" s="241"/>
      <c r="W1277" s="241"/>
      <c r="X1277" s="243"/>
      <c r="Y1277" s="243"/>
      <c r="Z1277" s="243"/>
      <c r="AA1277" s="243"/>
      <c r="AB1277" s="243"/>
      <c r="AC1277" s="243"/>
      <c r="AD1277" s="243"/>
      <c r="AE1277" s="243"/>
      <c r="AF1277" s="243"/>
      <c r="AG1277" s="243"/>
      <c r="AH1277" s="243"/>
      <c r="AI1277" s="243"/>
      <c r="AJ1277" s="243"/>
    </row>
    <row r="1278" hidden="1">
      <c r="A1278" s="241"/>
      <c r="B1278" s="241"/>
      <c r="C1278" s="241"/>
      <c r="D1278" s="241"/>
      <c r="E1278" s="241"/>
      <c r="F1278" s="241"/>
      <c r="G1278" s="241"/>
      <c r="H1278" s="241"/>
      <c r="I1278" s="241"/>
      <c r="J1278" s="241"/>
      <c r="K1278" s="241"/>
      <c r="L1278" s="242"/>
      <c r="M1278" s="241"/>
      <c r="N1278" s="241"/>
      <c r="O1278" s="241"/>
      <c r="P1278" s="241"/>
      <c r="Q1278" s="241"/>
      <c r="R1278" s="241"/>
      <c r="S1278" s="241"/>
      <c r="T1278" s="241"/>
      <c r="U1278" s="241"/>
      <c r="V1278" s="241"/>
      <c r="W1278" s="241"/>
      <c r="X1278" s="243"/>
      <c r="Y1278" s="243"/>
      <c r="Z1278" s="243"/>
      <c r="AA1278" s="243"/>
      <c r="AB1278" s="243"/>
      <c r="AC1278" s="243"/>
      <c r="AD1278" s="243"/>
      <c r="AE1278" s="243"/>
      <c r="AF1278" s="243"/>
      <c r="AG1278" s="243"/>
      <c r="AH1278" s="243"/>
      <c r="AI1278" s="243"/>
      <c r="AJ1278" s="243"/>
    </row>
    <row r="1279" hidden="1">
      <c r="A1279" s="241"/>
      <c r="B1279" s="241"/>
      <c r="C1279" s="241"/>
      <c r="D1279" s="241"/>
      <c r="E1279" s="241"/>
      <c r="F1279" s="241"/>
      <c r="G1279" s="241"/>
      <c r="H1279" s="241"/>
      <c r="I1279" s="241"/>
      <c r="J1279" s="241"/>
      <c r="K1279" s="241"/>
      <c r="L1279" s="242"/>
      <c r="M1279" s="241"/>
      <c r="N1279" s="241"/>
      <c r="O1279" s="241"/>
      <c r="P1279" s="241"/>
      <c r="Q1279" s="241"/>
      <c r="R1279" s="241"/>
      <c r="S1279" s="241"/>
      <c r="T1279" s="241"/>
      <c r="U1279" s="241"/>
      <c r="V1279" s="241"/>
      <c r="W1279" s="241"/>
      <c r="X1279" s="243"/>
      <c r="Y1279" s="243"/>
      <c r="Z1279" s="243"/>
      <c r="AA1279" s="243"/>
      <c r="AB1279" s="243"/>
      <c r="AC1279" s="243"/>
      <c r="AD1279" s="243"/>
      <c r="AE1279" s="243"/>
      <c r="AF1279" s="243"/>
      <c r="AG1279" s="243"/>
      <c r="AH1279" s="243"/>
      <c r="AI1279" s="243"/>
      <c r="AJ1279" s="243"/>
    </row>
    <row r="1280" hidden="1">
      <c r="A1280" s="241"/>
      <c r="B1280" s="241"/>
      <c r="C1280" s="241"/>
      <c r="D1280" s="241"/>
      <c r="E1280" s="241"/>
      <c r="F1280" s="241"/>
      <c r="G1280" s="241"/>
      <c r="H1280" s="241"/>
      <c r="I1280" s="241"/>
      <c r="J1280" s="241"/>
      <c r="K1280" s="241"/>
      <c r="L1280" s="242"/>
      <c r="M1280" s="241"/>
      <c r="N1280" s="241"/>
      <c r="O1280" s="241"/>
      <c r="P1280" s="241"/>
      <c r="Q1280" s="241"/>
      <c r="R1280" s="241"/>
      <c r="S1280" s="241"/>
      <c r="T1280" s="241"/>
      <c r="U1280" s="241"/>
      <c r="V1280" s="241"/>
      <c r="W1280" s="241"/>
      <c r="X1280" s="243"/>
      <c r="Y1280" s="243"/>
      <c r="Z1280" s="243"/>
      <c r="AA1280" s="243"/>
      <c r="AB1280" s="243"/>
      <c r="AC1280" s="243"/>
      <c r="AD1280" s="243"/>
      <c r="AE1280" s="243"/>
      <c r="AF1280" s="243"/>
      <c r="AG1280" s="243"/>
      <c r="AH1280" s="243"/>
      <c r="AI1280" s="243"/>
      <c r="AJ1280" s="243"/>
    </row>
    <row r="1281" hidden="1">
      <c r="A1281" s="241"/>
      <c r="B1281" s="241"/>
      <c r="C1281" s="241"/>
      <c r="D1281" s="241"/>
      <c r="E1281" s="241"/>
      <c r="F1281" s="241"/>
      <c r="G1281" s="241"/>
      <c r="H1281" s="241"/>
      <c r="I1281" s="241"/>
      <c r="J1281" s="241"/>
      <c r="K1281" s="241"/>
      <c r="L1281" s="242"/>
      <c r="M1281" s="241"/>
      <c r="N1281" s="241"/>
      <c r="O1281" s="241"/>
      <c r="P1281" s="241"/>
      <c r="Q1281" s="241"/>
      <c r="R1281" s="241"/>
      <c r="S1281" s="241"/>
      <c r="T1281" s="241"/>
      <c r="U1281" s="241"/>
      <c r="V1281" s="241"/>
      <c r="W1281" s="241"/>
      <c r="X1281" s="243"/>
      <c r="Y1281" s="243"/>
      <c r="Z1281" s="243"/>
      <c r="AA1281" s="243"/>
      <c r="AB1281" s="243"/>
      <c r="AC1281" s="243"/>
      <c r="AD1281" s="243"/>
      <c r="AE1281" s="243"/>
      <c r="AF1281" s="243"/>
      <c r="AG1281" s="243"/>
      <c r="AH1281" s="243"/>
      <c r="AI1281" s="243"/>
      <c r="AJ1281" s="243"/>
    </row>
    <row r="1282" hidden="1">
      <c r="A1282" s="241"/>
      <c r="B1282" s="241"/>
      <c r="C1282" s="241"/>
      <c r="D1282" s="241"/>
      <c r="E1282" s="241"/>
      <c r="F1282" s="241"/>
      <c r="G1282" s="241"/>
      <c r="H1282" s="241"/>
      <c r="I1282" s="241"/>
      <c r="J1282" s="241"/>
      <c r="K1282" s="241"/>
      <c r="L1282" s="242"/>
      <c r="M1282" s="241"/>
      <c r="N1282" s="241"/>
      <c r="O1282" s="241"/>
      <c r="P1282" s="241"/>
      <c r="Q1282" s="241"/>
      <c r="R1282" s="241"/>
      <c r="S1282" s="241"/>
      <c r="T1282" s="241"/>
      <c r="U1282" s="241"/>
      <c r="V1282" s="241"/>
      <c r="W1282" s="241"/>
      <c r="X1282" s="243"/>
      <c r="Y1282" s="243"/>
      <c r="Z1282" s="243"/>
      <c r="AA1282" s="243"/>
      <c r="AB1282" s="243"/>
      <c r="AC1282" s="243"/>
      <c r="AD1282" s="243"/>
      <c r="AE1282" s="243"/>
      <c r="AF1282" s="243"/>
      <c r="AG1282" s="243"/>
      <c r="AH1282" s="243"/>
      <c r="AI1282" s="243"/>
      <c r="AJ1282" s="243"/>
    </row>
    <row r="1283" hidden="1">
      <c r="A1283" s="241"/>
      <c r="B1283" s="241"/>
      <c r="C1283" s="241"/>
      <c r="D1283" s="241"/>
      <c r="E1283" s="241"/>
      <c r="F1283" s="241"/>
      <c r="G1283" s="241"/>
      <c r="H1283" s="241"/>
      <c r="I1283" s="241"/>
      <c r="J1283" s="241"/>
      <c r="K1283" s="241"/>
      <c r="L1283" s="242"/>
      <c r="M1283" s="241"/>
      <c r="N1283" s="241"/>
      <c r="O1283" s="241"/>
      <c r="P1283" s="241"/>
      <c r="Q1283" s="241"/>
      <c r="R1283" s="241"/>
      <c r="S1283" s="241"/>
      <c r="T1283" s="241"/>
      <c r="U1283" s="241"/>
      <c r="V1283" s="241"/>
      <c r="W1283" s="241"/>
      <c r="X1283" s="243"/>
      <c r="Y1283" s="243"/>
      <c r="Z1283" s="243"/>
      <c r="AA1283" s="243"/>
      <c r="AB1283" s="243"/>
      <c r="AC1283" s="243"/>
      <c r="AD1283" s="243"/>
      <c r="AE1283" s="243"/>
      <c r="AF1283" s="243"/>
      <c r="AG1283" s="243"/>
      <c r="AH1283" s="243"/>
      <c r="AI1283" s="243"/>
      <c r="AJ1283" s="243"/>
    </row>
    <row r="1284" hidden="1">
      <c r="A1284" s="241"/>
      <c r="B1284" s="241"/>
      <c r="C1284" s="241"/>
      <c r="D1284" s="241"/>
      <c r="E1284" s="241"/>
      <c r="F1284" s="241"/>
      <c r="G1284" s="241"/>
      <c r="H1284" s="241"/>
      <c r="I1284" s="241"/>
      <c r="J1284" s="241"/>
      <c r="K1284" s="241"/>
      <c r="L1284" s="242"/>
      <c r="M1284" s="241"/>
      <c r="N1284" s="241"/>
      <c r="O1284" s="241"/>
      <c r="P1284" s="241"/>
      <c r="Q1284" s="241"/>
      <c r="R1284" s="241"/>
      <c r="S1284" s="241"/>
      <c r="T1284" s="241"/>
      <c r="U1284" s="241"/>
      <c r="V1284" s="241"/>
      <c r="W1284" s="241"/>
      <c r="X1284" s="243"/>
      <c r="Y1284" s="243"/>
      <c r="Z1284" s="243"/>
      <c r="AA1284" s="243"/>
      <c r="AB1284" s="243"/>
      <c r="AC1284" s="243"/>
      <c r="AD1284" s="243"/>
      <c r="AE1284" s="243"/>
      <c r="AF1284" s="243"/>
      <c r="AG1284" s="243"/>
      <c r="AH1284" s="243"/>
      <c r="AI1284" s="243"/>
      <c r="AJ1284" s="243"/>
    </row>
    <row r="1285" hidden="1">
      <c r="A1285" s="241"/>
      <c r="B1285" s="241"/>
      <c r="C1285" s="241"/>
      <c r="D1285" s="241"/>
      <c r="E1285" s="241"/>
      <c r="F1285" s="241"/>
      <c r="G1285" s="241"/>
      <c r="H1285" s="241"/>
      <c r="I1285" s="241"/>
      <c r="J1285" s="241"/>
      <c r="K1285" s="241"/>
      <c r="L1285" s="242"/>
      <c r="M1285" s="241"/>
      <c r="N1285" s="241"/>
      <c r="O1285" s="241"/>
      <c r="P1285" s="241"/>
      <c r="Q1285" s="241"/>
      <c r="R1285" s="241"/>
      <c r="S1285" s="241"/>
      <c r="T1285" s="241"/>
      <c r="U1285" s="241"/>
      <c r="V1285" s="241"/>
      <c r="W1285" s="241"/>
      <c r="X1285" s="243"/>
      <c r="Y1285" s="243"/>
      <c r="Z1285" s="243"/>
      <c r="AA1285" s="243"/>
      <c r="AB1285" s="243"/>
      <c r="AC1285" s="243"/>
      <c r="AD1285" s="243"/>
      <c r="AE1285" s="243"/>
      <c r="AF1285" s="243"/>
      <c r="AG1285" s="243"/>
      <c r="AH1285" s="243"/>
      <c r="AI1285" s="243"/>
      <c r="AJ1285" s="243"/>
    </row>
    <row r="1286" hidden="1">
      <c r="A1286" s="241"/>
      <c r="B1286" s="241"/>
      <c r="C1286" s="241"/>
      <c r="D1286" s="241"/>
      <c r="E1286" s="241"/>
      <c r="F1286" s="241"/>
      <c r="G1286" s="241"/>
      <c r="H1286" s="241"/>
      <c r="I1286" s="241"/>
      <c r="J1286" s="241"/>
      <c r="K1286" s="241"/>
      <c r="L1286" s="242"/>
      <c r="M1286" s="241"/>
      <c r="N1286" s="241"/>
      <c r="O1286" s="241"/>
      <c r="P1286" s="241"/>
      <c r="Q1286" s="241"/>
      <c r="R1286" s="241"/>
      <c r="S1286" s="241"/>
      <c r="T1286" s="241"/>
      <c r="U1286" s="241"/>
      <c r="V1286" s="241"/>
      <c r="W1286" s="241"/>
      <c r="X1286" s="243"/>
      <c r="Y1286" s="243"/>
      <c r="Z1286" s="243"/>
      <c r="AA1286" s="243"/>
      <c r="AB1286" s="243"/>
      <c r="AC1286" s="243"/>
      <c r="AD1286" s="243"/>
      <c r="AE1286" s="243"/>
      <c r="AF1286" s="243"/>
      <c r="AG1286" s="243"/>
      <c r="AH1286" s="243"/>
      <c r="AI1286" s="243"/>
      <c r="AJ1286" s="243"/>
    </row>
    <row r="1287" hidden="1">
      <c r="A1287" s="241"/>
      <c r="B1287" s="241"/>
      <c r="C1287" s="241"/>
      <c r="D1287" s="241"/>
      <c r="E1287" s="241"/>
      <c r="F1287" s="241"/>
      <c r="G1287" s="241"/>
      <c r="H1287" s="241"/>
      <c r="I1287" s="241"/>
      <c r="J1287" s="241"/>
      <c r="K1287" s="241"/>
      <c r="L1287" s="242"/>
      <c r="M1287" s="241"/>
      <c r="N1287" s="241"/>
      <c r="O1287" s="241"/>
      <c r="P1287" s="241"/>
      <c r="Q1287" s="241"/>
      <c r="R1287" s="241"/>
      <c r="S1287" s="241"/>
      <c r="T1287" s="241"/>
      <c r="U1287" s="241"/>
      <c r="V1287" s="241"/>
      <c r="W1287" s="241"/>
      <c r="X1287" s="243"/>
      <c r="Y1287" s="243"/>
      <c r="Z1287" s="243"/>
      <c r="AA1287" s="243"/>
      <c r="AB1287" s="243"/>
      <c r="AC1287" s="243"/>
      <c r="AD1287" s="243"/>
      <c r="AE1287" s="243"/>
      <c r="AF1287" s="243"/>
      <c r="AG1287" s="243"/>
      <c r="AH1287" s="243"/>
      <c r="AI1287" s="243"/>
      <c r="AJ1287" s="243"/>
    </row>
    <row r="1288" hidden="1">
      <c r="A1288" s="241"/>
      <c r="B1288" s="241"/>
      <c r="C1288" s="241"/>
      <c r="D1288" s="241"/>
      <c r="E1288" s="241"/>
      <c r="F1288" s="241"/>
      <c r="G1288" s="241"/>
      <c r="H1288" s="241"/>
      <c r="I1288" s="241"/>
      <c r="J1288" s="241"/>
      <c r="K1288" s="241"/>
      <c r="L1288" s="242"/>
      <c r="M1288" s="241"/>
      <c r="N1288" s="241"/>
      <c r="O1288" s="241"/>
      <c r="P1288" s="241"/>
      <c r="Q1288" s="241"/>
      <c r="R1288" s="241"/>
      <c r="S1288" s="241"/>
      <c r="T1288" s="241"/>
      <c r="U1288" s="241"/>
      <c r="V1288" s="241"/>
      <c r="W1288" s="241"/>
      <c r="X1288" s="243"/>
      <c r="Y1288" s="243"/>
      <c r="Z1288" s="243"/>
      <c r="AA1288" s="243"/>
      <c r="AB1288" s="243"/>
      <c r="AC1288" s="243"/>
      <c r="AD1288" s="243"/>
      <c r="AE1288" s="243"/>
      <c r="AF1288" s="243"/>
      <c r="AG1288" s="243"/>
      <c r="AH1288" s="243"/>
      <c r="AI1288" s="243"/>
      <c r="AJ1288" s="243"/>
    </row>
    <row r="1289" hidden="1">
      <c r="A1289" s="241"/>
      <c r="B1289" s="241"/>
      <c r="C1289" s="241"/>
      <c r="D1289" s="241"/>
      <c r="E1289" s="241"/>
      <c r="F1289" s="241"/>
      <c r="G1289" s="241"/>
      <c r="H1289" s="241"/>
      <c r="I1289" s="241"/>
      <c r="J1289" s="241"/>
      <c r="K1289" s="241"/>
      <c r="L1289" s="242"/>
      <c r="M1289" s="241"/>
      <c r="N1289" s="241"/>
      <c r="O1289" s="241"/>
      <c r="P1289" s="241"/>
      <c r="Q1289" s="241"/>
      <c r="R1289" s="241"/>
      <c r="S1289" s="241"/>
      <c r="T1289" s="241"/>
      <c r="U1289" s="241"/>
      <c r="V1289" s="241"/>
      <c r="W1289" s="241"/>
      <c r="X1289" s="243"/>
      <c r="Y1289" s="243"/>
      <c r="Z1289" s="243"/>
      <c r="AA1289" s="243"/>
      <c r="AB1289" s="243"/>
      <c r="AC1289" s="243"/>
      <c r="AD1289" s="243"/>
      <c r="AE1289" s="243"/>
      <c r="AF1289" s="243"/>
      <c r="AG1289" s="243"/>
      <c r="AH1289" s="243"/>
      <c r="AI1289" s="243"/>
      <c r="AJ1289" s="243"/>
    </row>
    <row r="1290" hidden="1">
      <c r="A1290" s="241"/>
      <c r="B1290" s="241"/>
      <c r="C1290" s="241"/>
      <c r="D1290" s="241"/>
      <c r="E1290" s="241"/>
      <c r="F1290" s="241"/>
      <c r="G1290" s="241"/>
      <c r="H1290" s="241"/>
      <c r="I1290" s="241"/>
      <c r="J1290" s="241"/>
      <c r="K1290" s="241"/>
      <c r="L1290" s="242"/>
      <c r="M1290" s="241"/>
      <c r="N1290" s="241"/>
      <c r="O1290" s="241"/>
      <c r="P1290" s="241"/>
      <c r="Q1290" s="241"/>
      <c r="R1290" s="241"/>
      <c r="S1290" s="241"/>
      <c r="T1290" s="241"/>
      <c r="U1290" s="241"/>
      <c r="V1290" s="241"/>
      <c r="W1290" s="241"/>
      <c r="X1290" s="243"/>
      <c r="Y1290" s="243"/>
      <c r="Z1290" s="243"/>
      <c r="AA1290" s="243"/>
      <c r="AB1290" s="243"/>
      <c r="AC1290" s="243"/>
      <c r="AD1290" s="243"/>
      <c r="AE1290" s="243"/>
      <c r="AF1290" s="243"/>
      <c r="AG1290" s="243"/>
      <c r="AH1290" s="243"/>
      <c r="AI1290" s="243"/>
      <c r="AJ1290" s="243"/>
    </row>
    <row r="1291" hidden="1">
      <c r="A1291" s="241"/>
      <c r="B1291" s="241"/>
      <c r="C1291" s="241"/>
      <c r="D1291" s="241"/>
      <c r="E1291" s="241"/>
      <c r="F1291" s="241"/>
      <c r="G1291" s="241"/>
      <c r="H1291" s="241"/>
      <c r="I1291" s="241"/>
      <c r="J1291" s="241"/>
      <c r="K1291" s="241"/>
      <c r="L1291" s="242"/>
      <c r="M1291" s="241"/>
      <c r="N1291" s="241"/>
      <c r="O1291" s="241"/>
      <c r="P1291" s="241"/>
      <c r="Q1291" s="241"/>
      <c r="R1291" s="241"/>
      <c r="S1291" s="241"/>
      <c r="T1291" s="241"/>
      <c r="U1291" s="241"/>
      <c r="V1291" s="241"/>
      <c r="W1291" s="241"/>
      <c r="X1291" s="243"/>
      <c r="Y1291" s="243"/>
      <c r="Z1291" s="243"/>
      <c r="AA1291" s="243"/>
      <c r="AB1291" s="243"/>
      <c r="AC1291" s="243"/>
      <c r="AD1291" s="243"/>
      <c r="AE1291" s="243"/>
      <c r="AF1291" s="243"/>
      <c r="AG1291" s="243"/>
      <c r="AH1291" s="243"/>
      <c r="AI1291" s="243"/>
      <c r="AJ1291" s="243"/>
    </row>
    <row r="1292" hidden="1">
      <c r="A1292" s="241"/>
      <c r="B1292" s="241"/>
      <c r="C1292" s="241"/>
      <c r="D1292" s="241"/>
      <c r="E1292" s="241"/>
      <c r="F1292" s="241"/>
      <c r="G1292" s="241"/>
      <c r="H1292" s="241"/>
      <c r="I1292" s="241"/>
      <c r="J1292" s="241"/>
      <c r="K1292" s="241"/>
      <c r="L1292" s="242"/>
      <c r="M1292" s="241"/>
      <c r="N1292" s="241"/>
      <c r="O1292" s="241"/>
      <c r="P1292" s="241"/>
      <c r="Q1292" s="241"/>
      <c r="R1292" s="241"/>
      <c r="S1292" s="241"/>
      <c r="T1292" s="241"/>
      <c r="U1292" s="241"/>
      <c r="V1292" s="241"/>
      <c r="W1292" s="241"/>
      <c r="X1292" s="243"/>
      <c r="Y1292" s="243"/>
      <c r="Z1292" s="243"/>
      <c r="AA1292" s="243"/>
      <c r="AB1292" s="243"/>
      <c r="AC1292" s="243"/>
      <c r="AD1292" s="243"/>
      <c r="AE1292" s="243"/>
      <c r="AF1292" s="243"/>
      <c r="AG1292" s="243"/>
      <c r="AH1292" s="243"/>
      <c r="AI1292" s="243"/>
      <c r="AJ1292" s="243"/>
    </row>
    <row r="1293" hidden="1">
      <c r="A1293" s="241"/>
      <c r="B1293" s="241"/>
      <c r="C1293" s="241"/>
      <c r="D1293" s="241"/>
      <c r="E1293" s="241"/>
      <c r="F1293" s="241"/>
      <c r="G1293" s="241"/>
      <c r="H1293" s="241"/>
      <c r="I1293" s="241"/>
      <c r="J1293" s="241"/>
      <c r="K1293" s="241"/>
      <c r="L1293" s="242"/>
      <c r="M1293" s="241"/>
      <c r="N1293" s="241"/>
      <c r="O1293" s="241"/>
      <c r="P1293" s="241"/>
      <c r="Q1293" s="241"/>
      <c r="R1293" s="241"/>
      <c r="S1293" s="241"/>
      <c r="T1293" s="241"/>
      <c r="U1293" s="241"/>
      <c r="V1293" s="241"/>
      <c r="W1293" s="241"/>
      <c r="X1293" s="243"/>
      <c r="Y1293" s="243"/>
      <c r="Z1293" s="243"/>
      <c r="AA1293" s="243"/>
      <c r="AB1293" s="243"/>
      <c r="AC1293" s="243"/>
      <c r="AD1293" s="243"/>
      <c r="AE1293" s="243"/>
      <c r="AF1293" s="243"/>
      <c r="AG1293" s="243"/>
      <c r="AH1293" s="243"/>
      <c r="AI1293" s="243"/>
      <c r="AJ1293" s="243"/>
    </row>
    <row r="1294" hidden="1">
      <c r="A1294" s="241"/>
      <c r="B1294" s="241"/>
      <c r="C1294" s="241"/>
      <c r="D1294" s="241"/>
      <c r="E1294" s="241"/>
      <c r="F1294" s="241"/>
      <c r="G1294" s="241"/>
      <c r="H1294" s="241"/>
      <c r="I1294" s="241"/>
      <c r="J1294" s="241"/>
      <c r="K1294" s="241"/>
      <c r="L1294" s="242"/>
      <c r="M1294" s="241"/>
      <c r="N1294" s="241"/>
      <c r="O1294" s="241"/>
      <c r="P1294" s="241"/>
      <c r="Q1294" s="241"/>
      <c r="R1294" s="241"/>
      <c r="S1294" s="241"/>
      <c r="T1294" s="241"/>
      <c r="U1294" s="241"/>
      <c r="V1294" s="241"/>
      <c r="W1294" s="241"/>
      <c r="X1294" s="243"/>
      <c r="Y1294" s="243"/>
      <c r="Z1294" s="243"/>
      <c r="AA1294" s="243"/>
      <c r="AB1294" s="243"/>
      <c r="AC1294" s="243"/>
      <c r="AD1294" s="243"/>
      <c r="AE1294" s="243"/>
      <c r="AF1294" s="243"/>
      <c r="AG1294" s="243"/>
      <c r="AH1294" s="243"/>
      <c r="AI1294" s="243"/>
      <c r="AJ1294" s="243"/>
    </row>
    <row r="1295" hidden="1">
      <c r="A1295" s="241"/>
      <c r="B1295" s="241"/>
      <c r="C1295" s="241"/>
      <c r="D1295" s="241"/>
      <c r="E1295" s="241"/>
      <c r="F1295" s="241"/>
      <c r="G1295" s="241"/>
      <c r="H1295" s="241"/>
      <c r="I1295" s="241"/>
      <c r="J1295" s="241"/>
      <c r="K1295" s="241"/>
      <c r="L1295" s="242"/>
      <c r="M1295" s="241"/>
      <c r="N1295" s="241"/>
      <c r="O1295" s="241"/>
      <c r="P1295" s="241"/>
      <c r="Q1295" s="241"/>
      <c r="R1295" s="241"/>
      <c r="S1295" s="241"/>
      <c r="T1295" s="241"/>
      <c r="U1295" s="241"/>
      <c r="V1295" s="241"/>
      <c r="W1295" s="241"/>
      <c r="X1295" s="243"/>
      <c r="Y1295" s="243"/>
      <c r="Z1295" s="243"/>
      <c r="AA1295" s="243"/>
      <c r="AB1295" s="243"/>
      <c r="AC1295" s="243"/>
      <c r="AD1295" s="243"/>
      <c r="AE1295" s="243"/>
      <c r="AF1295" s="243"/>
      <c r="AG1295" s="243"/>
      <c r="AH1295" s="243"/>
      <c r="AI1295" s="243"/>
      <c r="AJ1295" s="243"/>
    </row>
    <row r="1296" hidden="1">
      <c r="A1296" s="241"/>
      <c r="B1296" s="241"/>
      <c r="C1296" s="241"/>
      <c r="D1296" s="241"/>
      <c r="E1296" s="241"/>
      <c r="F1296" s="241"/>
      <c r="G1296" s="241"/>
      <c r="H1296" s="241"/>
      <c r="I1296" s="241"/>
      <c r="J1296" s="241"/>
      <c r="K1296" s="241"/>
      <c r="L1296" s="242"/>
      <c r="M1296" s="241"/>
      <c r="N1296" s="241"/>
      <c r="O1296" s="241"/>
      <c r="P1296" s="241"/>
      <c r="Q1296" s="241"/>
      <c r="R1296" s="241"/>
      <c r="S1296" s="241"/>
      <c r="T1296" s="241"/>
      <c r="U1296" s="241"/>
      <c r="V1296" s="241"/>
      <c r="W1296" s="241"/>
      <c r="X1296" s="243"/>
      <c r="Y1296" s="243"/>
      <c r="Z1296" s="243"/>
      <c r="AA1296" s="243"/>
      <c r="AB1296" s="243"/>
      <c r="AC1296" s="243"/>
      <c r="AD1296" s="243"/>
      <c r="AE1296" s="243"/>
      <c r="AF1296" s="243"/>
      <c r="AG1296" s="243"/>
      <c r="AH1296" s="243"/>
      <c r="AI1296" s="243"/>
      <c r="AJ1296" s="243"/>
    </row>
    <row r="1297" hidden="1">
      <c r="A1297" s="241"/>
      <c r="B1297" s="241"/>
      <c r="C1297" s="241"/>
      <c r="D1297" s="241"/>
      <c r="E1297" s="241"/>
      <c r="F1297" s="241"/>
      <c r="G1297" s="241"/>
      <c r="H1297" s="241"/>
      <c r="I1297" s="241"/>
      <c r="J1297" s="241"/>
      <c r="K1297" s="241"/>
      <c r="L1297" s="242"/>
      <c r="M1297" s="241"/>
      <c r="N1297" s="241"/>
      <c r="O1297" s="241"/>
      <c r="P1297" s="241"/>
      <c r="Q1297" s="241"/>
      <c r="R1297" s="241"/>
      <c r="S1297" s="241"/>
      <c r="T1297" s="241"/>
      <c r="U1297" s="241"/>
      <c r="V1297" s="241"/>
      <c r="W1297" s="241"/>
      <c r="X1297" s="243"/>
      <c r="Y1297" s="243"/>
      <c r="Z1297" s="243"/>
      <c r="AA1297" s="243"/>
      <c r="AB1297" s="243"/>
      <c r="AC1297" s="243"/>
      <c r="AD1297" s="243"/>
      <c r="AE1297" s="243"/>
      <c r="AF1297" s="243"/>
      <c r="AG1297" s="243"/>
      <c r="AH1297" s="243"/>
      <c r="AI1297" s="243"/>
      <c r="AJ1297" s="243"/>
    </row>
    <row r="1298" hidden="1">
      <c r="A1298" s="241"/>
      <c r="B1298" s="241"/>
      <c r="C1298" s="241"/>
      <c r="D1298" s="241"/>
      <c r="E1298" s="241"/>
      <c r="F1298" s="241"/>
      <c r="G1298" s="241"/>
      <c r="H1298" s="241"/>
      <c r="I1298" s="241"/>
      <c r="J1298" s="241"/>
      <c r="K1298" s="241"/>
      <c r="L1298" s="242"/>
      <c r="M1298" s="241"/>
      <c r="N1298" s="241"/>
      <c r="O1298" s="241"/>
      <c r="P1298" s="241"/>
      <c r="Q1298" s="241"/>
      <c r="R1298" s="241"/>
      <c r="S1298" s="241"/>
      <c r="T1298" s="241"/>
      <c r="U1298" s="241"/>
      <c r="V1298" s="241"/>
      <c r="W1298" s="241"/>
      <c r="X1298" s="243"/>
      <c r="Y1298" s="243"/>
      <c r="Z1298" s="243"/>
      <c r="AA1298" s="243"/>
      <c r="AB1298" s="243"/>
      <c r="AC1298" s="243"/>
      <c r="AD1298" s="243"/>
      <c r="AE1298" s="243"/>
      <c r="AF1298" s="243"/>
      <c r="AG1298" s="243"/>
      <c r="AH1298" s="243"/>
      <c r="AI1298" s="243"/>
      <c r="AJ1298" s="243"/>
    </row>
    <row r="1299" hidden="1">
      <c r="A1299" s="241"/>
      <c r="B1299" s="241"/>
      <c r="C1299" s="241"/>
      <c r="D1299" s="241"/>
      <c r="E1299" s="241"/>
      <c r="F1299" s="241"/>
      <c r="G1299" s="241"/>
      <c r="H1299" s="241"/>
      <c r="I1299" s="241"/>
      <c r="J1299" s="241"/>
      <c r="K1299" s="241"/>
      <c r="L1299" s="242"/>
      <c r="M1299" s="241"/>
      <c r="N1299" s="241"/>
      <c r="O1299" s="241"/>
      <c r="P1299" s="241"/>
      <c r="Q1299" s="241"/>
      <c r="R1299" s="241"/>
      <c r="S1299" s="241"/>
      <c r="T1299" s="241"/>
      <c r="U1299" s="241"/>
      <c r="V1299" s="241"/>
      <c r="W1299" s="241"/>
      <c r="X1299" s="243"/>
      <c r="Y1299" s="243"/>
      <c r="Z1299" s="243"/>
      <c r="AA1299" s="243"/>
      <c r="AB1299" s="243"/>
      <c r="AC1299" s="243"/>
      <c r="AD1299" s="243"/>
      <c r="AE1299" s="243"/>
      <c r="AF1299" s="243"/>
      <c r="AG1299" s="243"/>
      <c r="AH1299" s="243"/>
      <c r="AI1299" s="243"/>
      <c r="AJ1299" s="243"/>
    </row>
    <row r="1300" hidden="1">
      <c r="A1300" s="241"/>
      <c r="B1300" s="241"/>
      <c r="C1300" s="241"/>
      <c r="D1300" s="241"/>
      <c r="E1300" s="241"/>
      <c r="F1300" s="241"/>
      <c r="G1300" s="241"/>
      <c r="H1300" s="241"/>
      <c r="I1300" s="241"/>
      <c r="J1300" s="241"/>
      <c r="K1300" s="241"/>
      <c r="L1300" s="242"/>
      <c r="M1300" s="241"/>
      <c r="N1300" s="241"/>
      <c r="O1300" s="241"/>
      <c r="P1300" s="241"/>
      <c r="Q1300" s="241"/>
      <c r="R1300" s="241"/>
      <c r="S1300" s="241"/>
      <c r="T1300" s="241"/>
      <c r="U1300" s="241"/>
      <c r="V1300" s="241"/>
      <c r="W1300" s="241"/>
      <c r="X1300" s="243"/>
      <c r="Y1300" s="243"/>
      <c r="Z1300" s="243"/>
      <c r="AA1300" s="243"/>
      <c r="AB1300" s="243"/>
      <c r="AC1300" s="243"/>
      <c r="AD1300" s="243"/>
      <c r="AE1300" s="243"/>
      <c r="AF1300" s="243"/>
      <c r="AG1300" s="243"/>
      <c r="AH1300" s="243"/>
      <c r="AI1300" s="243"/>
      <c r="AJ1300" s="243"/>
    </row>
    <row r="1301" hidden="1">
      <c r="A1301" s="241"/>
      <c r="B1301" s="241"/>
      <c r="C1301" s="241"/>
      <c r="D1301" s="241"/>
      <c r="E1301" s="241"/>
      <c r="F1301" s="241"/>
      <c r="G1301" s="241"/>
      <c r="H1301" s="241"/>
      <c r="I1301" s="241"/>
      <c r="J1301" s="241"/>
      <c r="K1301" s="241"/>
      <c r="L1301" s="242"/>
      <c r="M1301" s="241"/>
      <c r="N1301" s="241"/>
      <c r="O1301" s="241"/>
      <c r="P1301" s="241"/>
      <c r="Q1301" s="241"/>
      <c r="R1301" s="241"/>
      <c r="S1301" s="241"/>
      <c r="T1301" s="241"/>
      <c r="U1301" s="241"/>
      <c r="V1301" s="241"/>
      <c r="W1301" s="241"/>
      <c r="X1301" s="243"/>
      <c r="Y1301" s="243"/>
      <c r="Z1301" s="243"/>
      <c r="AA1301" s="243"/>
      <c r="AB1301" s="243"/>
      <c r="AC1301" s="243"/>
      <c r="AD1301" s="243"/>
      <c r="AE1301" s="243"/>
      <c r="AF1301" s="243"/>
      <c r="AG1301" s="243"/>
      <c r="AH1301" s="243"/>
      <c r="AI1301" s="243"/>
      <c r="AJ1301" s="243"/>
    </row>
    <row r="1302" hidden="1">
      <c r="A1302" s="241"/>
      <c r="B1302" s="241"/>
      <c r="C1302" s="241"/>
      <c r="D1302" s="241"/>
      <c r="E1302" s="241"/>
      <c r="F1302" s="241"/>
      <c r="G1302" s="241"/>
      <c r="H1302" s="241"/>
      <c r="I1302" s="241"/>
      <c r="J1302" s="241"/>
      <c r="K1302" s="241"/>
      <c r="L1302" s="242"/>
      <c r="M1302" s="241"/>
      <c r="N1302" s="241"/>
      <c r="O1302" s="241"/>
      <c r="P1302" s="241"/>
      <c r="Q1302" s="241"/>
      <c r="R1302" s="241"/>
      <c r="S1302" s="241"/>
      <c r="T1302" s="241"/>
      <c r="U1302" s="241"/>
      <c r="V1302" s="241"/>
      <c r="W1302" s="241"/>
      <c r="X1302" s="243"/>
      <c r="Y1302" s="243"/>
      <c r="Z1302" s="243"/>
      <c r="AA1302" s="243"/>
      <c r="AB1302" s="243"/>
      <c r="AC1302" s="243"/>
      <c r="AD1302" s="243"/>
      <c r="AE1302" s="243"/>
      <c r="AF1302" s="243"/>
      <c r="AG1302" s="243"/>
      <c r="AH1302" s="243"/>
      <c r="AI1302" s="243"/>
      <c r="AJ1302" s="243"/>
    </row>
    <row r="1303" hidden="1">
      <c r="A1303" s="241"/>
      <c r="B1303" s="241"/>
      <c r="C1303" s="241"/>
      <c r="D1303" s="241"/>
      <c r="E1303" s="241"/>
      <c r="F1303" s="241"/>
      <c r="G1303" s="241"/>
      <c r="H1303" s="241"/>
      <c r="I1303" s="241"/>
      <c r="J1303" s="241"/>
      <c r="K1303" s="241"/>
      <c r="L1303" s="242"/>
      <c r="M1303" s="241"/>
      <c r="N1303" s="241"/>
      <c r="O1303" s="241"/>
      <c r="P1303" s="241"/>
      <c r="Q1303" s="241"/>
      <c r="R1303" s="241"/>
      <c r="S1303" s="241"/>
      <c r="T1303" s="241"/>
      <c r="U1303" s="241"/>
      <c r="V1303" s="241"/>
      <c r="W1303" s="241"/>
      <c r="X1303" s="243"/>
      <c r="Y1303" s="243"/>
      <c r="Z1303" s="243"/>
      <c r="AA1303" s="243"/>
      <c r="AB1303" s="243"/>
      <c r="AC1303" s="243"/>
      <c r="AD1303" s="243"/>
      <c r="AE1303" s="243"/>
      <c r="AF1303" s="243"/>
      <c r="AG1303" s="243"/>
      <c r="AH1303" s="243"/>
      <c r="AI1303" s="243"/>
      <c r="AJ1303" s="243"/>
    </row>
    <row r="1304" hidden="1">
      <c r="A1304" s="241"/>
      <c r="B1304" s="241"/>
      <c r="C1304" s="241"/>
      <c r="D1304" s="241"/>
      <c r="E1304" s="241"/>
      <c r="F1304" s="241"/>
      <c r="G1304" s="241"/>
      <c r="H1304" s="241"/>
      <c r="I1304" s="241"/>
      <c r="J1304" s="241"/>
      <c r="K1304" s="241"/>
      <c r="L1304" s="242"/>
      <c r="M1304" s="241"/>
      <c r="N1304" s="241"/>
      <c r="O1304" s="241"/>
      <c r="P1304" s="241"/>
      <c r="Q1304" s="241"/>
      <c r="R1304" s="241"/>
      <c r="S1304" s="241"/>
      <c r="T1304" s="241"/>
      <c r="U1304" s="241"/>
      <c r="V1304" s="241"/>
      <c r="W1304" s="241"/>
      <c r="X1304" s="243"/>
      <c r="Y1304" s="243"/>
      <c r="Z1304" s="243"/>
      <c r="AA1304" s="243"/>
      <c r="AB1304" s="243"/>
      <c r="AC1304" s="243"/>
      <c r="AD1304" s="243"/>
      <c r="AE1304" s="243"/>
      <c r="AF1304" s="243"/>
      <c r="AG1304" s="243"/>
      <c r="AH1304" s="243"/>
      <c r="AI1304" s="243"/>
      <c r="AJ1304" s="243"/>
    </row>
    <row r="1305" hidden="1">
      <c r="A1305" s="241"/>
      <c r="B1305" s="241"/>
      <c r="C1305" s="241"/>
      <c r="D1305" s="241"/>
      <c r="E1305" s="241"/>
      <c r="F1305" s="241"/>
      <c r="G1305" s="241"/>
      <c r="H1305" s="241"/>
      <c r="I1305" s="241"/>
      <c r="J1305" s="241"/>
      <c r="K1305" s="241"/>
      <c r="L1305" s="242"/>
      <c r="M1305" s="241"/>
      <c r="N1305" s="241"/>
      <c r="O1305" s="241"/>
      <c r="P1305" s="241"/>
      <c r="Q1305" s="241"/>
      <c r="R1305" s="241"/>
      <c r="S1305" s="241"/>
      <c r="T1305" s="241"/>
      <c r="U1305" s="241"/>
      <c r="V1305" s="241"/>
      <c r="W1305" s="241"/>
      <c r="X1305" s="243"/>
      <c r="Y1305" s="243"/>
      <c r="Z1305" s="243"/>
      <c r="AA1305" s="243"/>
      <c r="AB1305" s="243"/>
      <c r="AC1305" s="243"/>
      <c r="AD1305" s="243"/>
      <c r="AE1305" s="243"/>
      <c r="AF1305" s="243"/>
      <c r="AG1305" s="243"/>
      <c r="AH1305" s="243"/>
      <c r="AI1305" s="243"/>
      <c r="AJ1305" s="243"/>
    </row>
    <row r="1306" hidden="1">
      <c r="A1306" s="241"/>
      <c r="B1306" s="241"/>
      <c r="C1306" s="241"/>
      <c r="D1306" s="241"/>
      <c r="E1306" s="241"/>
      <c r="F1306" s="241"/>
      <c r="G1306" s="241"/>
      <c r="H1306" s="241"/>
      <c r="I1306" s="241"/>
      <c r="J1306" s="241"/>
      <c r="K1306" s="241"/>
      <c r="L1306" s="242"/>
      <c r="M1306" s="241"/>
      <c r="N1306" s="241"/>
      <c r="O1306" s="241"/>
      <c r="P1306" s="241"/>
      <c r="Q1306" s="241"/>
      <c r="R1306" s="241"/>
      <c r="S1306" s="241"/>
      <c r="T1306" s="241"/>
      <c r="U1306" s="241"/>
      <c r="V1306" s="241"/>
      <c r="W1306" s="241"/>
      <c r="X1306" s="243"/>
      <c r="Y1306" s="243"/>
      <c r="Z1306" s="243"/>
      <c r="AA1306" s="243"/>
      <c r="AB1306" s="243"/>
      <c r="AC1306" s="243"/>
      <c r="AD1306" s="243"/>
      <c r="AE1306" s="243"/>
      <c r="AF1306" s="243"/>
      <c r="AG1306" s="243"/>
      <c r="AH1306" s="243"/>
      <c r="AI1306" s="243"/>
      <c r="AJ1306" s="243"/>
    </row>
    <row r="1307" hidden="1">
      <c r="A1307" s="241"/>
      <c r="B1307" s="241"/>
      <c r="C1307" s="241"/>
      <c r="D1307" s="241"/>
      <c r="E1307" s="241"/>
      <c r="F1307" s="241"/>
      <c r="G1307" s="241"/>
      <c r="H1307" s="241"/>
      <c r="I1307" s="241"/>
      <c r="J1307" s="241"/>
      <c r="K1307" s="241"/>
      <c r="L1307" s="242"/>
      <c r="M1307" s="241"/>
      <c r="N1307" s="241"/>
      <c r="O1307" s="241"/>
      <c r="P1307" s="241"/>
      <c r="Q1307" s="241"/>
      <c r="R1307" s="241"/>
      <c r="S1307" s="241"/>
      <c r="T1307" s="241"/>
      <c r="U1307" s="241"/>
      <c r="V1307" s="241"/>
      <c r="W1307" s="241"/>
      <c r="X1307" s="243"/>
      <c r="Y1307" s="243"/>
      <c r="Z1307" s="243"/>
      <c r="AA1307" s="243"/>
      <c r="AB1307" s="243"/>
      <c r="AC1307" s="243"/>
      <c r="AD1307" s="243"/>
      <c r="AE1307" s="243"/>
      <c r="AF1307" s="243"/>
      <c r="AG1307" s="243"/>
      <c r="AH1307" s="243"/>
      <c r="AI1307" s="243"/>
      <c r="AJ1307" s="243"/>
    </row>
    <row r="1308" hidden="1">
      <c r="A1308" s="241"/>
      <c r="B1308" s="241"/>
      <c r="C1308" s="241"/>
      <c r="D1308" s="241"/>
      <c r="E1308" s="241"/>
      <c r="F1308" s="241"/>
      <c r="G1308" s="241"/>
      <c r="H1308" s="241"/>
      <c r="I1308" s="241"/>
      <c r="J1308" s="241"/>
      <c r="K1308" s="241"/>
      <c r="L1308" s="242"/>
      <c r="M1308" s="241"/>
      <c r="N1308" s="241"/>
      <c r="O1308" s="241"/>
      <c r="P1308" s="241"/>
      <c r="Q1308" s="241"/>
      <c r="R1308" s="241"/>
      <c r="S1308" s="241"/>
      <c r="T1308" s="241"/>
      <c r="U1308" s="241"/>
      <c r="V1308" s="241"/>
      <c r="W1308" s="241"/>
      <c r="X1308" s="243"/>
      <c r="Y1308" s="243"/>
      <c r="Z1308" s="243"/>
      <c r="AA1308" s="243"/>
      <c r="AB1308" s="243"/>
      <c r="AC1308" s="243"/>
      <c r="AD1308" s="243"/>
      <c r="AE1308" s="243"/>
      <c r="AF1308" s="243"/>
      <c r="AG1308" s="243"/>
      <c r="AH1308" s="243"/>
      <c r="AI1308" s="243"/>
      <c r="AJ1308" s="243"/>
    </row>
    <row r="1309" hidden="1">
      <c r="A1309" s="241"/>
      <c r="B1309" s="241"/>
      <c r="C1309" s="241"/>
      <c r="D1309" s="241"/>
      <c r="E1309" s="241"/>
      <c r="F1309" s="241"/>
      <c r="G1309" s="241"/>
      <c r="H1309" s="241"/>
      <c r="I1309" s="241"/>
      <c r="J1309" s="241"/>
      <c r="K1309" s="241"/>
      <c r="L1309" s="242"/>
      <c r="M1309" s="241"/>
      <c r="N1309" s="241"/>
      <c r="O1309" s="241"/>
      <c r="P1309" s="241"/>
      <c r="Q1309" s="241"/>
      <c r="R1309" s="241"/>
      <c r="S1309" s="241"/>
      <c r="T1309" s="241"/>
      <c r="U1309" s="241"/>
      <c r="V1309" s="241"/>
      <c r="W1309" s="241"/>
      <c r="X1309" s="243"/>
      <c r="Y1309" s="243"/>
      <c r="Z1309" s="243"/>
      <c r="AA1309" s="243"/>
      <c r="AB1309" s="243"/>
      <c r="AC1309" s="243"/>
      <c r="AD1309" s="243"/>
      <c r="AE1309" s="243"/>
      <c r="AF1309" s="243"/>
      <c r="AG1309" s="243"/>
      <c r="AH1309" s="243"/>
      <c r="AI1309" s="243"/>
      <c r="AJ1309" s="243"/>
    </row>
    <row r="1310" hidden="1">
      <c r="A1310" s="241"/>
      <c r="B1310" s="241"/>
      <c r="C1310" s="241"/>
      <c r="D1310" s="241"/>
      <c r="E1310" s="241"/>
      <c r="F1310" s="241"/>
      <c r="G1310" s="241"/>
      <c r="H1310" s="241"/>
      <c r="I1310" s="241"/>
      <c r="J1310" s="241"/>
      <c r="K1310" s="241"/>
      <c r="L1310" s="242"/>
      <c r="M1310" s="241"/>
      <c r="N1310" s="241"/>
      <c r="O1310" s="241"/>
      <c r="P1310" s="241"/>
      <c r="Q1310" s="241"/>
      <c r="R1310" s="241"/>
      <c r="S1310" s="241"/>
      <c r="T1310" s="241"/>
      <c r="U1310" s="241"/>
      <c r="V1310" s="241"/>
      <c r="W1310" s="241"/>
      <c r="X1310" s="243"/>
      <c r="Y1310" s="243"/>
      <c r="Z1310" s="243"/>
      <c r="AA1310" s="243"/>
      <c r="AB1310" s="243"/>
      <c r="AC1310" s="243"/>
      <c r="AD1310" s="243"/>
      <c r="AE1310" s="243"/>
      <c r="AF1310" s="243"/>
      <c r="AG1310" s="243"/>
      <c r="AH1310" s="243"/>
      <c r="AI1310" s="243"/>
      <c r="AJ1310" s="243"/>
    </row>
    <row r="1311" hidden="1">
      <c r="A1311" s="241"/>
      <c r="B1311" s="241"/>
      <c r="C1311" s="241"/>
      <c r="D1311" s="241"/>
      <c r="E1311" s="241"/>
      <c r="F1311" s="241"/>
      <c r="G1311" s="241"/>
      <c r="H1311" s="241"/>
      <c r="I1311" s="241"/>
      <c r="J1311" s="241"/>
      <c r="K1311" s="241"/>
      <c r="L1311" s="242"/>
      <c r="M1311" s="241"/>
      <c r="N1311" s="241"/>
      <c r="O1311" s="241"/>
      <c r="P1311" s="241"/>
      <c r="Q1311" s="241"/>
      <c r="R1311" s="241"/>
      <c r="S1311" s="241"/>
      <c r="T1311" s="241"/>
      <c r="U1311" s="241"/>
      <c r="V1311" s="241"/>
      <c r="W1311" s="241"/>
      <c r="X1311" s="243"/>
      <c r="Y1311" s="243"/>
      <c r="Z1311" s="243"/>
      <c r="AA1311" s="243"/>
      <c r="AB1311" s="243"/>
      <c r="AC1311" s="243"/>
      <c r="AD1311" s="243"/>
      <c r="AE1311" s="243"/>
      <c r="AF1311" s="243"/>
      <c r="AG1311" s="243"/>
      <c r="AH1311" s="243"/>
      <c r="AI1311" s="243"/>
      <c r="AJ1311" s="243"/>
    </row>
    <row r="1312" hidden="1">
      <c r="A1312" s="241"/>
      <c r="B1312" s="241"/>
      <c r="C1312" s="241"/>
      <c r="D1312" s="241"/>
      <c r="E1312" s="241"/>
      <c r="F1312" s="241"/>
      <c r="G1312" s="241"/>
      <c r="H1312" s="241"/>
      <c r="I1312" s="241"/>
      <c r="J1312" s="241"/>
      <c r="K1312" s="241"/>
      <c r="L1312" s="242"/>
      <c r="M1312" s="241"/>
      <c r="N1312" s="241"/>
      <c r="O1312" s="241"/>
      <c r="P1312" s="241"/>
      <c r="Q1312" s="241"/>
      <c r="R1312" s="241"/>
      <c r="S1312" s="241"/>
      <c r="T1312" s="241"/>
      <c r="U1312" s="241"/>
      <c r="V1312" s="241"/>
      <c r="W1312" s="241"/>
      <c r="X1312" s="243"/>
      <c r="Y1312" s="243"/>
      <c r="Z1312" s="243"/>
      <c r="AA1312" s="243"/>
      <c r="AB1312" s="243"/>
      <c r="AC1312" s="243"/>
      <c r="AD1312" s="243"/>
      <c r="AE1312" s="243"/>
      <c r="AF1312" s="243"/>
      <c r="AG1312" s="243"/>
      <c r="AH1312" s="243"/>
      <c r="AI1312" s="243"/>
      <c r="AJ1312" s="243"/>
    </row>
    <row r="1313" hidden="1">
      <c r="A1313" s="241"/>
      <c r="B1313" s="241"/>
      <c r="C1313" s="241"/>
      <c r="D1313" s="241"/>
      <c r="E1313" s="241"/>
      <c r="F1313" s="241"/>
      <c r="G1313" s="241"/>
      <c r="H1313" s="241"/>
      <c r="I1313" s="241"/>
      <c r="J1313" s="241"/>
      <c r="K1313" s="241"/>
      <c r="L1313" s="242"/>
      <c r="M1313" s="241"/>
      <c r="N1313" s="241"/>
      <c r="O1313" s="241"/>
      <c r="P1313" s="241"/>
      <c r="Q1313" s="241"/>
      <c r="R1313" s="241"/>
      <c r="S1313" s="241"/>
      <c r="T1313" s="241"/>
      <c r="U1313" s="241"/>
      <c r="V1313" s="241"/>
      <c r="W1313" s="241"/>
      <c r="X1313" s="243"/>
      <c r="Y1313" s="243"/>
      <c r="Z1313" s="243"/>
      <c r="AA1313" s="243"/>
      <c r="AB1313" s="243"/>
      <c r="AC1313" s="243"/>
      <c r="AD1313" s="243"/>
      <c r="AE1313" s="243"/>
      <c r="AF1313" s="243"/>
      <c r="AG1313" s="243"/>
      <c r="AH1313" s="243"/>
      <c r="AI1313" s="243"/>
      <c r="AJ1313" s="243"/>
    </row>
    <row r="1314" hidden="1">
      <c r="A1314" s="241"/>
      <c r="B1314" s="241"/>
      <c r="C1314" s="241"/>
      <c r="D1314" s="241"/>
      <c r="E1314" s="241"/>
      <c r="F1314" s="241"/>
      <c r="G1314" s="241"/>
      <c r="H1314" s="241"/>
      <c r="I1314" s="241"/>
      <c r="J1314" s="241"/>
      <c r="K1314" s="241"/>
      <c r="L1314" s="242"/>
      <c r="M1314" s="241"/>
      <c r="N1314" s="241"/>
      <c r="O1314" s="241"/>
      <c r="P1314" s="241"/>
      <c r="Q1314" s="241"/>
      <c r="R1314" s="241"/>
      <c r="S1314" s="241"/>
      <c r="T1314" s="241"/>
      <c r="U1314" s="241"/>
      <c r="V1314" s="241"/>
      <c r="W1314" s="241"/>
      <c r="X1314" s="243"/>
      <c r="Y1314" s="243"/>
      <c r="Z1314" s="243"/>
      <c r="AA1314" s="243"/>
      <c r="AB1314" s="243"/>
      <c r="AC1314" s="243"/>
      <c r="AD1314" s="243"/>
      <c r="AE1314" s="243"/>
      <c r="AF1314" s="243"/>
      <c r="AG1314" s="243"/>
      <c r="AH1314" s="243"/>
      <c r="AI1314" s="243"/>
      <c r="AJ1314" s="243"/>
    </row>
    <row r="1315" hidden="1">
      <c r="A1315" s="241"/>
      <c r="B1315" s="241"/>
      <c r="C1315" s="241"/>
      <c r="D1315" s="241"/>
      <c r="E1315" s="241"/>
      <c r="F1315" s="241"/>
      <c r="G1315" s="241"/>
      <c r="H1315" s="241"/>
      <c r="I1315" s="241"/>
      <c r="J1315" s="241"/>
      <c r="K1315" s="241"/>
      <c r="L1315" s="242"/>
      <c r="M1315" s="241"/>
      <c r="N1315" s="241"/>
      <c r="O1315" s="241"/>
      <c r="P1315" s="241"/>
      <c r="Q1315" s="241"/>
      <c r="R1315" s="241"/>
      <c r="S1315" s="241"/>
      <c r="T1315" s="241"/>
      <c r="U1315" s="241"/>
      <c r="V1315" s="241"/>
      <c r="W1315" s="241"/>
      <c r="X1315" s="243"/>
      <c r="Y1315" s="243"/>
      <c r="Z1315" s="243"/>
      <c r="AA1315" s="243"/>
      <c r="AB1315" s="243"/>
      <c r="AC1315" s="243"/>
      <c r="AD1315" s="243"/>
      <c r="AE1315" s="243"/>
      <c r="AF1315" s="243"/>
      <c r="AG1315" s="243"/>
      <c r="AH1315" s="243"/>
      <c r="AI1315" s="243"/>
      <c r="AJ1315" s="243"/>
    </row>
    <row r="1316" hidden="1">
      <c r="A1316" s="241"/>
      <c r="B1316" s="241"/>
      <c r="C1316" s="241"/>
      <c r="D1316" s="241"/>
      <c r="E1316" s="241"/>
      <c r="F1316" s="241"/>
      <c r="G1316" s="241"/>
      <c r="H1316" s="241"/>
      <c r="I1316" s="241"/>
      <c r="J1316" s="241"/>
      <c r="K1316" s="241"/>
      <c r="L1316" s="242"/>
      <c r="M1316" s="241"/>
      <c r="N1316" s="241"/>
      <c r="O1316" s="241"/>
      <c r="P1316" s="241"/>
      <c r="Q1316" s="241"/>
      <c r="R1316" s="241"/>
      <c r="S1316" s="241"/>
      <c r="T1316" s="241"/>
      <c r="U1316" s="241"/>
      <c r="V1316" s="241"/>
      <c r="W1316" s="241"/>
      <c r="X1316" s="243"/>
      <c r="Y1316" s="243"/>
      <c r="Z1316" s="243"/>
      <c r="AA1316" s="243"/>
      <c r="AB1316" s="243"/>
      <c r="AC1316" s="243"/>
      <c r="AD1316" s="243"/>
      <c r="AE1316" s="243"/>
      <c r="AF1316" s="243"/>
      <c r="AG1316" s="243"/>
      <c r="AH1316" s="243"/>
      <c r="AI1316" s="243"/>
      <c r="AJ1316" s="243"/>
    </row>
    <row r="1317" hidden="1">
      <c r="A1317" s="241"/>
      <c r="B1317" s="241"/>
      <c r="C1317" s="241"/>
      <c r="D1317" s="241"/>
      <c r="E1317" s="241"/>
      <c r="F1317" s="241"/>
      <c r="G1317" s="241"/>
      <c r="H1317" s="241"/>
      <c r="I1317" s="241"/>
      <c r="J1317" s="241"/>
      <c r="K1317" s="241"/>
      <c r="L1317" s="242"/>
      <c r="M1317" s="241"/>
      <c r="N1317" s="241"/>
      <c r="O1317" s="241"/>
      <c r="P1317" s="241"/>
      <c r="Q1317" s="241"/>
      <c r="R1317" s="241"/>
      <c r="S1317" s="241"/>
      <c r="T1317" s="241"/>
      <c r="U1317" s="241"/>
      <c r="V1317" s="241"/>
      <c r="W1317" s="241"/>
      <c r="X1317" s="243"/>
      <c r="Y1317" s="243"/>
      <c r="Z1317" s="243"/>
      <c r="AA1317" s="243"/>
      <c r="AB1317" s="243"/>
      <c r="AC1317" s="243"/>
      <c r="AD1317" s="243"/>
      <c r="AE1317" s="243"/>
      <c r="AF1317" s="243"/>
      <c r="AG1317" s="243"/>
      <c r="AH1317" s="243"/>
      <c r="AI1317" s="243"/>
      <c r="AJ1317" s="243"/>
    </row>
    <row r="1318" hidden="1">
      <c r="A1318" s="241"/>
      <c r="B1318" s="241"/>
      <c r="C1318" s="241"/>
      <c r="D1318" s="241"/>
      <c r="E1318" s="241"/>
      <c r="F1318" s="241"/>
      <c r="G1318" s="241"/>
      <c r="H1318" s="241"/>
      <c r="I1318" s="241"/>
      <c r="J1318" s="241"/>
      <c r="K1318" s="241"/>
      <c r="L1318" s="242"/>
      <c r="M1318" s="241"/>
      <c r="N1318" s="241"/>
      <c r="O1318" s="241"/>
      <c r="P1318" s="241"/>
      <c r="Q1318" s="241"/>
      <c r="R1318" s="241"/>
      <c r="S1318" s="241"/>
      <c r="T1318" s="241"/>
      <c r="U1318" s="241"/>
      <c r="V1318" s="241"/>
      <c r="W1318" s="241"/>
      <c r="X1318" s="243"/>
      <c r="Y1318" s="243"/>
      <c r="Z1318" s="243"/>
      <c r="AA1318" s="243"/>
      <c r="AB1318" s="243"/>
      <c r="AC1318" s="243"/>
      <c r="AD1318" s="243"/>
      <c r="AE1318" s="243"/>
      <c r="AF1318" s="243"/>
      <c r="AG1318" s="243"/>
      <c r="AH1318" s="243"/>
      <c r="AI1318" s="243"/>
      <c r="AJ1318" s="243"/>
    </row>
    <row r="1319" hidden="1">
      <c r="A1319" s="241"/>
      <c r="B1319" s="241"/>
      <c r="C1319" s="241"/>
      <c r="D1319" s="241"/>
      <c r="E1319" s="241"/>
      <c r="F1319" s="241"/>
      <c r="G1319" s="241"/>
      <c r="H1319" s="241"/>
      <c r="I1319" s="241"/>
      <c r="J1319" s="241"/>
      <c r="K1319" s="241"/>
      <c r="L1319" s="242"/>
      <c r="M1319" s="241"/>
      <c r="N1319" s="241"/>
      <c r="O1319" s="241"/>
      <c r="P1319" s="241"/>
      <c r="Q1319" s="241"/>
      <c r="R1319" s="241"/>
      <c r="S1319" s="241"/>
      <c r="T1319" s="241"/>
      <c r="U1319" s="241"/>
      <c r="V1319" s="241"/>
      <c r="W1319" s="241"/>
      <c r="X1319" s="243"/>
      <c r="Y1319" s="243"/>
      <c r="Z1319" s="243"/>
      <c r="AA1319" s="243"/>
      <c r="AB1319" s="243"/>
      <c r="AC1319" s="243"/>
      <c r="AD1319" s="243"/>
      <c r="AE1319" s="243"/>
      <c r="AF1319" s="243"/>
      <c r="AG1319" s="243"/>
      <c r="AH1319" s="243"/>
      <c r="AI1319" s="243"/>
      <c r="AJ1319" s="243"/>
    </row>
    <row r="1320" hidden="1">
      <c r="A1320" s="241"/>
      <c r="B1320" s="241"/>
      <c r="C1320" s="241"/>
      <c r="D1320" s="241"/>
      <c r="E1320" s="241"/>
      <c r="F1320" s="241"/>
      <c r="G1320" s="241"/>
      <c r="H1320" s="241"/>
      <c r="I1320" s="241"/>
      <c r="J1320" s="241"/>
      <c r="K1320" s="241"/>
      <c r="L1320" s="242"/>
      <c r="M1320" s="241"/>
      <c r="N1320" s="241"/>
      <c r="O1320" s="241"/>
      <c r="P1320" s="241"/>
      <c r="Q1320" s="241"/>
      <c r="R1320" s="241"/>
      <c r="S1320" s="241"/>
      <c r="T1320" s="241"/>
      <c r="U1320" s="241"/>
      <c r="V1320" s="241"/>
      <c r="W1320" s="241"/>
      <c r="X1320" s="243"/>
      <c r="Y1320" s="243"/>
      <c r="Z1320" s="243"/>
      <c r="AA1320" s="243"/>
      <c r="AB1320" s="243"/>
      <c r="AC1320" s="243"/>
      <c r="AD1320" s="243"/>
      <c r="AE1320" s="243"/>
      <c r="AF1320" s="243"/>
      <c r="AG1320" s="243"/>
      <c r="AH1320" s="243"/>
      <c r="AI1320" s="243"/>
      <c r="AJ1320" s="243"/>
    </row>
    <row r="1321" hidden="1">
      <c r="A1321" s="241"/>
      <c r="B1321" s="241"/>
      <c r="C1321" s="241"/>
      <c r="D1321" s="241"/>
      <c r="E1321" s="241"/>
      <c r="F1321" s="241"/>
      <c r="G1321" s="241"/>
      <c r="H1321" s="241"/>
      <c r="I1321" s="241"/>
      <c r="J1321" s="241"/>
      <c r="K1321" s="241"/>
      <c r="L1321" s="242"/>
      <c r="M1321" s="241"/>
      <c r="N1321" s="241"/>
      <c r="O1321" s="241"/>
      <c r="P1321" s="241"/>
      <c r="Q1321" s="241"/>
      <c r="R1321" s="241"/>
      <c r="S1321" s="241"/>
      <c r="T1321" s="241"/>
      <c r="U1321" s="241"/>
      <c r="V1321" s="241"/>
      <c r="W1321" s="241"/>
      <c r="X1321" s="243"/>
      <c r="Y1321" s="243"/>
      <c r="Z1321" s="243"/>
      <c r="AA1321" s="243"/>
      <c r="AB1321" s="243"/>
      <c r="AC1321" s="243"/>
      <c r="AD1321" s="243"/>
      <c r="AE1321" s="243"/>
      <c r="AF1321" s="243"/>
      <c r="AG1321" s="243"/>
      <c r="AH1321" s="243"/>
      <c r="AI1321" s="243"/>
      <c r="AJ1321" s="243"/>
    </row>
    <row r="1322" hidden="1">
      <c r="A1322" s="241"/>
      <c r="B1322" s="241"/>
      <c r="C1322" s="241"/>
      <c r="D1322" s="241"/>
      <c r="E1322" s="241"/>
      <c r="F1322" s="241"/>
      <c r="G1322" s="241"/>
      <c r="H1322" s="241"/>
      <c r="I1322" s="241"/>
      <c r="J1322" s="241"/>
      <c r="K1322" s="241"/>
      <c r="L1322" s="242"/>
      <c r="M1322" s="241"/>
      <c r="N1322" s="241"/>
      <c r="O1322" s="241"/>
      <c r="P1322" s="241"/>
      <c r="Q1322" s="241"/>
      <c r="R1322" s="241"/>
      <c r="S1322" s="241"/>
      <c r="T1322" s="241"/>
      <c r="U1322" s="241"/>
      <c r="V1322" s="241"/>
      <c r="W1322" s="241"/>
      <c r="X1322" s="243"/>
      <c r="Y1322" s="243"/>
      <c r="Z1322" s="243"/>
      <c r="AA1322" s="243"/>
      <c r="AB1322" s="243"/>
      <c r="AC1322" s="243"/>
      <c r="AD1322" s="243"/>
      <c r="AE1322" s="243"/>
      <c r="AF1322" s="243"/>
      <c r="AG1322" s="243"/>
      <c r="AH1322" s="243"/>
      <c r="AI1322" s="243"/>
      <c r="AJ1322" s="243"/>
    </row>
    <row r="1323" hidden="1">
      <c r="A1323" s="241"/>
      <c r="B1323" s="241"/>
      <c r="C1323" s="241"/>
      <c r="D1323" s="241"/>
      <c r="E1323" s="241"/>
      <c r="F1323" s="241"/>
      <c r="G1323" s="241"/>
      <c r="H1323" s="241"/>
      <c r="I1323" s="241"/>
      <c r="J1323" s="241"/>
      <c r="K1323" s="241"/>
      <c r="L1323" s="242"/>
      <c r="M1323" s="241"/>
      <c r="N1323" s="241"/>
      <c r="O1323" s="241"/>
      <c r="P1323" s="241"/>
      <c r="Q1323" s="241"/>
      <c r="R1323" s="241"/>
      <c r="S1323" s="241"/>
      <c r="T1323" s="241"/>
      <c r="U1323" s="241"/>
      <c r="V1323" s="241"/>
      <c r="W1323" s="241"/>
      <c r="X1323" s="243"/>
      <c r="Y1323" s="243"/>
      <c r="Z1323" s="243"/>
      <c r="AA1323" s="243"/>
      <c r="AB1323" s="243"/>
      <c r="AC1323" s="243"/>
      <c r="AD1323" s="243"/>
      <c r="AE1323" s="243"/>
      <c r="AF1323" s="243"/>
      <c r="AG1323" s="243"/>
      <c r="AH1323" s="243"/>
      <c r="AI1323" s="243"/>
      <c r="AJ1323" s="243"/>
    </row>
    <row r="1324" hidden="1">
      <c r="A1324" s="241"/>
      <c r="B1324" s="241"/>
      <c r="C1324" s="241"/>
      <c r="D1324" s="241"/>
      <c r="E1324" s="241"/>
      <c r="F1324" s="241"/>
      <c r="G1324" s="241"/>
      <c r="H1324" s="241"/>
      <c r="I1324" s="241"/>
      <c r="J1324" s="241"/>
      <c r="K1324" s="241"/>
      <c r="L1324" s="242"/>
      <c r="M1324" s="241"/>
      <c r="N1324" s="241"/>
      <c r="O1324" s="241"/>
      <c r="P1324" s="241"/>
      <c r="Q1324" s="241"/>
      <c r="R1324" s="241"/>
      <c r="S1324" s="241"/>
      <c r="T1324" s="241"/>
      <c r="U1324" s="241"/>
      <c r="V1324" s="241"/>
      <c r="W1324" s="241"/>
      <c r="X1324" s="243"/>
      <c r="Y1324" s="243"/>
      <c r="Z1324" s="243"/>
      <c r="AA1324" s="243"/>
      <c r="AB1324" s="243"/>
      <c r="AC1324" s="243"/>
      <c r="AD1324" s="243"/>
      <c r="AE1324" s="243"/>
      <c r="AF1324" s="243"/>
      <c r="AG1324" s="243"/>
      <c r="AH1324" s="243"/>
      <c r="AI1324" s="243"/>
      <c r="AJ1324" s="243"/>
    </row>
    <row r="1325" hidden="1">
      <c r="A1325" s="241"/>
      <c r="B1325" s="241"/>
      <c r="C1325" s="241"/>
      <c r="D1325" s="241"/>
      <c r="E1325" s="241"/>
      <c r="F1325" s="241"/>
      <c r="G1325" s="241"/>
      <c r="H1325" s="241"/>
      <c r="I1325" s="241"/>
      <c r="J1325" s="241"/>
      <c r="K1325" s="241"/>
      <c r="L1325" s="242"/>
      <c r="M1325" s="241"/>
      <c r="N1325" s="241"/>
      <c r="O1325" s="241"/>
      <c r="P1325" s="241"/>
      <c r="Q1325" s="241"/>
      <c r="R1325" s="241"/>
      <c r="S1325" s="241"/>
      <c r="T1325" s="241"/>
      <c r="U1325" s="241"/>
      <c r="V1325" s="241"/>
      <c r="W1325" s="241"/>
      <c r="X1325" s="243"/>
      <c r="Y1325" s="243"/>
      <c r="Z1325" s="243"/>
      <c r="AA1325" s="243"/>
      <c r="AB1325" s="243"/>
      <c r="AC1325" s="243"/>
      <c r="AD1325" s="243"/>
      <c r="AE1325" s="243"/>
      <c r="AF1325" s="243"/>
      <c r="AG1325" s="243"/>
      <c r="AH1325" s="243"/>
      <c r="AI1325" s="243"/>
      <c r="AJ1325" s="243"/>
    </row>
    <row r="1326" hidden="1">
      <c r="A1326" s="241"/>
      <c r="B1326" s="241"/>
      <c r="C1326" s="241"/>
      <c r="D1326" s="241"/>
      <c r="E1326" s="241"/>
      <c r="F1326" s="241"/>
      <c r="G1326" s="241"/>
      <c r="H1326" s="241"/>
      <c r="I1326" s="241"/>
      <c r="J1326" s="241"/>
      <c r="K1326" s="241"/>
      <c r="L1326" s="242"/>
      <c r="M1326" s="241"/>
      <c r="N1326" s="241"/>
      <c r="O1326" s="241"/>
      <c r="P1326" s="241"/>
      <c r="Q1326" s="241"/>
      <c r="R1326" s="241"/>
      <c r="S1326" s="241"/>
      <c r="T1326" s="241"/>
      <c r="U1326" s="241"/>
      <c r="V1326" s="241"/>
      <c r="W1326" s="241"/>
      <c r="X1326" s="243"/>
      <c r="Y1326" s="243"/>
      <c r="Z1326" s="243"/>
      <c r="AA1326" s="243"/>
      <c r="AB1326" s="243"/>
      <c r="AC1326" s="243"/>
      <c r="AD1326" s="243"/>
      <c r="AE1326" s="243"/>
      <c r="AF1326" s="243"/>
      <c r="AG1326" s="243"/>
      <c r="AH1326" s="243"/>
      <c r="AI1326" s="243"/>
      <c r="AJ1326" s="243"/>
    </row>
    <row r="1327" hidden="1">
      <c r="A1327" s="241"/>
      <c r="B1327" s="241"/>
      <c r="C1327" s="241"/>
      <c r="D1327" s="241"/>
      <c r="E1327" s="241"/>
      <c r="F1327" s="241"/>
      <c r="G1327" s="241"/>
      <c r="H1327" s="241"/>
      <c r="I1327" s="241"/>
      <c r="J1327" s="241"/>
      <c r="K1327" s="241"/>
      <c r="L1327" s="242"/>
      <c r="M1327" s="241"/>
      <c r="N1327" s="241"/>
      <c r="O1327" s="241"/>
      <c r="P1327" s="241"/>
      <c r="Q1327" s="241"/>
      <c r="R1327" s="241"/>
      <c r="S1327" s="241"/>
      <c r="T1327" s="241"/>
      <c r="U1327" s="241"/>
      <c r="V1327" s="241"/>
      <c r="W1327" s="241"/>
      <c r="X1327" s="243"/>
      <c r="Y1327" s="243"/>
      <c r="Z1327" s="243"/>
      <c r="AA1327" s="243"/>
      <c r="AB1327" s="243"/>
      <c r="AC1327" s="243"/>
      <c r="AD1327" s="243"/>
      <c r="AE1327" s="243"/>
      <c r="AF1327" s="243"/>
      <c r="AG1327" s="243"/>
      <c r="AH1327" s="243"/>
      <c r="AI1327" s="243"/>
      <c r="AJ1327" s="243"/>
    </row>
    <row r="1328" hidden="1">
      <c r="A1328" s="241"/>
      <c r="B1328" s="241"/>
      <c r="C1328" s="241"/>
      <c r="D1328" s="241"/>
      <c r="E1328" s="241"/>
      <c r="F1328" s="241"/>
      <c r="G1328" s="241"/>
      <c r="H1328" s="241"/>
      <c r="I1328" s="241"/>
      <c r="J1328" s="241"/>
      <c r="K1328" s="241"/>
      <c r="L1328" s="242"/>
      <c r="M1328" s="241"/>
      <c r="N1328" s="241"/>
      <c r="O1328" s="241"/>
      <c r="P1328" s="241"/>
      <c r="Q1328" s="241"/>
      <c r="R1328" s="241"/>
      <c r="S1328" s="241"/>
      <c r="T1328" s="241"/>
      <c r="U1328" s="241"/>
      <c r="V1328" s="241"/>
      <c r="W1328" s="241"/>
      <c r="X1328" s="243"/>
      <c r="Y1328" s="243"/>
      <c r="Z1328" s="243"/>
      <c r="AA1328" s="243"/>
      <c r="AB1328" s="243"/>
      <c r="AC1328" s="243"/>
      <c r="AD1328" s="243"/>
      <c r="AE1328" s="243"/>
      <c r="AF1328" s="243"/>
      <c r="AG1328" s="243"/>
      <c r="AH1328" s="243"/>
      <c r="AI1328" s="243"/>
      <c r="AJ1328" s="243"/>
    </row>
    <row r="1329" hidden="1">
      <c r="A1329" s="241"/>
      <c r="B1329" s="241"/>
      <c r="C1329" s="241"/>
      <c r="D1329" s="241"/>
      <c r="E1329" s="241"/>
      <c r="F1329" s="241"/>
      <c r="G1329" s="241"/>
      <c r="H1329" s="241"/>
      <c r="I1329" s="241"/>
      <c r="J1329" s="241"/>
      <c r="K1329" s="241"/>
      <c r="L1329" s="242"/>
      <c r="M1329" s="241"/>
      <c r="N1329" s="241"/>
      <c r="O1329" s="241"/>
      <c r="P1329" s="241"/>
      <c r="Q1329" s="241"/>
      <c r="R1329" s="241"/>
      <c r="S1329" s="241"/>
      <c r="T1329" s="241"/>
      <c r="U1329" s="241"/>
      <c r="V1329" s="241"/>
      <c r="W1329" s="241"/>
      <c r="X1329" s="243"/>
      <c r="Y1329" s="243"/>
      <c r="Z1329" s="243"/>
      <c r="AA1329" s="243"/>
      <c r="AB1329" s="243"/>
      <c r="AC1329" s="243"/>
      <c r="AD1329" s="243"/>
      <c r="AE1329" s="243"/>
      <c r="AF1329" s="243"/>
      <c r="AG1329" s="243"/>
      <c r="AH1329" s="243"/>
      <c r="AI1329" s="243"/>
      <c r="AJ1329" s="243"/>
    </row>
    <row r="1330" hidden="1">
      <c r="A1330" s="241"/>
      <c r="B1330" s="241"/>
      <c r="C1330" s="241"/>
      <c r="D1330" s="241"/>
      <c r="E1330" s="241"/>
      <c r="F1330" s="241"/>
      <c r="G1330" s="241"/>
      <c r="H1330" s="241"/>
      <c r="I1330" s="241"/>
      <c r="J1330" s="241"/>
      <c r="K1330" s="241"/>
      <c r="L1330" s="242"/>
      <c r="M1330" s="241"/>
      <c r="N1330" s="241"/>
      <c r="O1330" s="241"/>
      <c r="P1330" s="241"/>
      <c r="Q1330" s="241"/>
      <c r="R1330" s="241"/>
      <c r="S1330" s="241"/>
      <c r="T1330" s="241"/>
      <c r="U1330" s="241"/>
      <c r="V1330" s="241"/>
      <c r="W1330" s="241"/>
      <c r="X1330" s="243"/>
      <c r="Y1330" s="243"/>
      <c r="Z1330" s="243"/>
      <c r="AA1330" s="243"/>
      <c r="AB1330" s="243"/>
      <c r="AC1330" s="243"/>
      <c r="AD1330" s="243"/>
      <c r="AE1330" s="243"/>
      <c r="AF1330" s="243"/>
      <c r="AG1330" s="243"/>
      <c r="AH1330" s="243"/>
      <c r="AI1330" s="243"/>
      <c r="AJ1330" s="243"/>
    </row>
    <row r="1331" hidden="1">
      <c r="A1331" s="241"/>
      <c r="B1331" s="241"/>
      <c r="C1331" s="241"/>
      <c r="D1331" s="241"/>
      <c r="E1331" s="241"/>
      <c r="F1331" s="241"/>
      <c r="G1331" s="241"/>
      <c r="H1331" s="241"/>
      <c r="I1331" s="241"/>
      <c r="J1331" s="241"/>
      <c r="K1331" s="241"/>
      <c r="L1331" s="242"/>
      <c r="M1331" s="241"/>
      <c r="N1331" s="241"/>
      <c r="O1331" s="241"/>
      <c r="P1331" s="241"/>
      <c r="Q1331" s="241"/>
      <c r="R1331" s="241"/>
      <c r="S1331" s="241"/>
      <c r="T1331" s="241"/>
      <c r="U1331" s="241"/>
      <c r="V1331" s="241"/>
      <c r="W1331" s="241"/>
      <c r="X1331" s="243"/>
      <c r="Y1331" s="243"/>
      <c r="Z1331" s="243"/>
      <c r="AA1331" s="243"/>
      <c r="AB1331" s="243"/>
      <c r="AC1331" s="243"/>
      <c r="AD1331" s="243"/>
      <c r="AE1331" s="243"/>
      <c r="AF1331" s="243"/>
      <c r="AG1331" s="243"/>
      <c r="AH1331" s="243"/>
      <c r="AI1331" s="243"/>
      <c r="AJ1331" s="243"/>
    </row>
    <row r="1332" hidden="1">
      <c r="A1332" s="241"/>
      <c r="B1332" s="241"/>
      <c r="C1332" s="241"/>
      <c r="D1332" s="241"/>
      <c r="E1332" s="241"/>
      <c r="F1332" s="241"/>
      <c r="G1332" s="241"/>
      <c r="H1332" s="241"/>
      <c r="I1332" s="241"/>
      <c r="J1332" s="241"/>
      <c r="K1332" s="241"/>
      <c r="L1332" s="242"/>
      <c r="M1332" s="241"/>
      <c r="N1332" s="241"/>
      <c r="O1332" s="241"/>
      <c r="P1332" s="241"/>
      <c r="Q1332" s="241"/>
      <c r="R1332" s="241"/>
      <c r="S1332" s="241"/>
      <c r="T1332" s="241"/>
      <c r="U1332" s="241"/>
      <c r="V1332" s="241"/>
      <c r="W1332" s="241"/>
      <c r="X1332" s="243"/>
      <c r="Y1332" s="243"/>
      <c r="Z1332" s="243"/>
      <c r="AA1332" s="243"/>
      <c r="AB1332" s="243"/>
      <c r="AC1332" s="243"/>
      <c r="AD1332" s="243"/>
      <c r="AE1332" s="243"/>
      <c r="AF1332" s="243"/>
      <c r="AG1332" s="243"/>
      <c r="AH1332" s="243"/>
      <c r="AI1332" s="243"/>
      <c r="AJ1332" s="243"/>
    </row>
    <row r="1333" hidden="1">
      <c r="A1333" s="241"/>
      <c r="B1333" s="241"/>
      <c r="C1333" s="241"/>
      <c r="D1333" s="241"/>
      <c r="E1333" s="241"/>
      <c r="F1333" s="241"/>
      <c r="G1333" s="241"/>
      <c r="H1333" s="241"/>
      <c r="I1333" s="241"/>
      <c r="J1333" s="241"/>
      <c r="K1333" s="241"/>
      <c r="L1333" s="242"/>
      <c r="M1333" s="241"/>
      <c r="N1333" s="241"/>
      <c r="O1333" s="241"/>
      <c r="P1333" s="241"/>
      <c r="Q1333" s="241"/>
      <c r="R1333" s="241"/>
      <c r="S1333" s="241"/>
      <c r="T1333" s="241"/>
      <c r="U1333" s="241"/>
      <c r="V1333" s="241"/>
      <c r="W1333" s="241"/>
      <c r="X1333" s="243"/>
      <c r="Y1333" s="243"/>
      <c r="Z1333" s="243"/>
      <c r="AA1333" s="243"/>
      <c r="AB1333" s="243"/>
      <c r="AC1333" s="243"/>
      <c r="AD1333" s="243"/>
      <c r="AE1333" s="243"/>
      <c r="AF1333" s="243"/>
      <c r="AG1333" s="243"/>
      <c r="AH1333" s="243"/>
      <c r="AI1333" s="243"/>
      <c r="AJ1333" s="243"/>
    </row>
    <row r="1334" hidden="1">
      <c r="A1334" s="241"/>
      <c r="B1334" s="241"/>
      <c r="C1334" s="241"/>
      <c r="D1334" s="241"/>
      <c r="E1334" s="241"/>
      <c r="F1334" s="241"/>
      <c r="G1334" s="241"/>
      <c r="H1334" s="241"/>
      <c r="I1334" s="241"/>
      <c r="J1334" s="241"/>
      <c r="K1334" s="241"/>
      <c r="L1334" s="242"/>
      <c r="M1334" s="241"/>
      <c r="N1334" s="241"/>
      <c r="O1334" s="241"/>
      <c r="P1334" s="241"/>
      <c r="Q1334" s="241"/>
      <c r="R1334" s="241"/>
      <c r="S1334" s="241"/>
      <c r="T1334" s="241"/>
      <c r="U1334" s="241"/>
      <c r="V1334" s="241"/>
      <c r="W1334" s="241"/>
      <c r="X1334" s="243"/>
      <c r="Y1334" s="243"/>
      <c r="Z1334" s="243"/>
      <c r="AA1334" s="243"/>
      <c r="AB1334" s="243"/>
      <c r="AC1334" s="243"/>
      <c r="AD1334" s="243"/>
      <c r="AE1334" s="243"/>
      <c r="AF1334" s="243"/>
      <c r="AG1334" s="243"/>
      <c r="AH1334" s="243"/>
      <c r="AI1334" s="243"/>
      <c r="AJ1334" s="243"/>
    </row>
    <row r="1335" hidden="1">
      <c r="A1335" s="241"/>
      <c r="B1335" s="241"/>
      <c r="C1335" s="241"/>
      <c r="D1335" s="241"/>
      <c r="E1335" s="241"/>
      <c r="F1335" s="241"/>
      <c r="G1335" s="241"/>
      <c r="H1335" s="241"/>
      <c r="I1335" s="241"/>
      <c r="J1335" s="241"/>
      <c r="K1335" s="241"/>
      <c r="L1335" s="242"/>
      <c r="M1335" s="241"/>
      <c r="N1335" s="241"/>
      <c r="O1335" s="241"/>
      <c r="P1335" s="241"/>
      <c r="Q1335" s="241"/>
      <c r="R1335" s="241"/>
      <c r="S1335" s="241"/>
      <c r="T1335" s="241"/>
      <c r="U1335" s="241"/>
      <c r="V1335" s="241"/>
      <c r="W1335" s="241"/>
      <c r="X1335" s="243"/>
      <c r="Y1335" s="243"/>
      <c r="Z1335" s="243"/>
      <c r="AA1335" s="243"/>
      <c r="AB1335" s="243"/>
      <c r="AC1335" s="243"/>
      <c r="AD1335" s="243"/>
      <c r="AE1335" s="243"/>
      <c r="AF1335" s="243"/>
      <c r="AG1335" s="243"/>
      <c r="AH1335" s="243"/>
      <c r="AI1335" s="243"/>
      <c r="AJ1335" s="243"/>
    </row>
    <row r="1336" hidden="1">
      <c r="A1336" s="241"/>
      <c r="B1336" s="241"/>
      <c r="C1336" s="241"/>
      <c r="D1336" s="241"/>
      <c r="E1336" s="241"/>
      <c r="F1336" s="241"/>
      <c r="G1336" s="241"/>
      <c r="H1336" s="241"/>
      <c r="I1336" s="241"/>
      <c r="J1336" s="241"/>
      <c r="K1336" s="241"/>
      <c r="L1336" s="242"/>
      <c r="M1336" s="241"/>
      <c r="N1336" s="241"/>
      <c r="O1336" s="241"/>
      <c r="P1336" s="241"/>
      <c r="Q1336" s="241"/>
      <c r="R1336" s="241"/>
      <c r="S1336" s="241"/>
      <c r="T1336" s="241"/>
      <c r="U1336" s="241"/>
      <c r="V1336" s="241"/>
      <c r="W1336" s="241"/>
      <c r="X1336" s="243"/>
      <c r="Y1336" s="243"/>
      <c r="Z1336" s="243"/>
      <c r="AA1336" s="243"/>
      <c r="AB1336" s="243"/>
      <c r="AC1336" s="243"/>
      <c r="AD1336" s="243"/>
      <c r="AE1336" s="243"/>
      <c r="AF1336" s="243"/>
      <c r="AG1336" s="243"/>
      <c r="AH1336" s="243"/>
      <c r="AI1336" s="243"/>
      <c r="AJ1336" s="243"/>
    </row>
    <row r="1337" hidden="1">
      <c r="A1337" s="241"/>
      <c r="B1337" s="241"/>
      <c r="C1337" s="241"/>
      <c r="D1337" s="241"/>
      <c r="E1337" s="241"/>
      <c r="F1337" s="241"/>
      <c r="G1337" s="241"/>
      <c r="H1337" s="241"/>
      <c r="I1337" s="241"/>
      <c r="J1337" s="241"/>
      <c r="K1337" s="241"/>
      <c r="L1337" s="242"/>
      <c r="M1337" s="241"/>
      <c r="N1337" s="241"/>
      <c r="O1337" s="241"/>
      <c r="P1337" s="241"/>
      <c r="Q1337" s="241"/>
      <c r="R1337" s="241"/>
      <c r="S1337" s="241"/>
      <c r="T1337" s="241"/>
      <c r="U1337" s="241"/>
      <c r="V1337" s="241"/>
      <c r="W1337" s="241"/>
      <c r="X1337" s="243"/>
      <c r="Y1337" s="243"/>
      <c r="Z1337" s="243"/>
      <c r="AA1337" s="243"/>
      <c r="AB1337" s="243"/>
      <c r="AC1337" s="243"/>
      <c r="AD1337" s="243"/>
      <c r="AE1337" s="243"/>
      <c r="AF1337" s="243"/>
      <c r="AG1337" s="243"/>
      <c r="AH1337" s="243"/>
      <c r="AI1337" s="243"/>
      <c r="AJ1337" s="243"/>
    </row>
    <row r="1338" hidden="1">
      <c r="A1338" s="241"/>
      <c r="B1338" s="241"/>
      <c r="C1338" s="241"/>
      <c r="D1338" s="241"/>
      <c r="E1338" s="241"/>
      <c r="F1338" s="241"/>
      <c r="G1338" s="241"/>
      <c r="H1338" s="241"/>
      <c r="I1338" s="241"/>
      <c r="J1338" s="241"/>
      <c r="K1338" s="241"/>
      <c r="L1338" s="242"/>
      <c r="M1338" s="241"/>
      <c r="N1338" s="241"/>
      <c r="O1338" s="241"/>
      <c r="P1338" s="241"/>
      <c r="Q1338" s="241"/>
      <c r="R1338" s="241"/>
      <c r="S1338" s="241"/>
      <c r="T1338" s="241"/>
      <c r="U1338" s="241"/>
      <c r="V1338" s="241"/>
      <c r="W1338" s="241"/>
      <c r="X1338" s="243"/>
      <c r="Y1338" s="243"/>
      <c r="Z1338" s="243"/>
      <c r="AA1338" s="243"/>
      <c r="AB1338" s="243"/>
      <c r="AC1338" s="243"/>
      <c r="AD1338" s="243"/>
      <c r="AE1338" s="243"/>
      <c r="AF1338" s="243"/>
      <c r="AG1338" s="243"/>
      <c r="AH1338" s="243"/>
      <c r="AI1338" s="243"/>
      <c r="AJ1338" s="243"/>
    </row>
    <row r="1339" hidden="1">
      <c r="A1339" s="241"/>
      <c r="B1339" s="241"/>
      <c r="C1339" s="241"/>
      <c r="D1339" s="241"/>
      <c r="E1339" s="241"/>
      <c r="F1339" s="241"/>
      <c r="G1339" s="241"/>
      <c r="H1339" s="241"/>
      <c r="I1339" s="241"/>
      <c r="J1339" s="241"/>
      <c r="K1339" s="241"/>
      <c r="L1339" s="242"/>
      <c r="M1339" s="241"/>
      <c r="N1339" s="241"/>
      <c r="O1339" s="241"/>
      <c r="P1339" s="241"/>
      <c r="Q1339" s="241"/>
      <c r="R1339" s="241"/>
      <c r="S1339" s="241"/>
      <c r="T1339" s="241"/>
      <c r="U1339" s="241"/>
      <c r="V1339" s="241"/>
      <c r="W1339" s="241"/>
      <c r="X1339" s="243"/>
      <c r="Y1339" s="243"/>
      <c r="Z1339" s="243"/>
      <c r="AA1339" s="243"/>
      <c r="AB1339" s="243"/>
      <c r="AC1339" s="243"/>
      <c r="AD1339" s="243"/>
      <c r="AE1339" s="243"/>
      <c r="AF1339" s="243"/>
      <c r="AG1339" s="243"/>
      <c r="AH1339" s="243"/>
      <c r="AI1339" s="243"/>
      <c r="AJ1339" s="243"/>
    </row>
    <row r="1340" hidden="1">
      <c r="A1340" s="241"/>
      <c r="B1340" s="241"/>
      <c r="C1340" s="241"/>
      <c r="D1340" s="241"/>
      <c r="E1340" s="241"/>
      <c r="F1340" s="241"/>
      <c r="G1340" s="241"/>
      <c r="H1340" s="241"/>
      <c r="I1340" s="241"/>
      <c r="J1340" s="241"/>
      <c r="K1340" s="241"/>
      <c r="L1340" s="242"/>
      <c r="M1340" s="241"/>
      <c r="N1340" s="241"/>
      <c r="O1340" s="241"/>
      <c r="P1340" s="241"/>
      <c r="Q1340" s="241"/>
      <c r="R1340" s="241"/>
      <c r="S1340" s="241"/>
      <c r="T1340" s="241"/>
      <c r="U1340" s="241"/>
      <c r="V1340" s="241"/>
      <c r="W1340" s="241"/>
      <c r="X1340" s="243"/>
      <c r="Y1340" s="243"/>
      <c r="Z1340" s="243"/>
      <c r="AA1340" s="243"/>
      <c r="AB1340" s="243"/>
      <c r="AC1340" s="243"/>
      <c r="AD1340" s="243"/>
      <c r="AE1340" s="243"/>
      <c r="AF1340" s="243"/>
      <c r="AG1340" s="243"/>
      <c r="AH1340" s="243"/>
      <c r="AI1340" s="243"/>
      <c r="AJ1340" s="243"/>
    </row>
    <row r="1341" hidden="1">
      <c r="A1341" s="241"/>
      <c r="B1341" s="241"/>
      <c r="C1341" s="241"/>
      <c r="D1341" s="241"/>
      <c r="E1341" s="241"/>
      <c r="F1341" s="241"/>
      <c r="G1341" s="241"/>
      <c r="H1341" s="241"/>
      <c r="I1341" s="241"/>
      <c r="J1341" s="241"/>
      <c r="K1341" s="241"/>
      <c r="L1341" s="242"/>
      <c r="M1341" s="241"/>
      <c r="N1341" s="241"/>
      <c r="O1341" s="241"/>
      <c r="P1341" s="241"/>
      <c r="Q1341" s="241"/>
      <c r="R1341" s="241"/>
      <c r="S1341" s="241"/>
      <c r="T1341" s="241"/>
      <c r="U1341" s="241"/>
      <c r="V1341" s="241"/>
      <c r="W1341" s="241"/>
      <c r="X1341" s="243"/>
      <c r="Y1341" s="243"/>
      <c r="Z1341" s="243"/>
      <c r="AA1341" s="243"/>
      <c r="AB1341" s="243"/>
      <c r="AC1341" s="243"/>
      <c r="AD1341" s="243"/>
      <c r="AE1341" s="243"/>
      <c r="AF1341" s="243"/>
      <c r="AG1341" s="243"/>
      <c r="AH1341" s="243"/>
      <c r="AI1341" s="243"/>
      <c r="AJ1341" s="243"/>
    </row>
    <row r="1342" hidden="1">
      <c r="A1342" s="241"/>
      <c r="B1342" s="241"/>
      <c r="C1342" s="241"/>
      <c r="D1342" s="241"/>
      <c r="E1342" s="241"/>
      <c r="F1342" s="241"/>
      <c r="G1342" s="241"/>
      <c r="H1342" s="241"/>
      <c r="I1342" s="241"/>
      <c r="J1342" s="241"/>
      <c r="K1342" s="241"/>
      <c r="L1342" s="242"/>
      <c r="M1342" s="241"/>
      <c r="N1342" s="241"/>
      <c r="O1342" s="241"/>
      <c r="P1342" s="241"/>
      <c r="Q1342" s="241"/>
      <c r="R1342" s="241"/>
      <c r="S1342" s="241"/>
      <c r="T1342" s="241"/>
      <c r="U1342" s="241"/>
      <c r="V1342" s="241"/>
      <c r="W1342" s="241"/>
      <c r="X1342" s="243"/>
      <c r="Y1342" s="243"/>
      <c r="Z1342" s="243"/>
      <c r="AA1342" s="243"/>
      <c r="AB1342" s="243"/>
      <c r="AC1342" s="243"/>
      <c r="AD1342" s="243"/>
      <c r="AE1342" s="243"/>
      <c r="AF1342" s="243"/>
      <c r="AG1342" s="243"/>
      <c r="AH1342" s="243"/>
      <c r="AI1342" s="243"/>
      <c r="AJ1342" s="243"/>
    </row>
    <row r="1343" hidden="1">
      <c r="A1343" s="241"/>
      <c r="B1343" s="241"/>
      <c r="C1343" s="241"/>
      <c r="D1343" s="241"/>
      <c r="E1343" s="241"/>
      <c r="F1343" s="241"/>
      <c r="G1343" s="241"/>
      <c r="H1343" s="241"/>
      <c r="I1343" s="241"/>
      <c r="J1343" s="241"/>
      <c r="K1343" s="241"/>
      <c r="L1343" s="242"/>
      <c r="M1343" s="241"/>
      <c r="N1343" s="241"/>
      <c r="O1343" s="241"/>
      <c r="P1343" s="241"/>
      <c r="Q1343" s="241"/>
      <c r="R1343" s="241"/>
      <c r="S1343" s="241"/>
      <c r="T1343" s="241"/>
      <c r="U1343" s="241"/>
      <c r="V1343" s="241"/>
      <c r="W1343" s="241"/>
      <c r="X1343" s="243"/>
      <c r="Y1343" s="243"/>
      <c r="Z1343" s="243"/>
      <c r="AA1343" s="243"/>
      <c r="AB1343" s="243"/>
      <c r="AC1343" s="243"/>
      <c r="AD1343" s="243"/>
      <c r="AE1343" s="243"/>
      <c r="AF1343" s="243"/>
      <c r="AG1343" s="243"/>
      <c r="AH1343" s="243"/>
      <c r="AI1343" s="243"/>
      <c r="AJ1343" s="243"/>
    </row>
    <row r="1344" hidden="1">
      <c r="A1344" s="241"/>
      <c r="B1344" s="241"/>
      <c r="C1344" s="241"/>
      <c r="D1344" s="241"/>
      <c r="E1344" s="241"/>
      <c r="F1344" s="241"/>
      <c r="G1344" s="241"/>
      <c r="H1344" s="241"/>
      <c r="I1344" s="241"/>
      <c r="J1344" s="241"/>
      <c r="K1344" s="241"/>
      <c r="L1344" s="242"/>
      <c r="M1344" s="241"/>
      <c r="N1344" s="241"/>
      <c r="O1344" s="241"/>
      <c r="P1344" s="241"/>
      <c r="Q1344" s="241"/>
      <c r="R1344" s="241"/>
      <c r="S1344" s="241"/>
      <c r="T1344" s="241"/>
      <c r="U1344" s="241"/>
      <c r="V1344" s="241"/>
      <c r="W1344" s="241"/>
      <c r="X1344" s="243"/>
      <c r="Y1344" s="243"/>
      <c r="Z1344" s="243"/>
      <c r="AA1344" s="243"/>
      <c r="AB1344" s="243"/>
      <c r="AC1344" s="243"/>
      <c r="AD1344" s="243"/>
      <c r="AE1344" s="243"/>
      <c r="AF1344" s="243"/>
      <c r="AG1344" s="243"/>
      <c r="AH1344" s="243"/>
      <c r="AI1344" s="243"/>
      <c r="AJ1344" s="243"/>
    </row>
    <row r="1345" hidden="1">
      <c r="A1345" s="241"/>
      <c r="B1345" s="241"/>
      <c r="C1345" s="241"/>
      <c r="D1345" s="241"/>
      <c r="E1345" s="241"/>
      <c r="F1345" s="241"/>
      <c r="G1345" s="241"/>
      <c r="H1345" s="241"/>
      <c r="I1345" s="241"/>
      <c r="J1345" s="241"/>
      <c r="K1345" s="241"/>
      <c r="L1345" s="242"/>
      <c r="M1345" s="241"/>
      <c r="N1345" s="241"/>
      <c r="O1345" s="241"/>
      <c r="P1345" s="241"/>
      <c r="Q1345" s="241"/>
      <c r="R1345" s="241"/>
      <c r="S1345" s="241"/>
      <c r="T1345" s="241"/>
      <c r="U1345" s="241"/>
      <c r="V1345" s="241"/>
      <c r="W1345" s="241"/>
      <c r="X1345" s="243"/>
      <c r="Y1345" s="243"/>
      <c r="Z1345" s="243"/>
      <c r="AA1345" s="243"/>
      <c r="AB1345" s="243"/>
      <c r="AC1345" s="243"/>
      <c r="AD1345" s="243"/>
      <c r="AE1345" s="243"/>
      <c r="AF1345" s="243"/>
      <c r="AG1345" s="243"/>
      <c r="AH1345" s="243"/>
      <c r="AI1345" s="243"/>
      <c r="AJ1345" s="243"/>
    </row>
    <row r="1346" hidden="1">
      <c r="A1346" s="241"/>
      <c r="B1346" s="241"/>
      <c r="C1346" s="241"/>
      <c r="D1346" s="241"/>
      <c r="E1346" s="241"/>
      <c r="F1346" s="241"/>
      <c r="G1346" s="241"/>
      <c r="H1346" s="241"/>
      <c r="I1346" s="241"/>
      <c r="J1346" s="241"/>
      <c r="K1346" s="241"/>
      <c r="L1346" s="242"/>
      <c r="M1346" s="241"/>
      <c r="N1346" s="241"/>
      <c r="O1346" s="241"/>
      <c r="P1346" s="241"/>
      <c r="Q1346" s="241"/>
      <c r="R1346" s="241"/>
      <c r="S1346" s="241"/>
      <c r="T1346" s="241"/>
      <c r="U1346" s="241"/>
      <c r="V1346" s="241"/>
      <c r="W1346" s="241"/>
      <c r="X1346" s="243"/>
      <c r="Y1346" s="243"/>
      <c r="Z1346" s="243"/>
      <c r="AA1346" s="243"/>
      <c r="AB1346" s="243"/>
      <c r="AC1346" s="243"/>
      <c r="AD1346" s="243"/>
      <c r="AE1346" s="243"/>
      <c r="AF1346" s="243"/>
      <c r="AG1346" s="243"/>
      <c r="AH1346" s="243"/>
      <c r="AI1346" s="243"/>
      <c r="AJ1346" s="243"/>
    </row>
    <row r="1347" hidden="1">
      <c r="A1347" s="241"/>
      <c r="B1347" s="241"/>
      <c r="C1347" s="241"/>
      <c r="D1347" s="241"/>
      <c r="E1347" s="241"/>
      <c r="F1347" s="241"/>
      <c r="G1347" s="241"/>
      <c r="H1347" s="241"/>
      <c r="I1347" s="241"/>
      <c r="J1347" s="241"/>
      <c r="K1347" s="241"/>
      <c r="L1347" s="242"/>
      <c r="M1347" s="241"/>
      <c r="N1347" s="241"/>
      <c r="O1347" s="241"/>
      <c r="P1347" s="241"/>
      <c r="Q1347" s="241"/>
      <c r="R1347" s="241"/>
      <c r="S1347" s="241"/>
      <c r="T1347" s="241"/>
      <c r="U1347" s="241"/>
      <c r="V1347" s="241"/>
      <c r="W1347" s="241"/>
      <c r="X1347" s="243"/>
      <c r="Y1347" s="243"/>
      <c r="Z1347" s="243"/>
      <c r="AA1347" s="243"/>
      <c r="AB1347" s="243"/>
      <c r="AC1347" s="243"/>
      <c r="AD1347" s="243"/>
      <c r="AE1347" s="243"/>
      <c r="AF1347" s="243"/>
      <c r="AG1347" s="243"/>
      <c r="AH1347" s="243"/>
      <c r="AI1347" s="243"/>
      <c r="AJ1347" s="243"/>
    </row>
    <row r="1348" hidden="1">
      <c r="A1348" s="241"/>
      <c r="B1348" s="241"/>
      <c r="C1348" s="241"/>
      <c r="D1348" s="241"/>
      <c r="E1348" s="241"/>
      <c r="F1348" s="241"/>
      <c r="G1348" s="241"/>
      <c r="H1348" s="241"/>
      <c r="I1348" s="241"/>
      <c r="J1348" s="241"/>
      <c r="K1348" s="241"/>
      <c r="L1348" s="242"/>
      <c r="M1348" s="241"/>
      <c r="N1348" s="241"/>
      <c r="O1348" s="241"/>
      <c r="P1348" s="241"/>
      <c r="Q1348" s="241"/>
      <c r="R1348" s="241"/>
      <c r="S1348" s="241"/>
      <c r="T1348" s="241"/>
      <c r="U1348" s="241"/>
      <c r="V1348" s="241"/>
      <c r="W1348" s="241"/>
      <c r="X1348" s="243"/>
      <c r="Y1348" s="243"/>
      <c r="Z1348" s="243"/>
      <c r="AA1348" s="243"/>
      <c r="AB1348" s="243"/>
      <c r="AC1348" s="243"/>
      <c r="AD1348" s="243"/>
      <c r="AE1348" s="243"/>
      <c r="AF1348" s="243"/>
      <c r="AG1348" s="243"/>
      <c r="AH1348" s="243"/>
      <c r="AI1348" s="243"/>
      <c r="AJ1348" s="243"/>
    </row>
    <row r="1349" hidden="1">
      <c r="A1349" s="241"/>
      <c r="B1349" s="241"/>
      <c r="C1349" s="241"/>
      <c r="D1349" s="241"/>
      <c r="E1349" s="241"/>
      <c r="F1349" s="241"/>
      <c r="G1349" s="241"/>
      <c r="H1349" s="241"/>
      <c r="I1349" s="241"/>
      <c r="J1349" s="241"/>
      <c r="K1349" s="241"/>
      <c r="L1349" s="242"/>
      <c r="M1349" s="241"/>
      <c r="N1349" s="241"/>
      <c r="O1349" s="241"/>
      <c r="P1349" s="241"/>
      <c r="Q1349" s="241"/>
      <c r="R1349" s="241"/>
      <c r="S1349" s="241"/>
      <c r="T1349" s="241"/>
      <c r="U1349" s="241"/>
      <c r="V1349" s="241"/>
      <c r="W1349" s="241"/>
      <c r="X1349" s="243"/>
      <c r="Y1349" s="243"/>
      <c r="Z1349" s="243"/>
      <c r="AA1349" s="243"/>
      <c r="AB1349" s="243"/>
      <c r="AC1349" s="243"/>
      <c r="AD1349" s="243"/>
      <c r="AE1349" s="243"/>
      <c r="AF1349" s="243"/>
      <c r="AG1349" s="243"/>
      <c r="AH1349" s="243"/>
      <c r="AI1349" s="243"/>
      <c r="AJ1349" s="243"/>
    </row>
    <row r="1350" hidden="1">
      <c r="A1350" s="241"/>
      <c r="B1350" s="241"/>
      <c r="C1350" s="241"/>
      <c r="D1350" s="241"/>
      <c r="E1350" s="241"/>
      <c r="F1350" s="241"/>
      <c r="G1350" s="241"/>
      <c r="H1350" s="241"/>
      <c r="I1350" s="241"/>
      <c r="J1350" s="241"/>
      <c r="K1350" s="241"/>
      <c r="L1350" s="242"/>
      <c r="M1350" s="241"/>
      <c r="N1350" s="241"/>
      <c r="O1350" s="241"/>
      <c r="P1350" s="241"/>
      <c r="Q1350" s="241"/>
      <c r="R1350" s="241"/>
      <c r="S1350" s="241"/>
      <c r="T1350" s="241"/>
      <c r="U1350" s="241"/>
      <c r="V1350" s="241"/>
      <c r="W1350" s="241"/>
      <c r="X1350" s="243"/>
      <c r="Y1350" s="243"/>
      <c r="Z1350" s="243"/>
      <c r="AA1350" s="243"/>
      <c r="AB1350" s="243"/>
      <c r="AC1350" s="243"/>
      <c r="AD1350" s="243"/>
      <c r="AE1350" s="243"/>
      <c r="AF1350" s="243"/>
      <c r="AG1350" s="243"/>
      <c r="AH1350" s="243"/>
      <c r="AI1350" s="243"/>
      <c r="AJ1350" s="243"/>
    </row>
    <row r="1351" hidden="1">
      <c r="A1351" s="241"/>
      <c r="B1351" s="241"/>
      <c r="C1351" s="241"/>
      <c r="D1351" s="241"/>
      <c r="E1351" s="241"/>
      <c r="F1351" s="241"/>
      <c r="G1351" s="241"/>
      <c r="H1351" s="241"/>
      <c r="I1351" s="241"/>
      <c r="J1351" s="241"/>
      <c r="K1351" s="241"/>
      <c r="L1351" s="242"/>
      <c r="M1351" s="241"/>
      <c r="N1351" s="241"/>
      <c r="O1351" s="241"/>
      <c r="P1351" s="241"/>
      <c r="Q1351" s="241"/>
      <c r="R1351" s="241"/>
      <c r="S1351" s="241"/>
      <c r="T1351" s="241"/>
      <c r="U1351" s="241"/>
      <c r="V1351" s="241"/>
      <c r="W1351" s="241"/>
      <c r="X1351" s="243"/>
      <c r="Y1351" s="243"/>
      <c r="Z1351" s="243"/>
      <c r="AA1351" s="243"/>
      <c r="AB1351" s="243"/>
      <c r="AC1351" s="243"/>
      <c r="AD1351" s="243"/>
      <c r="AE1351" s="243"/>
      <c r="AF1351" s="243"/>
      <c r="AG1351" s="243"/>
      <c r="AH1351" s="243"/>
      <c r="AI1351" s="243"/>
      <c r="AJ1351" s="243"/>
    </row>
    <row r="1352" hidden="1">
      <c r="A1352" s="241"/>
      <c r="B1352" s="241"/>
      <c r="C1352" s="241"/>
      <c r="D1352" s="241"/>
      <c r="E1352" s="241"/>
      <c r="F1352" s="241"/>
      <c r="G1352" s="241"/>
      <c r="H1352" s="241"/>
      <c r="I1352" s="241"/>
      <c r="J1352" s="241"/>
      <c r="K1352" s="241"/>
      <c r="L1352" s="242"/>
      <c r="M1352" s="241"/>
      <c r="N1352" s="241"/>
      <c r="O1352" s="241"/>
      <c r="P1352" s="241"/>
      <c r="Q1352" s="241"/>
      <c r="R1352" s="241"/>
      <c r="S1352" s="241"/>
      <c r="T1352" s="241"/>
      <c r="U1352" s="241"/>
      <c r="V1352" s="241"/>
      <c r="W1352" s="241"/>
      <c r="X1352" s="243"/>
      <c r="Y1352" s="243"/>
      <c r="Z1352" s="243"/>
      <c r="AA1352" s="243"/>
      <c r="AB1352" s="243"/>
      <c r="AC1352" s="243"/>
      <c r="AD1352" s="243"/>
      <c r="AE1352" s="243"/>
      <c r="AF1352" s="243"/>
      <c r="AG1352" s="243"/>
      <c r="AH1352" s="243"/>
      <c r="AI1352" s="243"/>
      <c r="AJ1352" s="243"/>
    </row>
    <row r="1353" hidden="1">
      <c r="A1353" s="241"/>
      <c r="B1353" s="241"/>
      <c r="C1353" s="241"/>
      <c r="D1353" s="241"/>
      <c r="E1353" s="241"/>
      <c r="F1353" s="241"/>
      <c r="G1353" s="241"/>
      <c r="H1353" s="241"/>
      <c r="I1353" s="241"/>
      <c r="J1353" s="241"/>
      <c r="K1353" s="241"/>
      <c r="L1353" s="242"/>
      <c r="M1353" s="241"/>
      <c r="N1353" s="241"/>
      <c r="O1353" s="241"/>
      <c r="P1353" s="241"/>
      <c r="Q1353" s="241"/>
      <c r="R1353" s="241"/>
      <c r="S1353" s="241"/>
      <c r="T1353" s="241"/>
      <c r="U1353" s="241"/>
      <c r="V1353" s="241"/>
      <c r="W1353" s="241"/>
      <c r="X1353" s="243"/>
      <c r="Y1353" s="243"/>
      <c r="Z1353" s="243"/>
      <c r="AA1353" s="243"/>
      <c r="AB1353" s="243"/>
      <c r="AC1353" s="243"/>
      <c r="AD1353" s="243"/>
      <c r="AE1353" s="243"/>
      <c r="AF1353" s="243"/>
      <c r="AG1353" s="243"/>
      <c r="AH1353" s="243"/>
      <c r="AI1353" s="243"/>
      <c r="AJ1353" s="243"/>
    </row>
    <row r="1354" hidden="1">
      <c r="A1354" s="241"/>
      <c r="B1354" s="241"/>
      <c r="C1354" s="241"/>
      <c r="D1354" s="241"/>
      <c r="E1354" s="241"/>
      <c r="F1354" s="241"/>
      <c r="G1354" s="241"/>
      <c r="H1354" s="241"/>
      <c r="I1354" s="241"/>
      <c r="J1354" s="241"/>
      <c r="K1354" s="241"/>
      <c r="L1354" s="242"/>
      <c r="M1354" s="241"/>
      <c r="N1354" s="241"/>
      <c r="O1354" s="241"/>
      <c r="P1354" s="241"/>
      <c r="Q1354" s="241"/>
      <c r="R1354" s="241"/>
      <c r="S1354" s="241"/>
      <c r="T1354" s="241"/>
      <c r="U1354" s="241"/>
      <c r="V1354" s="241"/>
      <c r="W1354" s="241"/>
      <c r="X1354" s="243"/>
      <c r="Y1354" s="243"/>
      <c r="Z1354" s="243"/>
      <c r="AA1354" s="243"/>
      <c r="AB1354" s="243"/>
      <c r="AC1354" s="243"/>
      <c r="AD1354" s="243"/>
      <c r="AE1354" s="243"/>
      <c r="AF1354" s="243"/>
      <c r="AG1354" s="243"/>
      <c r="AH1354" s="243"/>
      <c r="AI1354" s="243"/>
      <c r="AJ1354" s="243"/>
    </row>
    <row r="1355" hidden="1">
      <c r="A1355" s="241"/>
      <c r="B1355" s="241"/>
      <c r="C1355" s="241"/>
      <c r="D1355" s="241"/>
      <c r="E1355" s="241"/>
      <c r="F1355" s="241"/>
      <c r="G1355" s="241"/>
      <c r="H1355" s="241"/>
      <c r="I1355" s="241"/>
      <c r="J1355" s="241"/>
      <c r="K1355" s="241"/>
      <c r="L1355" s="242"/>
      <c r="M1355" s="241"/>
      <c r="N1355" s="241"/>
      <c r="O1355" s="241"/>
      <c r="P1355" s="241"/>
      <c r="Q1355" s="241"/>
      <c r="R1355" s="241"/>
      <c r="S1355" s="241"/>
      <c r="T1355" s="241"/>
      <c r="U1355" s="241"/>
      <c r="V1355" s="241"/>
      <c r="W1355" s="241"/>
      <c r="X1355" s="243"/>
      <c r="Y1355" s="243"/>
      <c r="Z1355" s="243"/>
      <c r="AA1355" s="243"/>
      <c r="AB1355" s="243"/>
      <c r="AC1355" s="243"/>
      <c r="AD1355" s="243"/>
      <c r="AE1355" s="243"/>
      <c r="AF1355" s="243"/>
      <c r="AG1355" s="243"/>
      <c r="AH1355" s="243"/>
      <c r="AI1355" s="243"/>
      <c r="AJ1355" s="243"/>
    </row>
    <row r="1356" hidden="1">
      <c r="A1356" s="241"/>
      <c r="B1356" s="241"/>
      <c r="C1356" s="241"/>
      <c r="D1356" s="241"/>
      <c r="E1356" s="241"/>
      <c r="F1356" s="241"/>
      <c r="G1356" s="241"/>
      <c r="H1356" s="241"/>
      <c r="I1356" s="241"/>
      <c r="J1356" s="241"/>
      <c r="K1356" s="241"/>
      <c r="L1356" s="242"/>
      <c r="M1356" s="241"/>
      <c r="N1356" s="241"/>
      <c r="O1356" s="241"/>
      <c r="P1356" s="241"/>
      <c r="Q1356" s="241"/>
      <c r="R1356" s="241"/>
      <c r="S1356" s="241"/>
      <c r="T1356" s="241"/>
      <c r="U1356" s="241"/>
      <c r="V1356" s="241"/>
      <c r="W1356" s="241"/>
      <c r="X1356" s="243"/>
      <c r="Y1356" s="243"/>
      <c r="Z1356" s="243"/>
      <c r="AA1356" s="243"/>
      <c r="AB1356" s="243"/>
      <c r="AC1356" s="243"/>
      <c r="AD1356" s="243"/>
      <c r="AE1356" s="243"/>
      <c r="AF1356" s="243"/>
      <c r="AG1356" s="243"/>
      <c r="AH1356" s="243"/>
      <c r="AI1356" s="243"/>
      <c r="AJ1356" s="243"/>
    </row>
    <row r="1357" hidden="1">
      <c r="A1357" s="241"/>
      <c r="B1357" s="241"/>
      <c r="C1357" s="241"/>
      <c r="D1357" s="241"/>
      <c r="E1357" s="241"/>
      <c r="F1357" s="241"/>
      <c r="G1357" s="241"/>
      <c r="H1357" s="241"/>
      <c r="I1357" s="241"/>
      <c r="J1357" s="241"/>
      <c r="K1357" s="241"/>
      <c r="L1357" s="242"/>
      <c r="M1357" s="241"/>
      <c r="N1357" s="241"/>
      <c r="O1357" s="241"/>
      <c r="P1357" s="241"/>
      <c r="Q1357" s="241"/>
      <c r="R1357" s="241"/>
      <c r="S1357" s="241"/>
      <c r="T1357" s="241"/>
      <c r="U1357" s="241"/>
      <c r="V1357" s="241"/>
      <c r="W1357" s="241"/>
      <c r="X1357" s="243"/>
      <c r="Y1357" s="243"/>
      <c r="Z1357" s="243"/>
      <c r="AA1357" s="243"/>
      <c r="AB1357" s="243"/>
      <c r="AC1357" s="243"/>
      <c r="AD1357" s="243"/>
      <c r="AE1357" s="243"/>
      <c r="AF1357" s="243"/>
      <c r="AG1357" s="243"/>
      <c r="AH1357" s="243"/>
      <c r="AI1357" s="243"/>
      <c r="AJ1357" s="243"/>
    </row>
    <row r="1358" hidden="1">
      <c r="A1358" s="241"/>
      <c r="B1358" s="241"/>
      <c r="C1358" s="241"/>
      <c r="D1358" s="241"/>
      <c r="E1358" s="241"/>
      <c r="F1358" s="241"/>
      <c r="G1358" s="241"/>
      <c r="H1358" s="241"/>
      <c r="I1358" s="241"/>
      <c r="J1358" s="241"/>
      <c r="K1358" s="241"/>
      <c r="L1358" s="242"/>
      <c r="M1358" s="241"/>
      <c r="N1358" s="241"/>
      <c r="O1358" s="241"/>
      <c r="P1358" s="241"/>
      <c r="Q1358" s="241"/>
      <c r="R1358" s="241"/>
      <c r="S1358" s="241"/>
      <c r="T1358" s="241"/>
      <c r="U1358" s="241"/>
      <c r="V1358" s="241"/>
      <c r="W1358" s="241"/>
      <c r="X1358" s="243"/>
      <c r="Y1358" s="243"/>
      <c r="Z1358" s="243"/>
      <c r="AA1358" s="243"/>
      <c r="AB1358" s="243"/>
      <c r="AC1358" s="243"/>
      <c r="AD1358" s="243"/>
      <c r="AE1358" s="243"/>
      <c r="AF1358" s="243"/>
      <c r="AG1358" s="243"/>
      <c r="AH1358" s="243"/>
      <c r="AI1358" s="243"/>
      <c r="AJ1358" s="243"/>
    </row>
    <row r="1359" hidden="1">
      <c r="A1359" s="241"/>
      <c r="B1359" s="241"/>
      <c r="C1359" s="241"/>
      <c r="D1359" s="241"/>
      <c r="E1359" s="241"/>
      <c r="F1359" s="241"/>
      <c r="G1359" s="241"/>
      <c r="H1359" s="241"/>
      <c r="I1359" s="241"/>
      <c r="J1359" s="241"/>
      <c r="K1359" s="241"/>
      <c r="L1359" s="242"/>
      <c r="M1359" s="241"/>
      <c r="N1359" s="241"/>
      <c r="O1359" s="241"/>
      <c r="P1359" s="241"/>
      <c r="Q1359" s="241"/>
      <c r="R1359" s="241"/>
      <c r="S1359" s="241"/>
      <c r="T1359" s="241"/>
      <c r="U1359" s="241"/>
      <c r="V1359" s="241"/>
      <c r="W1359" s="241"/>
      <c r="X1359" s="243"/>
      <c r="Y1359" s="243"/>
      <c r="Z1359" s="243"/>
      <c r="AA1359" s="243"/>
      <c r="AB1359" s="243"/>
      <c r="AC1359" s="243"/>
      <c r="AD1359" s="243"/>
      <c r="AE1359" s="243"/>
      <c r="AF1359" s="243"/>
      <c r="AG1359" s="243"/>
      <c r="AH1359" s="243"/>
      <c r="AI1359" s="243"/>
      <c r="AJ1359" s="243"/>
    </row>
    <row r="1360" hidden="1">
      <c r="A1360" s="241"/>
      <c r="B1360" s="241"/>
      <c r="C1360" s="241"/>
      <c r="D1360" s="241"/>
      <c r="E1360" s="241"/>
      <c r="F1360" s="241"/>
      <c r="G1360" s="241"/>
      <c r="H1360" s="241"/>
      <c r="I1360" s="241"/>
      <c r="J1360" s="241"/>
      <c r="K1360" s="241"/>
      <c r="L1360" s="242"/>
      <c r="M1360" s="241"/>
      <c r="N1360" s="241"/>
      <c r="O1360" s="241"/>
      <c r="P1360" s="241"/>
      <c r="Q1360" s="241"/>
      <c r="R1360" s="241"/>
      <c r="S1360" s="241"/>
      <c r="T1360" s="241"/>
      <c r="U1360" s="241"/>
      <c r="V1360" s="241"/>
      <c r="W1360" s="241"/>
      <c r="X1360" s="243"/>
      <c r="Y1360" s="243"/>
      <c r="Z1360" s="243"/>
      <c r="AA1360" s="243"/>
      <c r="AB1360" s="243"/>
      <c r="AC1360" s="243"/>
      <c r="AD1360" s="243"/>
      <c r="AE1360" s="243"/>
      <c r="AF1360" s="243"/>
      <c r="AG1360" s="243"/>
      <c r="AH1360" s="243"/>
      <c r="AI1360" s="243"/>
      <c r="AJ1360" s="243"/>
    </row>
    <row r="1361" hidden="1">
      <c r="A1361" s="241"/>
      <c r="B1361" s="241"/>
      <c r="C1361" s="241"/>
      <c r="D1361" s="241"/>
      <c r="E1361" s="241"/>
      <c r="F1361" s="241"/>
      <c r="G1361" s="241"/>
      <c r="H1361" s="241"/>
      <c r="I1361" s="241"/>
      <c r="J1361" s="241"/>
      <c r="K1361" s="241"/>
      <c r="L1361" s="242"/>
      <c r="M1361" s="241"/>
      <c r="N1361" s="241"/>
      <c r="O1361" s="241"/>
      <c r="P1361" s="241"/>
      <c r="Q1361" s="241"/>
      <c r="R1361" s="241"/>
      <c r="S1361" s="241"/>
      <c r="T1361" s="241"/>
      <c r="U1361" s="241"/>
      <c r="V1361" s="241"/>
      <c r="W1361" s="241"/>
      <c r="X1361" s="243"/>
      <c r="Y1361" s="243"/>
      <c r="Z1361" s="243"/>
      <c r="AA1361" s="243"/>
      <c r="AB1361" s="243"/>
      <c r="AC1361" s="243"/>
      <c r="AD1361" s="243"/>
      <c r="AE1361" s="243"/>
      <c r="AF1361" s="243"/>
      <c r="AG1361" s="243"/>
      <c r="AH1361" s="243"/>
      <c r="AI1361" s="243"/>
      <c r="AJ1361" s="243"/>
    </row>
    <row r="1362" hidden="1">
      <c r="A1362" s="241"/>
      <c r="B1362" s="241"/>
      <c r="C1362" s="241"/>
      <c r="D1362" s="241"/>
      <c r="E1362" s="241"/>
      <c r="F1362" s="241"/>
      <c r="G1362" s="241"/>
      <c r="H1362" s="241"/>
      <c r="I1362" s="241"/>
      <c r="J1362" s="241"/>
      <c r="K1362" s="241"/>
      <c r="L1362" s="242"/>
      <c r="M1362" s="241"/>
      <c r="N1362" s="241"/>
      <c r="O1362" s="241"/>
      <c r="P1362" s="241"/>
      <c r="Q1362" s="241"/>
      <c r="R1362" s="241"/>
      <c r="S1362" s="241"/>
      <c r="T1362" s="241"/>
      <c r="U1362" s="241"/>
      <c r="V1362" s="241"/>
      <c r="W1362" s="241"/>
      <c r="X1362" s="243"/>
      <c r="Y1362" s="243"/>
      <c r="Z1362" s="243"/>
      <c r="AA1362" s="243"/>
      <c r="AB1362" s="243"/>
      <c r="AC1362" s="243"/>
      <c r="AD1362" s="243"/>
      <c r="AE1362" s="243"/>
      <c r="AF1362" s="243"/>
      <c r="AG1362" s="243"/>
      <c r="AH1362" s="243"/>
      <c r="AI1362" s="243"/>
      <c r="AJ1362" s="243"/>
    </row>
    <row r="1363" hidden="1">
      <c r="A1363" s="241"/>
      <c r="B1363" s="241"/>
      <c r="C1363" s="241"/>
      <c r="D1363" s="241"/>
      <c r="E1363" s="241"/>
      <c r="F1363" s="241"/>
      <c r="G1363" s="241"/>
      <c r="H1363" s="241"/>
      <c r="I1363" s="241"/>
      <c r="J1363" s="241"/>
      <c r="K1363" s="241"/>
      <c r="L1363" s="242"/>
      <c r="M1363" s="241"/>
      <c r="N1363" s="241"/>
      <c r="O1363" s="241"/>
      <c r="P1363" s="241"/>
      <c r="Q1363" s="241"/>
      <c r="R1363" s="241"/>
      <c r="S1363" s="241"/>
      <c r="T1363" s="241"/>
      <c r="U1363" s="241"/>
      <c r="V1363" s="241"/>
      <c r="W1363" s="241"/>
      <c r="X1363" s="243"/>
      <c r="Y1363" s="243"/>
      <c r="Z1363" s="243"/>
      <c r="AA1363" s="243"/>
      <c r="AB1363" s="243"/>
      <c r="AC1363" s="243"/>
      <c r="AD1363" s="243"/>
      <c r="AE1363" s="243"/>
      <c r="AF1363" s="243"/>
      <c r="AG1363" s="243"/>
      <c r="AH1363" s="243"/>
      <c r="AI1363" s="243"/>
      <c r="AJ1363" s="243"/>
    </row>
    <row r="1364" hidden="1">
      <c r="A1364" s="241"/>
      <c r="B1364" s="241"/>
      <c r="C1364" s="241"/>
      <c r="D1364" s="241"/>
      <c r="E1364" s="241"/>
      <c r="F1364" s="241"/>
      <c r="G1364" s="241"/>
      <c r="H1364" s="241"/>
      <c r="I1364" s="241"/>
      <c r="J1364" s="241"/>
      <c r="K1364" s="241"/>
      <c r="L1364" s="242"/>
      <c r="M1364" s="241"/>
      <c r="N1364" s="241"/>
      <c r="O1364" s="241"/>
      <c r="P1364" s="241"/>
      <c r="Q1364" s="241"/>
      <c r="R1364" s="241"/>
      <c r="S1364" s="241"/>
      <c r="T1364" s="241"/>
      <c r="U1364" s="241"/>
      <c r="V1364" s="241"/>
      <c r="W1364" s="241"/>
      <c r="X1364" s="243"/>
      <c r="Y1364" s="243"/>
      <c r="Z1364" s="243"/>
      <c r="AA1364" s="243"/>
      <c r="AB1364" s="243"/>
      <c r="AC1364" s="243"/>
      <c r="AD1364" s="243"/>
      <c r="AE1364" s="243"/>
      <c r="AF1364" s="243"/>
      <c r="AG1364" s="243"/>
      <c r="AH1364" s="243"/>
      <c r="AI1364" s="243"/>
      <c r="AJ1364" s="243"/>
    </row>
    <row r="1365" hidden="1">
      <c r="A1365" s="241"/>
      <c r="B1365" s="241"/>
      <c r="C1365" s="241"/>
      <c r="D1365" s="241"/>
      <c r="E1365" s="241"/>
      <c r="F1365" s="241"/>
      <c r="G1365" s="241"/>
      <c r="H1365" s="241"/>
      <c r="I1365" s="241"/>
      <c r="J1365" s="241"/>
      <c r="K1365" s="241"/>
      <c r="L1365" s="242"/>
      <c r="M1365" s="241"/>
      <c r="N1365" s="241"/>
      <c r="O1365" s="241"/>
      <c r="P1365" s="241"/>
      <c r="Q1365" s="241"/>
      <c r="R1365" s="241"/>
      <c r="S1365" s="241"/>
      <c r="T1365" s="241"/>
      <c r="U1365" s="241"/>
      <c r="V1365" s="241"/>
      <c r="W1365" s="241"/>
      <c r="X1365" s="243"/>
      <c r="Y1365" s="243"/>
      <c r="Z1365" s="243"/>
      <c r="AA1365" s="243"/>
      <c r="AB1365" s="243"/>
      <c r="AC1365" s="243"/>
      <c r="AD1365" s="243"/>
      <c r="AE1365" s="243"/>
      <c r="AF1365" s="243"/>
      <c r="AG1365" s="243"/>
      <c r="AH1365" s="243"/>
      <c r="AI1365" s="243"/>
      <c r="AJ1365" s="243"/>
    </row>
    <row r="1366" hidden="1">
      <c r="A1366" s="241"/>
      <c r="B1366" s="241"/>
      <c r="C1366" s="241"/>
      <c r="D1366" s="241"/>
      <c r="E1366" s="241"/>
      <c r="F1366" s="241"/>
      <c r="G1366" s="241"/>
      <c r="H1366" s="241"/>
      <c r="I1366" s="241"/>
      <c r="J1366" s="241"/>
      <c r="K1366" s="241"/>
      <c r="L1366" s="242"/>
      <c r="M1366" s="241"/>
      <c r="N1366" s="241"/>
      <c r="O1366" s="241"/>
      <c r="P1366" s="241"/>
      <c r="Q1366" s="241"/>
      <c r="R1366" s="241"/>
      <c r="S1366" s="241"/>
      <c r="T1366" s="241"/>
      <c r="U1366" s="241"/>
      <c r="V1366" s="241"/>
      <c r="W1366" s="241"/>
      <c r="X1366" s="243"/>
      <c r="Y1366" s="243"/>
      <c r="Z1366" s="243"/>
      <c r="AA1366" s="243"/>
      <c r="AB1366" s="243"/>
      <c r="AC1366" s="243"/>
      <c r="AD1366" s="243"/>
      <c r="AE1366" s="243"/>
      <c r="AF1366" s="243"/>
      <c r="AG1366" s="243"/>
      <c r="AH1366" s="243"/>
      <c r="AI1366" s="243"/>
      <c r="AJ1366" s="243"/>
    </row>
    <row r="1367" hidden="1">
      <c r="A1367" s="241"/>
      <c r="B1367" s="241"/>
      <c r="C1367" s="241"/>
      <c r="D1367" s="241"/>
      <c r="E1367" s="241"/>
      <c r="F1367" s="241"/>
      <c r="G1367" s="241"/>
      <c r="H1367" s="241"/>
      <c r="I1367" s="241"/>
      <c r="J1367" s="241"/>
      <c r="K1367" s="241"/>
      <c r="L1367" s="242"/>
      <c r="M1367" s="241"/>
      <c r="N1367" s="241"/>
      <c r="O1367" s="241"/>
      <c r="P1367" s="241"/>
      <c r="Q1367" s="241"/>
      <c r="R1367" s="241"/>
      <c r="S1367" s="241"/>
      <c r="T1367" s="241"/>
      <c r="U1367" s="241"/>
      <c r="V1367" s="241"/>
      <c r="W1367" s="241"/>
      <c r="X1367" s="243"/>
      <c r="Y1367" s="243"/>
      <c r="Z1367" s="243"/>
      <c r="AA1367" s="243"/>
      <c r="AB1367" s="243"/>
      <c r="AC1367" s="243"/>
      <c r="AD1367" s="243"/>
      <c r="AE1367" s="243"/>
      <c r="AF1367" s="243"/>
      <c r="AG1367" s="243"/>
      <c r="AH1367" s="243"/>
      <c r="AI1367" s="243"/>
      <c r="AJ1367" s="243"/>
    </row>
    <row r="1368" hidden="1">
      <c r="A1368" s="241"/>
      <c r="B1368" s="241"/>
      <c r="C1368" s="241"/>
      <c r="D1368" s="241"/>
      <c r="E1368" s="241"/>
      <c r="F1368" s="241"/>
      <c r="G1368" s="241"/>
      <c r="H1368" s="241"/>
      <c r="I1368" s="241"/>
      <c r="J1368" s="241"/>
      <c r="K1368" s="241"/>
      <c r="L1368" s="242"/>
      <c r="M1368" s="241"/>
      <c r="N1368" s="241"/>
      <c r="O1368" s="241"/>
      <c r="P1368" s="241"/>
      <c r="Q1368" s="241"/>
      <c r="R1368" s="241"/>
      <c r="S1368" s="241"/>
      <c r="T1368" s="241"/>
      <c r="U1368" s="241"/>
      <c r="V1368" s="241"/>
      <c r="W1368" s="241"/>
      <c r="X1368" s="243"/>
      <c r="Y1368" s="243"/>
      <c r="Z1368" s="243"/>
      <c r="AA1368" s="243"/>
      <c r="AB1368" s="243"/>
      <c r="AC1368" s="243"/>
      <c r="AD1368" s="243"/>
      <c r="AE1368" s="243"/>
      <c r="AF1368" s="243"/>
      <c r="AG1368" s="243"/>
      <c r="AH1368" s="243"/>
      <c r="AI1368" s="243"/>
      <c r="AJ1368" s="243"/>
    </row>
    <row r="1369" hidden="1">
      <c r="A1369" s="241"/>
      <c r="B1369" s="241"/>
      <c r="C1369" s="241"/>
      <c r="D1369" s="241"/>
      <c r="E1369" s="241"/>
      <c r="F1369" s="241"/>
      <c r="G1369" s="241"/>
      <c r="H1369" s="241"/>
      <c r="I1369" s="241"/>
      <c r="J1369" s="241"/>
      <c r="K1369" s="241"/>
      <c r="L1369" s="242"/>
      <c r="M1369" s="241"/>
      <c r="N1369" s="241"/>
      <c r="O1369" s="241"/>
      <c r="P1369" s="241"/>
      <c r="Q1369" s="241"/>
      <c r="R1369" s="241"/>
      <c r="S1369" s="241"/>
      <c r="T1369" s="241"/>
      <c r="U1369" s="241"/>
      <c r="V1369" s="241"/>
      <c r="W1369" s="241"/>
      <c r="X1369" s="243"/>
      <c r="Y1369" s="243"/>
      <c r="Z1369" s="243"/>
      <c r="AA1369" s="243"/>
      <c r="AB1369" s="243"/>
      <c r="AC1369" s="243"/>
      <c r="AD1369" s="243"/>
      <c r="AE1369" s="243"/>
      <c r="AF1369" s="243"/>
      <c r="AG1369" s="243"/>
      <c r="AH1369" s="243"/>
      <c r="AI1369" s="243"/>
      <c r="AJ1369" s="243"/>
    </row>
    <row r="1370" hidden="1">
      <c r="A1370" s="241"/>
      <c r="B1370" s="241"/>
      <c r="C1370" s="241"/>
      <c r="D1370" s="241"/>
      <c r="E1370" s="241"/>
      <c r="F1370" s="241"/>
      <c r="G1370" s="241"/>
      <c r="H1370" s="241"/>
      <c r="I1370" s="241"/>
      <c r="J1370" s="241"/>
      <c r="K1370" s="241"/>
      <c r="L1370" s="242"/>
      <c r="M1370" s="241"/>
      <c r="N1370" s="241"/>
      <c r="O1370" s="241"/>
      <c r="P1370" s="241"/>
      <c r="Q1370" s="241"/>
      <c r="R1370" s="241"/>
      <c r="S1370" s="241"/>
      <c r="T1370" s="241"/>
      <c r="U1370" s="241"/>
      <c r="V1370" s="241"/>
      <c r="W1370" s="241"/>
      <c r="X1370" s="243"/>
      <c r="Y1370" s="243"/>
      <c r="Z1370" s="243"/>
      <c r="AA1370" s="243"/>
      <c r="AB1370" s="243"/>
      <c r="AC1370" s="243"/>
      <c r="AD1370" s="243"/>
      <c r="AE1370" s="243"/>
      <c r="AF1370" s="243"/>
      <c r="AG1370" s="243"/>
      <c r="AH1370" s="243"/>
      <c r="AI1370" s="243"/>
      <c r="AJ1370" s="243"/>
    </row>
    <row r="1371" hidden="1">
      <c r="A1371" s="241"/>
      <c r="B1371" s="241"/>
      <c r="C1371" s="241"/>
      <c r="D1371" s="241"/>
      <c r="E1371" s="241"/>
      <c r="F1371" s="241"/>
      <c r="G1371" s="241"/>
      <c r="H1371" s="241"/>
      <c r="I1371" s="241"/>
      <c r="J1371" s="241"/>
      <c r="K1371" s="241"/>
      <c r="L1371" s="242"/>
      <c r="M1371" s="241"/>
      <c r="N1371" s="241"/>
      <c r="O1371" s="241"/>
      <c r="P1371" s="241"/>
      <c r="Q1371" s="241"/>
      <c r="R1371" s="241"/>
      <c r="S1371" s="241"/>
      <c r="T1371" s="241"/>
      <c r="U1371" s="241"/>
      <c r="V1371" s="241"/>
      <c r="W1371" s="241"/>
      <c r="X1371" s="243"/>
      <c r="Y1371" s="243"/>
      <c r="Z1371" s="243"/>
      <c r="AA1371" s="243"/>
      <c r="AB1371" s="243"/>
      <c r="AC1371" s="243"/>
      <c r="AD1371" s="243"/>
      <c r="AE1371" s="243"/>
      <c r="AF1371" s="243"/>
      <c r="AG1371" s="243"/>
      <c r="AH1371" s="243"/>
      <c r="AI1371" s="243"/>
      <c r="AJ1371" s="243"/>
    </row>
    <row r="1372" hidden="1">
      <c r="A1372" s="241"/>
      <c r="B1372" s="241"/>
      <c r="C1372" s="241"/>
      <c r="D1372" s="241"/>
      <c r="E1372" s="241"/>
      <c r="F1372" s="241"/>
      <c r="G1372" s="241"/>
      <c r="H1372" s="241"/>
      <c r="I1372" s="241"/>
      <c r="J1372" s="241"/>
      <c r="K1372" s="241"/>
      <c r="L1372" s="242"/>
      <c r="M1372" s="241"/>
      <c r="N1372" s="241"/>
      <c r="O1372" s="241"/>
      <c r="P1372" s="241"/>
      <c r="Q1372" s="241"/>
      <c r="R1372" s="241"/>
      <c r="S1372" s="241"/>
      <c r="T1372" s="241"/>
      <c r="U1372" s="241"/>
      <c r="V1372" s="241"/>
      <c r="W1372" s="241"/>
      <c r="X1372" s="243"/>
      <c r="Y1372" s="243"/>
      <c r="Z1372" s="243"/>
      <c r="AA1372" s="243"/>
      <c r="AB1372" s="243"/>
      <c r="AC1372" s="243"/>
      <c r="AD1372" s="243"/>
      <c r="AE1372" s="243"/>
      <c r="AF1372" s="243"/>
      <c r="AG1372" s="243"/>
      <c r="AH1372" s="243"/>
      <c r="AI1372" s="243"/>
      <c r="AJ1372" s="243"/>
    </row>
    <row r="1373" hidden="1">
      <c r="A1373" s="241"/>
      <c r="B1373" s="241"/>
      <c r="C1373" s="241"/>
      <c r="D1373" s="241"/>
      <c r="E1373" s="241"/>
      <c r="F1373" s="241"/>
      <c r="G1373" s="241"/>
      <c r="H1373" s="241"/>
      <c r="I1373" s="241"/>
      <c r="J1373" s="241"/>
      <c r="K1373" s="241"/>
      <c r="L1373" s="242"/>
      <c r="M1373" s="241"/>
      <c r="N1373" s="241"/>
      <c r="O1373" s="241"/>
      <c r="P1373" s="241"/>
      <c r="Q1373" s="241"/>
      <c r="R1373" s="241"/>
      <c r="S1373" s="241"/>
      <c r="T1373" s="241"/>
      <c r="U1373" s="241"/>
      <c r="V1373" s="241"/>
      <c r="W1373" s="241"/>
      <c r="X1373" s="243"/>
      <c r="Y1373" s="243"/>
      <c r="Z1373" s="243"/>
      <c r="AA1373" s="243"/>
      <c r="AB1373" s="243"/>
      <c r="AC1373" s="243"/>
      <c r="AD1373" s="243"/>
      <c r="AE1373" s="243"/>
      <c r="AF1373" s="243"/>
      <c r="AG1373" s="243"/>
      <c r="AH1373" s="243"/>
      <c r="AI1373" s="243"/>
      <c r="AJ1373" s="243"/>
    </row>
    <row r="1374" hidden="1">
      <c r="A1374" s="241"/>
      <c r="B1374" s="241"/>
      <c r="C1374" s="241"/>
      <c r="D1374" s="241"/>
      <c r="E1374" s="241"/>
      <c r="F1374" s="241"/>
      <c r="G1374" s="241"/>
      <c r="H1374" s="241"/>
      <c r="I1374" s="241"/>
      <c r="J1374" s="241"/>
      <c r="K1374" s="241"/>
      <c r="L1374" s="242"/>
      <c r="M1374" s="241"/>
      <c r="N1374" s="241"/>
      <c r="O1374" s="241"/>
      <c r="P1374" s="241"/>
      <c r="Q1374" s="241"/>
      <c r="R1374" s="241"/>
      <c r="S1374" s="241"/>
      <c r="T1374" s="241"/>
      <c r="U1374" s="241"/>
      <c r="V1374" s="241"/>
      <c r="W1374" s="241"/>
      <c r="X1374" s="243"/>
      <c r="Y1374" s="243"/>
      <c r="Z1374" s="243"/>
      <c r="AA1374" s="243"/>
      <c r="AB1374" s="243"/>
      <c r="AC1374" s="243"/>
      <c r="AD1374" s="243"/>
      <c r="AE1374" s="243"/>
      <c r="AF1374" s="243"/>
      <c r="AG1374" s="243"/>
      <c r="AH1374" s="243"/>
      <c r="AI1374" s="243"/>
      <c r="AJ1374" s="243"/>
    </row>
    <row r="1375" hidden="1">
      <c r="A1375" s="241"/>
      <c r="B1375" s="241"/>
      <c r="C1375" s="241"/>
      <c r="D1375" s="241"/>
      <c r="E1375" s="241"/>
      <c r="F1375" s="241"/>
      <c r="G1375" s="241"/>
      <c r="H1375" s="241"/>
      <c r="I1375" s="241"/>
      <c r="J1375" s="241"/>
      <c r="K1375" s="241"/>
      <c r="L1375" s="242"/>
      <c r="M1375" s="241"/>
      <c r="N1375" s="241"/>
      <c r="O1375" s="241"/>
      <c r="P1375" s="241"/>
      <c r="Q1375" s="241"/>
      <c r="R1375" s="241"/>
      <c r="S1375" s="241"/>
      <c r="T1375" s="241"/>
      <c r="U1375" s="241"/>
      <c r="V1375" s="241"/>
      <c r="W1375" s="241"/>
      <c r="X1375" s="243"/>
      <c r="Y1375" s="243"/>
      <c r="Z1375" s="243"/>
      <c r="AA1375" s="243"/>
      <c r="AB1375" s="243"/>
      <c r="AC1375" s="243"/>
      <c r="AD1375" s="243"/>
      <c r="AE1375" s="243"/>
      <c r="AF1375" s="243"/>
      <c r="AG1375" s="243"/>
      <c r="AH1375" s="243"/>
      <c r="AI1375" s="243"/>
      <c r="AJ1375" s="243"/>
    </row>
    <row r="1376" hidden="1">
      <c r="A1376" s="241"/>
      <c r="B1376" s="241"/>
      <c r="C1376" s="241"/>
      <c r="D1376" s="241"/>
      <c r="E1376" s="241"/>
      <c r="F1376" s="241"/>
      <c r="G1376" s="241"/>
      <c r="H1376" s="241"/>
      <c r="I1376" s="241"/>
      <c r="J1376" s="241"/>
      <c r="K1376" s="241"/>
      <c r="L1376" s="242"/>
      <c r="M1376" s="241"/>
      <c r="N1376" s="241"/>
      <c r="O1376" s="241"/>
      <c r="P1376" s="241"/>
      <c r="Q1376" s="241"/>
      <c r="R1376" s="241"/>
      <c r="S1376" s="241"/>
      <c r="T1376" s="241"/>
      <c r="U1376" s="241"/>
      <c r="V1376" s="241"/>
      <c r="W1376" s="241"/>
      <c r="X1376" s="243"/>
      <c r="Y1376" s="243"/>
      <c r="Z1376" s="243"/>
      <c r="AA1376" s="243"/>
      <c r="AB1376" s="243"/>
      <c r="AC1376" s="243"/>
      <c r="AD1376" s="243"/>
      <c r="AE1376" s="243"/>
      <c r="AF1376" s="243"/>
      <c r="AG1376" s="243"/>
      <c r="AH1376" s="243"/>
      <c r="AI1376" s="243"/>
      <c r="AJ1376" s="243"/>
    </row>
    <row r="1377" hidden="1">
      <c r="A1377" s="241"/>
      <c r="B1377" s="241"/>
      <c r="C1377" s="241"/>
      <c r="D1377" s="241"/>
      <c r="E1377" s="241"/>
      <c r="F1377" s="241"/>
      <c r="G1377" s="241"/>
      <c r="H1377" s="241"/>
      <c r="I1377" s="241"/>
      <c r="J1377" s="241"/>
      <c r="K1377" s="241"/>
      <c r="L1377" s="242"/>
      <c r="M1377" s="241"/>
      <c r="N1377" s="241"/>
      <c r="O1377" s="241"/>
      <c r="P1377" s="241"/>
      <c r="Q1377" s="241"/>
      <c r="R1377" s="241"/>
      <c r="S1377" s="241"/>
      <c r="T1377" s="241"/>
      <c r="U1377" s="241"/>
      <c r="V1377" s="241"/>
      <c r="W1377" s="241"/>
      <c r="X1377" s="243"/>
      <c r="Y1377" s="243"/>
      <c r="Z1377" s="243"/>
      <c r="AA1377" s="243"/>
      <c r="AB1377" s="243"/>
      <c r="AC1377" s="243"/>
      <c r="AD1377" s="243"/>
      <c r="AE1377" s="243"/>
      <c r="AF1377" s="243"/>
      <c r="AG1377" s="243"/>
      <c r="AH1377" s="243"/>
      <c r="AI1377" s="243"/>
      <c r="AJ1377" s="243"/>
    </row>
    <row r="1378" hidden="1">
      <c r="A1378" s="241"/>
      <c r="B1378" s="241"/>
      <c r="C1378" s="241"/>
      <c r="D1378" s="241"/>
      <c r="E1378" s="241"/>
      <c r="F1378" s="241"/>
      <c r="G1378" s="241"/>
      <c r="H1378" s="241"/>
      <c r="I1378" s="241"/>
      <c r="J1378" s="241"/>
      <c r="K1378" s="241"/>
      <c r="L1378" s="242"/>
      <c r="M1378" s="241"/>
      <c r="N1378" s="241"/>
      <c r="O1378" s="241"/>
      <c r="P1378" s="241"/>
      <c r="Q1378" s="241"/>
      <c r="R1378" s="241"/>
      <c r="S1378" s="241"/>
      <c r="T1378" s="241"/>
      <c r="U1378" s="241"/>
      <c r="V1378" s="241"/>
      <c r="W1378" s="241"/>
      <c r="X1378" s="243"/>
      <c r="Y1378" s="243"/>
      <c r="Z1378" s="243"/>
      <c r="AA1378" s="243"/>
      <c r="AB1378" s="243"/>
      <c r="AC1378" s="243"/>
      <c r="AD1378" s="243"/>
      <c r="AE1378" s="243"/>
      <c r="AF1378" s="243"/>
      <c r="AG1378" s="243"/>
      <c r="AH1378" s="243"/>
      <c r="AI1378" s="243"/>
      <c r="AJ1378" s="243"/>
    </row>
    <row r="1379" hidden="1">
      <c r="A1379" s="241"/>
      <c r="B1379" s="241"/>
      <c r="C1379" s="241"/>
      <c r="D1379" s="241"/>
      <c r="E1379" s="241"/>
      <c r="F1379" s="241"/>
      <c r="G1379" s="241"/>
      <c r="H1379" s="241"/>
      <c r="I1379" s="241"/>
      <c r="J1379" s="241"/>
      <c r="K1379" s="241"/>
      <c r="L1379" s="242"/>
      <c r="M1379" s="241"/>
      <c r="N1379" s="241"/>
      <c r="O1379" s="241"/>
      <c r="P1379" s="241"/>
      <c r="Q1379" s="241"/>
      <c r="R1379" s="241"/>
      <c r="S1379" s="241"/>
      <c r="T1379" s="241"/>
      <c r="U1379" s="241"/>
      <c r="V1379" s="241"/>
      <c r="W1379" s="241"/>
      <c r="X1379" s="243"/>
      <c r="Y1379" s="243"/>
      <c r="Z1379" s="243"/>
      <c r="AA1379" s="243"/>
      <c r="AB1379" s="243"/>
      <c r="AC1379" s="243"/>
      <c r="AD1379" s="243"/>
      <c r="AE1379" s="243"/>
      <c r="AF1379" s="243"/>
      <c r="AG1379" s="243"/>
      <c r="AH1379" s="243"/>
      <c r="AI1379" s="243"/>
      <c r="AJ1379" s="243"/>
    </row>
    <row r="1380" hidden="1">
      <c r="A1380" s="241"/>
      <c r="B1380" s="241"/>
      <c r="C1380" s="241"/>
      <c r="D1380" s="241"/>
      <c r="E1380" s="241"/>
      <c r="F1380" s="241"/>
      <c r="G1380" s="241"/>
      <c r="H1380" s="241"/>
      <c r="I1380" s="241"/>
      <c r="J1380" s="241"/>
      <c r="K1380" s="241"/>
      <c r="L1380" s="242"/>
      <c r="M1380" s="241"/>
      <c r="N1380" s="241"/>
      <c r="O1380" s="241"/>
      <c r="P1380" s="241"/>
      <c r="Q1380" s="241"/>
      <c r="R1380" s="241"/>
      <c r="S1380" s="241"/>
      <c r="T1380" s="241"/>
      <c r="U1380" s="241"/>
      <c r="V1380" s="241"/>
      <c r="W1380" s="241"/>
      <c r="X1380" s="243"/>
      <c r="Y1380" s="243"/>
      <c r="Z1380" s="243"/>
      <c r="AA1380" s="243"/>
      <c r="AB1380" s="243"/>
      <c r="AC1380" s="243"/>
      <c r="AD1380" s="243"/>
      <c r="AE1380" s="243"/>
      <c r="AF1380" s="243"/>
      <c r="AG1380" s="243"/>
      <c r="AH1380" s="243"/>
      <c r="AI1380" s="243"/>
      <c r="AJ1380" s="243"/>
    </row>
    <row r="1381" hidden="1">
      <c r="A1381" s="241"/>
      <c r="B1381" s="241"/>
      <c r="C1381" s="241"/>
      <c r="D1381" s="241"/>
      <c r="E1381" s="241"/>
      <c r="F1381" s="241"/>
      <c r="G1381" s="241"/>
      <c r="H1381" s="241"/>
      <c r="I1381" s="241"/>
      <c r="J1381" s="241"/>
      <c r="K1381" s="241"/>
      <c r="L1381" s="242"/>
      <c r="M1381" s="241"/>
      <c r="N1381" s="241"/>
      <c r="O1381" s="241"/>
      <c r="P1381" s="241"/>
      <c r="Q1381" s="241"/>
      <c r="R1381" s="241"/>
      <c r="S1381" s="241"/>
      <c r="T1381" s="241"/>
      <c r="U1381" s="241"/>
      <c r="V1381" s="241"/>
      <c r="W1381" s="241"/>
      <c r="X1381" s="243"/>
      <c r="Y1381" s="243"/>
      <c r="Z1381" s="243"/>
      <c r="AA1381" s="243"/>
      <c r="AB1381" s="243"/>
      <c r="AC1381" s="243"/>
      <c r="AD1381" s="243"/>
      <c r="AE1381" s="243"/>
      <c r="AF1381" s="243"/>
      <c r="AG1381" s="243"/>
      <c r="AH1381" s="243"/>
      <c r="AI1381" s="243"/>
      <c r="AJ1381" s="243"/>
    </row>
    <row r="1382" hidden="1">
      <c r="A1382" s="241"/>
      <c r="B1382" s="241"/>
      <c r="C1382" s="241"/>
      <c r="D1382" s="241"/>
      <c r="E1382" s="241"/>
      <c r="F1382" s="241"/>
      <c r="G1382" s="241"/>
      <c r="H1382" s="241"/>
      <c r="I1382" s="241"/>
      <c r="J1382" s="241"/>
      <c r="K1382" s="241"/>
      <c r="L1382" s="242"/>
      <c r="M1382" s="241"/>
      <c r="N1382" s="241"/>
      <c r="O1382" s="241"/>
      <c r="P1382" s="241"/>
      <c r="Q1382" s="241"/>
      <c r="R1382" s="241"/>
      <c r="S1382" s="241"/>
      <c r="T1382" s="241"/>
      <c r="U1382" s="241"/>
      <c r="V1382" s="241"/>
      <c r="W1382" s="241"/>
      <c r="X1382" s="243"/>
      <c r="Y1382" s="243"/>
      <c r="Z1382" s="243"/>
      <c r="AA1382" s="243"/>
      <c r="AB1382" s="243"/>
      <c r="AC1382" s="243"/>
      <c r="AD1382" s="243"/>
      <c r="AE1382" s="243"/>
      <c r="AF1382" s="243"/>
      <c r="AG1382" s="243"/>
      <c r="AH1382" s="243"/>
      <c r="AI1382" s="243"/>
      <c r="AJ1382" s="243"/>
    </row>
    <row r="1383" hidden="1">
      <c r="A1383" s="241"/>
      <c r="B1383" s="241"/>
      <c r="C1383" s="241"/>
      <c r="D1383" s="241"/>
      <c r="E1383" s="241"/>
      <c r="F1383" s="241"/>
      <c r="G1383" s="241"/>
      <c r="H1383" s="241"/>
      <c r="I1383" s="241"/>
      <c r="J1383" s="241"/>
      <c r="K1383" s="241"/>
      <c r="L1383" s="242"/>
      <c r="M1383" s="241"/>
      <c r="N1383" s="241"/>
      <c r="O1383" s="241"/>
      <c r="P1383" s="241"/>
      <c r="Q1383" s="241"/>
      <c r="R1383" s="241"/>
      <c r="S1383" s="241"/>
      <c r="T1383" s="241"/>
      <c r="U1383" s="241"/>
      <c r="V1383" s="241"/>
      <c r="W1383" s="241"/>
      <c r="X1383" s="243"/>
      <c r="Y1383" s="243"/>
      <c r="Z1383" s="243"/>
      <c r="AA1383" s="243"/>
      <c r="AB1383" s="243"/>
      <c r="AC1383" s="243"/>
      <c r="AD1383" s="243"/>
      <c r="AE1383" s="243"/>
      <c r="AF1383" s="243"/>
      <c r="AG1383" s="243"/>
      <c r="AH1383" s="243"/>
      <c r="AI1383" s="243"/>
      <c r="AJ1383" s="243"/>
    </row>
    <row r="1384" hidden="1">
      <c r="A1384" s="241"/>
      <c r="B1384" s="241"/>
      <c r="C1384" s="241"/>
      <c r="D1384" s="241"/>
      <c r="E1384" s="241"/>
      <c r="F1384" s="241"/>
      <c r="G1384" s="241"/>
      <c r="H1384" s="241"/>
      <c r="I1384" s="241"/>
      <c r="J1384" s="241"/>
      <c r="K1384" s="241"/>
      <c r="L1384" s="242"/>
      <c r="M1384" s="241"/>
      <c r="N1384" s="241"/>
      <c r="O1384" s="241"/>
      <c r="P1384" s="241"/>
      <c r="Q1384" s="241"/>
      <c r="R1384" s="241"/>
      <c r="S1384" s="241"/>
      <c r="T1384" s="241"/>
      <c r="U1384" s="241"/>
      <c r="V1384" s="241"/>
      <c r="W1384" s="241"/>
      <c r="X1384" s="243"/>
      <c r="Y1384" s="243"/>
      <c r="Z1384" s="243"/>
      <c r="AA1384" s="243"/>
      <c r="AB1384" s="243"/>
      <c r="AC1384" s="243"/>
      <c r="AD1384" s="243"/>
      <c r="AE1384" s="243"/>
      <c r="AF1384" s="243"/>
      <c r="AG1384" s="243"/>
      <c r="AH1384" s="243"/>
      <c r="AI1384" s="243"/>
      <c r="AJ1384" s="243"/>
    </row>
    <row r="1385" hidden="1">
      <c r="A1385" s="241"/>
      <c r="B1385" s="241"/>
      <c r="C1385" s="241"/>
      <c r="D1385" s="241"/>
      <c r="E1385" s="241"/>
      <c r="F1385" s="241"/>
      <c r="G1385" s="241"/>
      <c r="H1385" s="241"/>
      <c r="I1385" s="241"/>
      <c r="J1385" s="241"/>
      <c r="K1385" s="241"/>
      <c r="L1385" s="242"/>
      <c r="M1385" s="241"/>
      <c r="N1385" s="241"/>
      <c r="O1385" s="241"/>
      <c r="P1385" s="241"/>
      <c r="Q1385" s="241"/>
      <c r="R1385" s="241"/>
      <c r="S1385" s="241"/>
      <c r="T1385" s="241"/>
      <c r="U1385" s="241"/>
      <c r="V1385" s="241"/>
      <c r="W1385" s="241"/>
      <c r="X1385" s="243"/>
      <c r="Y1385" s="243"/>
      <c r="Z1385" s="243"/>
      <c r="AA1385" s="243"/>
      <c r="AB1385" s="243"/>
      <c r="AC1385" s="243"/>
      <c r="AD1385" s="243"/>
      <c r="AE1385" s="243"/>
      <c r="AF1385" s="243"/>
      <c r="AG1385" s="243"/>
      <c r="AH1385" s="243"/>
      <c r="AI1385" s="243"/>
      <c r="AJ1385" s="243"/>
    </row>
    <row r="1386" hidden="1">
      <c r="A1386" s="241"/>
      <c r="B1386" s="241"/>
      <c r="C1386" s="241"/>
      <c r="D1386" s="241"/>
      <c r="E1386" s="241"/>
      <c r="F1386" s="241"/>
      <c r="G1386" s="241"/>
      <c r="H1386" s="241"/>
      <c r="I1386" s="241"/>
      <c r="J1386" s="241"/>
      <c r="K1386" s="241"/>
      <c r="L1386" s="242"/>
      <c r="M1386" s="241"/>
      <c r="N1386" s="241"/>
      <c r="O1386" s="241"/>
      <c r="P1386" s="241"/>
      <c r="Q1386" s="241"/>
      <c r="R1386" s="241"/>
      <c r="S1386" s="241"/>
      <c r="T1386" s="241"/>
      <c r="U1386" s="241"/>
      <c r="V1386" s="241"/>
      <c r="W1386" s="241"/>
      <c r="X1386" s="243"/>
      <c r="Y1386" s="243"/>
      <c r="Z1386" s="243"/>
      <c r="AA1386" s="243"/>
      <c r="AB1386" s="243"/>
      <c r="AC1386" s="243"/>
      <c r="AD1386" s="243"/>
      <c r="AE1386" s="243"/>
      <c r="AF1386" s="243"/>
      <c r="AG1386" s="243"/>
      <c r="AH1386" s="243"/>
      <c r="AI1386" s="243"/>
      <c r="AJ1386" s="243"/>
    </row>
    <row r="1387" hidden="1">
      <c r="A1387" s="241"/>
      <c r="B1387" s="241"/>
      <c r="C1387" s="241"/>
      <c r="D1387" s="241"/>
      <c r="E1387" s="241"/>
      <c r="F1387" s="241"/>
      <c r="G1387" s="241"/>
      <c r="H1387" s="241"/>
      <c r="I1387" s="241"/>
      <c r="J1387" s="241"/>
      <c r="K1387" s="241"/>
      <c r="L1387" s="242"/>
      <c r="M1387" s="241"/>
      <c r="N1387" s="241"/>
      <c r="O1387" s="241"/>
      <c r="P1387" s="241"/>
      <c r="Q1387" s="241"/>
      <c r="R1387" s="241"/>
      <c r="S1387" s="241"/>
      <c r="T1387" s="241"/>
      <c r="U1387" s="241"/>
      <c r="V1387" s="241"/>
      <c r="W1387" s="241"/>
      <c r="X1387" s="243"/>
      <c r="Y1387" s="243"/>
      <c r="Z1387" s="243"/>
      <c r="AA1387" s="243"/>
      <c r="AB1387" s="243"/>
      <c r="AC1387" s="243"/>
      <c r="AD1387" s="243"/>
      <c r="AE1387" s="243"/>
      <c r="AF1387" s="243"/>
      <c r="AG1387" s="243"/>
      <c r="AH1387" s="243"/>
      <c r="AI1387" s="243"/>
      <c r="AJ1387" s="243"/>
    </row>
    <row r="1388" hidden="1">
      <c r="A1388" s="241"/>
      <c r="B1388" s="241"/>
      <c r="C1388" s="241"/>
      <c r="D1388" s="241"/>
      <c r="E1388" s="241"/>
      <c r="F1388" s="241"/>
      <c r="G1388" s="241"/>
      <c r="H1388" s="241"/>
      <c r="I1388" s="241"/>
      <c r="J1388" s="241"/>
      <c r="K1388" s="241"/>
      <c r="L1388" s="242"/>
      <c r="M1388" s="241"/>
      <c r="N1388" s="241"/>
      <c r="O1388" s="241"/>
      <c r="P1388" s="241"/>
      <c r="Q1388" s="241"/>
      <c r="R1388" s="241"/>
      <c r="S1388" s="241"/>
      <c r="T1388" s="241"/>
      <c r="U1388" s="241"/>
      <c r="V1388" s="241"/>
      <c r="W1388" s="241"/>
      <c r="X1388" s="243"/>
      <c r="Y1388" s="243"/>
      <c r="Z1388" s="243"/>
      <c r="AA1388" s="243"/>
      <c r="AB1388" s="243"/>
      <c r="AC1388" s="243"/>
      <c r="AD1388" s="243"/>
      <c r="AE1388" s="243"/>
      <c r="AF1388" s="243"/>
      <c r="AG1388" s="243"/>
      <c r="AH1388" s="243"/>
      <c r="AI1388" s="243"/>
      <c r="AJ1388" s="243"/>
    </row>
    <row r="1389" hidden="1">
      <c r="A1389" s="241"/>
      <c r="B1389" s="241"/>
      <c r="C1389" s="241"/>
      <c r="D1389" s="241"/>
      <c r="E1389" s="241"/>
      <c r="F1389" s="241"/>
      <c r="G1389" s="241"/>
      <c r="H1389" s="241"/>
      <c r="I1389" s="241"/>
      <c r="J1389" s="241"/>
      <c r="K1389" s="241"/>
      <c r="L1389" s="242"/>
      <c r="M1389" s="241"/>
      <c r="N1389" s="241"/>
      <c r="O1389" s="241"/>
      <c r="P1389" s="241"/>
      <c r="Q1389" s="241"/>
      <c r="R1389" s="241"/>
      <c r="S1389" s="241"/>
      <c r="T1389" s="241"/>
      <c r="U1389" s="241"/>
      <c r="V1389" s="241"/>
      <c r="W1389" s="241"/>
      <c r="X1389" s="243"/>
      <c r="Y1389" s="243"/>
      <c r="Z1389" s="243"/>
      <c r="AA1389" s="243"/>
      <c r="AB1389" s="243"/>
      <c r="AC1389" s="243"/>
      <c r="AD1389" s="243"/>
      <c r="AE1389" s="243"/>
      <c r="AF1389" s="243"/>
      <c r="AG1389" s="243"/>
      <c r="AH1389" s="243"/>
      <c r="AI1389" s="243"/>
      <c r="AJ1389" s="243"/>
    </row>
    <row r="1390" hidden="1">
      <c r="A1390" s="241"/>
      <c r="B1390" s="241"/>
      <c r="C1390" s="241"/>
      <c r="D1390" s="241"/>
      <c r="E1390" s="241"/>
      <c r="F1390" s="241"/>
      <c r="G1390" s="241"/>
      <c r="H1390" s="241"/>
      <c r="I1390" s="241"/>
      <c r="J1390" s="241"/>
      <c r="K1390" s="241"/>
      <c r="L1390" s="242"/>
      <c r="M1390" s="241"/>
      <c r="N1390" s="241"/>
      <c r="O1390" s="241"/>
      <c r="P1390" s="241"/>
      <c r="Q1390" s="241"/>
      <c r="R1390" s="241"/>
      <c r="S1390" s="241"/>
      <c r="T1390" s="241"/>
      <c r="U1390" s="241"/>
      <c r="V1390" s="241"/>
      <c r="W1390" s="241"/>
      <c r="X1390" s="243"/>
      <c r="Y1390" s="243"/>
      <c r="Z1390" s="243"/>
      <c r="AA1390" s="243"/>
      <c r="AB1390" s="243"/>
      <c r="AC1390" s="243"/>
      <c r="AD1390" s="243"/>
      <c r="AE1390" s="243"/>
      <c r="AF1390" s="243"/>
      <c r="AG1390" s="243"/>
      <c r="AH1390" s="243"/>
      <c r="AI1390" s="243"/>
      <c r="AJ1390" s="243"/>
    </row>
    <row r="1391" hidden="1">
      <c r="A1391" s="241"/>
      <c r="B1391" s="241"/>
      <c r="C1391" s="241"/>
      <c r="D1391" s="241"/>
      <c r="E1391" s="241"/>
      <c r="F1391" s="241"/>
      <c r="G1391" s="241"/>
      <c r="H1391" s="241"/>
      <c r="I1391" s="241"/>
      <c r="J1391" s="241"/>
      <c r="K1391" s="241"/>
      <c r="L1391" s="242"/>
      <c r="M1391" s="241"/>
      <c r="N1391" s="241"/>
      <c r="O1391" s="241"/>
      <c r="P1391" s="241"/>
      <c r="Q1391" s="241"/>
      <c r="R1391" s="241"/>
      <c r="S1391" s="241"/>
      <c r="T1391" s="241"/>
      <c r="U1391" s="241"/>
      <c r="V1391" s="241"/>
      <c r="W1391" s="241"/>
      <c r="X1391" s="243"/>
      <c r="Y1391" s="243"/>
      <c r="Z1391" s="243"/>
      <c r="AA1391" s="243"/>
      <c r="AB1391" s="243"/>
      <c r="AC1391" s="243"/>
      <c r="AD1391" s="243"/>
      <c r="AE1391" s="243"/>
      <c r="AF1391" s="243"/>
      <c r="AG1391" s="243"/>
      <c r="AH1391" s="243"/>
      <c r="AI1391" s="243"/>
      <c r="AJ1391" s="243"/>
    </row>
    <row r="1392" hidden="1">
      <c r="A1392" s="241"/>
      <c r="B1392" s="241"/>
      <c r="C1392" s="241"/>
      <c r="D1392" s="241"/>
      <c r="E1392" s="241"/>
      <c r="F1392" s="241"/>
      <c r="G1392" s="241"/>
      <c r="H1392" s="241"/>
      <c r="I1392" s="241"/>
      <c r="J1392" s="241"/>
      <c r="K1392" s="241"/>
      <c r="L1392" s="242"/>
      <c r="M1392" s="241"/>
      <c r="N1392" s="241"/>
      <c r="O1392" s="241"/>
      <c r="P1392" s="241"/>
      <c r="Q1392" s="241"/>
      <c r="R1392" s="241"/>
      <c r="S1392" s="241"/>
      <c r="T1392" s="241"/>
      <c r="U1392" s="241"/>
      <c r="V1392" s="241"/>
      <c r="W1392" s="241"/>
      <c r="X1392" s="243"/>
      <c r="Y1392" s="243"/>
      <c r="Z1392" s="243"/>
      <c r="AA1392" s="243"/>
      <c r="AB1392" s="243"/>
      <c r="AC1392" s="243"/>
      <c r="AD1392" s="243"/>
      <c r="AE1392" s="243"/>
      <c r="AF1392" s="243"/>
      <c r="AG1392" s="243"/>
      <c r="AH1392" s="243"/>
      <c r="AI1392" s="243"/>
      <c r="AJ1392" s="243"/>
    </row>
    <row r="1393" hidden="1">
      <c r="A1393" s="241"/>
      <c r="B1393" s="241"/>
      <c r="C1393" s="241"/>
      <c r="D1393" s="241"/>
      <c r="E1393" s="241"/>
      <c r="F1393" s="241"/>
      <c r="G1393" s="241"/>
      <c r="H1393" s="241"/>
      <c r="I1393" s="241"/>
      <c r="J1393" s="241"/>
      <c r="K1393" s="241"/>
      <c r="L1393" s="242"/>
      <c r="M1393" s="241"/>
      <c r="N1393" s="241"/>
      <c r="O1393" s="241"/>
      <c r="P1393" s="241"/>
      <c r="Q1393" s="241"/>
      <c r="R1393" s="241"/>
      <c r="S1393" s="241"/>
      <c r="T1393" s="241"/>
      <c r="U1393" s="241"/>
      <c r="V1393" s="241"/>
      <c r="W1393" s="241"/>
      <c r="X1393" s="243"/>
      <c r="Y1393" s="243"/>
      <c r="Z1393" s="243"/>
      <c r="AA1393" s="243"/>
      <c r="AB1393" s="243"/>
      <c r="AC1393" s="243"/>
      <c r="AD1393" s="243"/>
      <c r="AE1393" s="243"/>
      <c r="AF1393" s="243"/>
      <c r="AG1393" s="243"/>
      <c r="AH1393" s="243"/>
      <c r="AI1393" s="243"/>
      <c r="AJ1393" s="243"/>
    </row>
    <row r="1394" hidden="1">
      <c r="A1394" s="241"/>
      <c r="B1394" s="241"/>
      <c r="C1394" s="241"/>
      <c r="D1394" s="241"/>
      <c r="E1394" s="241"/>
      <c r="F1394" s="241"/>
      <c r="G1394" s="241"/>
      <c r="H1394" s="241"/>
      <c r="I1394" s="241"/>
      <c r="J1394" s="241"/>
      <c r="K1394" s="241"/>
      <c r="L1394" s="242"/>
      <c r="M1394" s="241"/>
      <c r="N1394" s="241"/>
      <c r="O1394" s="241"/>
      <c r="P1394" s="241"/>
      <c r="Q1394" s="241"/>
      <c r="R1394" s="241"/>
      <c r="S1394" s="241"/>
      <c r="T1394" s="241"/>
      <c r="U1394" s="241"/>
      <c r="V1394" s="241"/>
      <c r="W1394" s="241"/>
      <c r="X1394" s="243"/>
      <c r="Y1394" s="243"/>
      <c r="Z1394" s="243"/>
      <c r="AA1394" s="243"/>
      <c r="AB1394" s="243"/>
      <c r="AC1394" s="243"/>
      <c r="AD1394" s="243"/>
      <c r="AE1394" s="243"/>
      <c r="AF1394" s="243"/>
      <c r="AG1394" s="243"/>
      <c r="AH1394" s="243"/>
      <c r="AI1394" s="243"/>
      <c r="AJ1394" s="243"/>
    </row>
    <row r="1395" hidden="1">
      <c r="A1395" s="241"/>
      <c r="B1395" s="241"/>
      <c r="C1395" s="241"/>
      <c r="D1395" s="241"/>
      <c r="E1395" s="241"/>
      <c r="F1395" s="241"/>
      <c r="G1395" s="241"/>
      <c r="H1395" s="241"/>
      <c r="I1395" s="241"/>
      <c r="J1395" s="241"/>
      <c r="K1395" s="241"/>
      <c r="L1395" s="242"/>
      <c r="M1395" s="241"/>
      <c r="N1395" s="241"/>
      <c r="O1395" s="241"/>
      <c r="P1395" s="241"/>
      <c r="Q1395" s="241"/>
      <c r="R1395" s="241"/>
      <c r="S1395" s="241"/>
      <c r="T1395" s="241"/>
      <c r="U1395" s="241"/>
      <c r="V1395" s="241"/>
      <c r="W1395" s="241"/>
      <c r="X1395" s="243"/>
      <c r="Y1395" s="243"/>
      <c r="Z1395" s="243"/>
      <c r="AA1395" s="243"/>
      <c r="AB1395" s="243"/>
      <c r="AC1395" s="243"/>
      <c r="AD1395" s="243"/>
      <c r="AE1395" s="243"/>
      <c r="AF1395" s="243"/>
      <c r="AG1395" s="243"/>
      <c r="AH1395" s="243"/>
      <c r="AI1395" s="243"/>
      <c r="AJ1395" s="243"/>
    </row>
    <row r="1396" hidden="1">
      <c r="A1396" s="241"/>
      <c r="B1396" s="241"/>
      <c r="C1396" s="241"/>
      <c r="D1396" s="241"/>
      <c r="E1396" s="241"/>
      <c r="F1396" s="241"/>
      <c r="G1396" s="241"/>
      <c r="H1396" s="241"/>
      <c r="I1396" s="241"/>
      <c r="J1396" s="241"/>
      <c r="K1396" s="241"/>
      <c r="L1396" s="242"/>
      <c r="M1396" s="241"/>
      <c r="N1396" s="241"/>
      <c r="O1396" s="241"/>
      <c r="P1396" s="241"/>
      <c r="Q1396" s="241"/>
      <c r="R1396" s="241"/>
      <c r="S1396" s="241"/>
      <c r="T1396" s="241"/>
      <c r="U1396" s="241"/>
      <c r="V1396" s="241"/>
      <c r="W1396" s="241"/>
      <c r="X1396" s="243"/>
      <c r="Y1396" s="243"/>
      <c r="Z1396" s="243"/>
      <c r="AA1396" s="243"/>
      <c r="AB1396" s="243"/>
      <c r="AC1396" s="243"/>
      <c r="AD1396" s="243"/>
      <c r="AE1396" s="243"/>
      <c r="AF1396" s="243"/>
      <c r="AG1396" s="243"/>
      <c r="AH1396" s="243"/>
      <c r="AI1396" s="243"/>
      <c r="AJ1396" s="243"/>
    </row>
    <row r="1397" hidden="1">
      <c r="A1397" s="241"/>
      <c r="B1397" s="241"/>
      <c r="C1397" s="241"/>
      <c r="D1397" s="241"/>
      <c r="E1397" s="241"/>
      <c r="F1397" s="241"/>
      <c r="G1397" s="241"/>
      <c r="H1397" s="241"/>
      <c r="I1397" s="241"/>
      <c r="J1397" s="241"/>
      <c r="K1397" s="241"/>
      <c r="L1397" s="242"/>
      <c r="M1397" s="241"/>
      <c r="N1397" s="241"/>
      <c r="O1397" s="241"/>
      <c r="P1397" s="241"/>
      <c r="Q1397" s="241"/>
      <c r="R1397" s="241"/>
      <c r="S1397" s="241"/>
      <c r="T1397" s="241"/>
      <c r="U1397" s="241"/>
      <c r="V1397" s="241"/>
      <c r="W1397" s="241"/>
      <c r="X1397" s="243"/>
      <c r="Y1397" s="243"/>
      <c r="Z1397" s="243"/>
      <c r="AA1397" s="243"/>
      <c r="AB1397" s="243"/>
      <c r="AC1397" s="243"/>
      <c r="AD1397" s="243"/>
      <c r="AE1397" s="243"/>
      <c r="AF1397" s="243"/>
      <c r="AG1397" s="243"/>
      <c r="AH1397" s="243"/>
      <c r="AI1397" s="243"/>
      <c r="AJ1397" s="243"/>
    </row>
    <row r="1398" hidden="1">
      <c r="A1398" s="241"/>
      <c r="B1398" s="241"/>
      <c r="C1398" s="241"/>
      <c r="D1398" s="241"/>
      <c r="E1398" s="241"/>
      <c r="F1398" s="241"/>
      <c r="G1398" s="241"/>
      <c r="H1398" s="241"/>
      <c r="I1398" s="241"/>
      <c r="J1398" s="241"/>
      <c r="K1398" s="241"/>
      <c r="L1398" s="242"/>
      <c r="M1398" s="241"/>
      <c r="N1398" s="241"/>
      <c r="O1398" s="241"/>
      <c r="P1398" s="241"/>
      <c r="Q1398" s="241"/>
      <c r="R1398" s="241"/>
      <c r="S1398" s="241"/>
      <c r="T1398" s="241"/>
      <c r="U1398" s="241"/>
      <c r="V1398" s="241"/>
      <c r="W1398" s="241"/>
      <c r="X1398" s="243"/>
      <c r="Y1398" s="243"/>
      <c r="Z1398" s="243"/>
      <c r="AA1398" s="243"/>
      <c r="AB1398" s="243"/>
      <c r="AC1398" s="243"/>
      <c r="AD1398" s="243"/>
      <c r="AE1398" s="243"/>
      <c r="AF1398" s="243"/>
      <c r="AG1398" s="243"/>
      <c r="AH1398" s="243"/>
      <c r="AI1398" s="243"/>
      <c r="AJ1398" s="243"/>
    </row>
    <row r="1399" hidden="1">
      <c r="A1399" s="241"/>
      <c r="B1399" s="241"/>
      <c r="C1399" s="241"/>
      <c r="D1399" s="241"/>
      <c r="E1399" s="241"/>
      <c r="F1399" s="241"/>
      <c r="G1399" s="241"/>
      <c r="H1399" s="241"/>
      <c r="I1399" s="241"/>
      <c r="J1399" s="241"/>
      <c r="K1399" s="241"/>
      <c r="L1399" s="242"/>
      <c r="M1399" s="241"/>
      <c r="N1399" s="241"/>
      <c r="O1399" s="241"/>
      <c r="P1399" s="241"/>
      <c r="Q1399" s="241"/>
      <c r="R1399" s="241"/>
      <c r="S1399" s="241"/>
      <c r="T1399" s="241"/>
      <c r="U1399" s="241"/>
      <c r="V1399" s="241"/>
      <c r="W1399" s="241"/>
      <c r="X1399" s="243"/>
      <c r="Y1399" s="243"/>
      <c r="Z1399" s="243"/>
      <c r="AA1399" s="243"/>
      <c r="AB1399" s="243"/>
      <c r="AC1399" s="243"/>
      <c r="AD1399" s="243"/>
      <c r="AE1399" s="243"/>
      <c r="AF1399" s="243"/>
      <c r="AG1399" s="243"/>
      <c r="AH1399" s="243"/>
      <c r="AI1399" s="243"/>
      <c r="AJ1399" s="243"/>
    </row>
    <row r="1400" hidden="1">
      <c r="A1400" s="241"/>
      <c r="B1400" s="241"/>
      <c r="C1400" s="241"/>
      <c r="D1400" s="241"/>
      <c r="E1400" s="241"/>
      <c r="F1400" s="241"/>
      <c r="G1400" s="241"/>
      <c r="H1400" s="241"/>
      <c r="I1400" s="241"/>
      <c r="J1400" s="241"/>
      <c r="K1400" s="241"/>
      <c r="L1400" s="242"/>
      <c r="M1400" s="241"/>
      <c r="N1400" s="241"/>
      <c r="O1400" s="241"/>
      <c r="P1400" s="241"/>
      <c r="Q1400" s="241"/>
      <c r="R1400" s="241"/>
      <c r="S1400" s="241"/>
      <c r="T1400" s="241"/>
      <c r="U1400" s="241"/>
      <c r="V1400" s="241"/>
      <c r="W1400" s="241"/>
      <c r="X1400" s="243"/>
      <c r="Y1400" s="243"/>
      <c r="Z1400" s="243"/>
      <c r="AA1400" s="243"/>
      <c r="AB1400" s="243"/>
      <c r="AC1400" s="243"/>
      <c r="AD1400" s="243"/>
      <c r="AE1400" s="243"/>
      <c r="AF1400" s="243"/>
      <c r="AG1400" s="243"/>
      <c r="AH1400" s="243"/>
      <c r="AI1400" s="243"/>
      <c r="AJ1400" s="243"/>
    </row>
    <row r="1401" hidden="1">
      <c r="A1401" s="241"/>
      <c r="B1401" s="241"/>
      <c r="C1401" s="241"/>
      <c r="D1401" s="241"/>
      <c r="E1401" s="241"/>
      <c r="F1401" s="241"/>
      <c r="G1401" s="241"/>
      <c r="H1401" s="241"/>
      <c r="I1401" s="241"/>
      <c r="J1401" s="241"/>
      <c r="K1401" s="241"/>
      <c r="L1401" s="242"/>
      <c r="M1401" s="241"/>
      <c r="N1401" s="241"/>
      <c r="O1401" s="241"/>
      <c r="P1401" s="241"/>
      <c r="Q1401" s="241"/>
      <c r="R1401" s="241"/>
      <c r="S1401" s="241"/>
      <c r="T1401" s="241"/>
      <c r="U1401" s="241"/>
      <c r="V1401" s="241"/>
      <c r="W1401" s="241"/>
      <c r="X1401" s="243"/>
      <c r="Y1401" s="243"/>
      <c r="Z1401" s="243"/>
      <c r="AA1401" s="243"/>
      <c r="AB1401" s="243"/>
      <c r="AC1401" s="243"/>
      <c r="AD1401" s="243"/>
      <c r="AE1401" s="243"/>
      <c r="AF1401" s="243"/>
      <c r="AG1401" s="243"/>
      <c r="AH1401" s="243"/>
      <c r="AI1401" s="243"/>
      <c r="AJ1401" s="243"/>
    </row>
    <row r="1402" hidden="1">
      <c r="A1402" s="241"/>
      <c r="B1402" s="241"/>
      <c r="C1402" s="241"/>
      <c r="D1402" s="241"/>
      <c r="E1402" s="241"/>
      <c r="F1402" s="241"/>
      <c r="G1402" s="241"/>
      <c r="H1402" s="241"/>
      <c r="I1402" s="241"/>
      <c r="J1402" s="241"/>
      <c r="K1402" s="241"/>
      <c r="L1402" s="242"/>
      <c r="M1402" s="241"/>
      <c r="N1402" s="241"/>
      <c r="O1402" s="241"/>
      <c r="P1402" s="241"/>
      <c r="Q1402" s="241"/>
      <c r="R1402" s="241"/>
      <c r="S1402" s="241"/>
      <c r="T1402" s="241"/>
      <c r="U1402" s="241"/>
      <c r="V1402" s="241"/>
      <c r="W1402" s="241"/>
      <c r="X1402" s="243"/>
      <c r="Y1402" s="243"/>
      <c r="Z1402" s="243"/>
      <c r="AA1402" s="243"/>
      <c r="AB1402" s="243"/>
      <c r="AC1402" s="243"/>
      <c r="AD1402" s="243"/>
      <c r="AE1402" s="243"/>
      <c r="AF1402" s="243"/>
      <c r="AG1402" s="243"/>
      <c r="AH1402" s="243"/>
      <c r="AI1402" s="243"/>
      <c r="AJ1402" s="243"/>
    </row>
    <row r="1403" hidden="1">
      <c r="A1403" s="241"/>
      <c r="B1403" s="241"/>
      <c r="C1403" s="241"/>
      <c r="D1403" s="241"/>
      <c r="E1403" s="241"/>
      <c r="F1403" s="241"/>
      <c r="G1403" s="241"/>
      <c r="H1403" s="241"/>
      <c r="I1403" s="241"/>
      <c r="J1403" s="241"/>
      <c r="K1403" s="241"/>
      <c r="L1403" s="242"/>
      <c r="M1403" s="241"/>
      <c r="N1403" s="241"/>
      <c r="O1403" s="241"/>
      <c r="P1403" s="241"/>
      <c r="Q1403" s="241"/>
      <c r="R1403" s="241"/>
      <c r="S1403" s="241"/>
      <c r="T1403" s="241"/>
      <c r="U1403" s="241"/>
      <c r="V1403" s="241"/>
      <c r="W1403" s="241"/>
      <c r="X1403" s="243"/>
      <c r="Y1403" s="243"/>
      <c r="Z1403" s="243"/>
      <c r="AA1403" s="243"/>
      <c r="AB1403" s="243"/>
      <c r="AC1403" s="243"/>
      <c r="AD1403" s="243"/>
      <c r="AE1403" s="243"/>
      <c r="AF1403" s="243"/>
      <c r="AG1403" s="243"/>
      <c r="AH1403" s="243"/>
      <c r="AI1403" s="243"/>
      <c r="AJ1403" s="243"/>
    </row>
    <row r="1404" hidden="1">
      <c r="A1404" s="241"/>
      <c r="B1404" s="241"/>
      <c r="C1404" s="241"/>
      <c r="D1404" s="241"/>
      <c r="E1404" s="241"/>
      <c r="F1404" s="241"/>
      <c r="G1404" s="241"/>
      <c r="H1404" s="241"/>
      <c r="I1404" s="241"/>
      <c r="J1404" s="241"/>
      <c r="K1404" s="241"/>
      <c r="L1404" s="242"/>
      <c r="M1404" s="241"/>
      <c r="N1404" s="241"/>
      <c r="O1404" s="241"/>
      <c r="P1404" s="241"/>
      <c r="Q1404" s="241"/>
      <c r="R1404" s="241"/>
      <c r="S1404" s="241"/>
      <c r="T1404" s="241"/>
      <c r="U1404" s="241"/>
      <c r="V1404" s="241"/>
      <c r="W1404" s="241"/>
      <c r="X1404" s="243"/>
      <c r="Y1404" s="243"/>
      <c r="Z1404" s="243"/>
      <c r="AA1404" s="243"/>
      <c r="AB1404" s="243"/>
      <c r="AC1404" s="243"/>
      <c r="AD1404" s="243"/>
      <c r="AE1404" s="243"/>
      <c r="AF1404" s="243"/>
      <c r="AG1404" s="243"/>
      <c r="AH1404" s="243"/>
      <c r="AI1404" s="243"/>
      <c r="AJ1404" s="243"/>
    </row>
    <row r="1405" hidden="1">
      <c r="A1405" s="241"/>
      <c r="B1405" s="241"/>
      <c r="C1405" s="241"/>
      <c r="D1405" s="241"/>
      <c r="E1405" s="241"/>
      <c r="F1405" s="241"/>
      <c r="G1405" s="241"/>
      <c r="H1405" s="241"/>
      <c r="I1405" s="241"/>
      <c r="J1405" s="241"/>
      <c r="K1405" s="241"/>
      <c r="L1405" s="242"/>
      <c r="M1405" s="241"/>
      <c r="N1405" s="241"/>
      <c r="O1405" s="241"/>
      <c r="P1405" s="241"/>
      <c r="Q1405" s="241"/>
      <c r="R1405" s="241"/>
      <c r="S1405" s="241"/>
      <c r="T1405" s="241"/>
      <c r="U1405" s="241"/>
      <c r="V1405" s="241"/>
      <c r="W1405" s="241"/>
      <c r="X1405" s="243"/>
      <c r="Y1405" s="243"/>
      <c r="Z1405" s="243"/>
      <c r="AA1405" s="243"/>
      <c r="AB1405" s="243"/>
      <c r="AC1405" s="243"/>
      <c r="AD1405" s="243"/>
      <c r="AE1405" s="243"/>
      <c r="AF1405" s="243"/>
      <c r="AG1405" s="243"/>
      <c r="AH1405" s="243"/>
      <c r="AI1405" s="243"/>
      <c r="AJ1405" s="243"/>
    </row>
    <row r="1406" hidden="1">
      <c r="A1406" s="241"/>
      <c r="B1406" s="241"/>
      <c r="C1406" s="241"/>
      <c r="D1406" s="241"/>
      <c r="E1406" s="241"/>
      <c r="F1406" s="241"/>
      <c r="G1406" s="241"/>
      <c r="H1406" s="241"/>
      <c r="I1406" s="241"/>
      <c r="J1406" s="241"/>
      <c r="K1406" s="241"/>
      <c r="L1406" s="242"/>
      <c r="M1406" s="241"/>
      <c r="N1406" s="241"/>
      <c r="O1406" s="241"/>
      <c r="P1406" s="241"/>
      <c r="Q1406" s="241"/>
      <c r="R1406" s="241"/>
      <c r="S1406" s="241"/>
      <c r="T1406" s="241"/>
      <c r="U1406" s="241"/>
      <c r="V1406" s="241"/>
      <c r="W1406" s="241"/>
      <c r="X1406" s="243"/>
      <c r="Y1406" s="243"/>
      <c r="Z1406" s="243"/>
      <c r="AA1406" s="243"/>
      <c r="AB1406" s="243"/>
      <c r="AC1406" s="243"/>
      <c r="AD1406" s="243"/>
      <c r="AE1406" s="243"/>
      <c r="AF1406" s="243"/>
      <c r="AG1406" s="243"/>
      <c r="AH1406" s="243"/>
      <c r="AI1406" s="243"/>
      <c r="AJ1406" s="243"/>
    </row>
    <row r="1407" hidden="1">
      <c r="A1407" s="241"/>
      <c r="B1407" s="241"/>
      <c r="C1407" s="241"/>
      <c r="D1407" s="241"/>
      <c r="E1407" s="241"/>
      <c r="F1407" s="241"/>
      <c r="G1407" s="241"/>
      <c r="H1407" s="241"/>
      <c r="I1407" s="241"/>
      <c r="J1407" s="241"/>
      <c r="K1407" s="241"/>
      <c r="L1407" s="242"/>
      <c r="M1407" s="241"/>
      <c r="N1407" s="241"/>
      <c r="O1407" s="241"/>
      <c r="P1407" s="241"/>
      <c r="Q1407" s="241"/>
      <c r="R1407" s="241"/>
      <c r="S1407" s="241"/>
      <c r="T1407" s="241"/>
      <c r="U1407" s="241"/>
      <c r="V1407" s="241"/>
      <c r="W1407" s="241"/>
      <c r="X1407" s="243"/>
      <c r="Y1407" s="243"/>
      <c r="Z1407" s="243"/>
      <c r="AA1407" s="243"/>
      <c r="AB1407" s="243"/>
      <c r="AC1407" s="243"/>
      <c r="AD1407" s="243"/>
      <c r="AE1407" s="243"/>
      <c r="AF1407" s="243"/>
      <c r="AG1407" s="243"/>
      <c r="AH1407" s="243"/>
      <c r="AI1407" s="243"/>
      <c r="AJ1407" s="243"/>
    </row>
    <row r="1408" hidden="1">
      <c r="A1408" s="241"/>
      <c r="B1408" s="241"/>
      <c r="C1408" s="241"/>
      <c r="D1408" s="241"/>
      <c r="E1408" s="241"/>
      <c r="F1408" s="241"/>
      <c r="G1408" s="241"/>
      <c r="H1408" s="241"/>
      <c r="I1408" s="241"/>
      <c r="J1408" s="241"/>
      <c r="K1408" s="241"/>
      <c r="L1408" s="242"/>
      <c r="M1408" s="241"/>
      <c r="N1408" s="241"/>
      <c r="O1408" s="241"/>
      <c r="P1408" s="241"/>
      <c r="Q1408" s="241"/>
      <c r="R1408" s="241"/>
      <c r="S1408" s="241"/>
      <c r="T1408" s="241"/>
      <c r="U1408" s="241"/>
      <c r="V1408" s="241"/>
      <c r="W1408" s="241"/>
      <c r="X1408" s="243"/>
      <c r="Y1408" s="243"/>
      <c r="Z1408" s="243"/>
      <c r="AA1408" s="243"/>
      <c r="AB1408" s="243"/>
      <c r="AC1408" s="243"/>
      <c r="AD1408" s="243"/>
      <c r="AE1408" s="243"/>
      <c r="AF1408" s="243"/>
      <c r="AG1408" s="243"/>
      <c r="AH1408" s="243"/>
      <c r="AI1408" s="243"/>
      <c r="AJ1408" s="243"/>
    </row>
    <row r="1409" hidden="1">
      <c r="A1409" s="241"/>
      <c r="B1409" s="241"/>
      <c r="C1409" s="241"/>
      <c r="D1409" s="241"/>
      <c r="E1409" s="241"/>
      <c r="F1409" s="241"/>
      <c r="G1409" s="241"/>
      <c r="H1409" s="241"/>
      <c r="I1409" s="241"/>
      <c r="J1409" s="241"/>
      <c r="K1409" s="241"/>
      <c r="L1409" s="242"/>
      <c r="M1409" s="241"/>
      <c r="N1409" s="241"/>
      <c r="O1409" s="241"/>
      <c r="P1409" s="241"/>
      <c r="Q1409" s="241"/>
      <c r="R1409" s="241"/>
      <c r="S1409" s="241"/>
      <c r="T1409" s="241"/>
      <c r="U1409" s="241"/>
      <c r="V1409" s="241"/>
      <c r="W1409" s="241"/>
      <c r="X1409" s="243"/>
      <c r="Y1409" s="243"/>
      <c r="Z1409" s="243"/>
      <c r="AA1409" s="243"/>
      <c r="AB1409" s="243"/>
      <c r="AC1409" s="243"/>
      <c r="AD1409" s="243"/>
      <c r="AE1409" s="243"/>
      <c r="AF1409" s="243"/>
      <c r="AG1409" s="243"/>
      <c r="AH1409" s="243"/>
      <c r="AI1409" s="243"/>
      <c r="AJ1409" s="243"/>
    </row>
    <row r="1410" hidden="1">
      <c r="A1410" s="241"/>
      <c r="B1410" s="241"/>
      <c r="C1410" s="241"/>
      <c r="D1410" s="241"/>
      <c r="E1410" s="241"/>
      <c r="F1410" s="241"/>
      <c r="G1410" s="241"/>
      <c r="H1410" s="241"/>
      <c r="I1410" s="241"/>
      <c r="J1410" s="241"/>
      <c r="K1410" s="241"/>
      <c r="L1410" s="242"/>
      <c r="M1410" s="241"/>
      <c r="N1410" s="241"/>
      <c r="O1410" s="241"/>
      <c r="P1410" s="241"/>
      <c r="Q1410" s="241"/>
      <c r="R1410" s="241"/>
      <c r="S1410" s="241"/>
      <c r="T1410" s="241"/>
      <c r="U1410" s="241"/>
      <c r="V1410" s="241"/>
      <c r="W1410" s="241"/>
      <c r="X1410" s="243"/>
      <c r="Y1410" s="243"/>
      <c r="Z1410" s="243"/>
      <c r="AA1410" s="243"/>
      <c r="AB1410" s="243"/>
      <c r="AC1410" s="243"/>
      <c r="AD1410" s="243"/>
      <c r="AE1410" s="243"/>
      <c r="AF1410" s="243"/>
      <c r="AG1410" s="243"/>
      <c r="AH1410" s="243"/>
      <c r="AI1410" s="243"/>
      <c r="AJ1410" s="243"/>
    </row>
    <row r="1411" hidden="1">
      <c r="A1411" s="241"/>
      <c r="B1411" s="241"/>
      <c r="C1411" s="241"/>
      <c r="D1411" s="241"/>
      <c r="E1411" s="241"/>
      <c r="F1411" s="241"/>
      <c r="G1411" s="241"/>
      <c r="H1411" s="241"/>
      <c r="I1411" s="241"/>
      <c r="J1411" s="241"/>
      <c r="K1411" s="241"/>
      <c r="L1411" s="242"/>
      <c r="M1411" s="241"/>
      <c r="N1411" s="241"/>
      <c r="O1411" s="241"/>
      <c r="P1411" s="241"/>
      <c r="Q1411" s="241"/>
      <c r="R1411" s="241"/>
      <c r="S1411" s="241"/>
      <c r="T1411" s="241"/>
      <c r="U1411" s="241"/>
      <c r="V1411" s="241"/>
      <c r="W1411" s="241"/>
      <c r="X1411" s="243"/>
      <c r="Y1411" s="243"/>
      <c r="Z1411" s="243"/>
      <c r="AA1411" s="243"/>
      <c r="AB1411" s="243"/>
      <c r="AC1411" s="243"/>
      <c r="AD1411" s="243"/>
      <c r="AE1411" s="243"/>
      <c r="AF1411" s="243"/>
      <c r="AG1411" s="243"/>
      <c r="AH1411" s="243"/>
      <c r="AI1411" s="243"/>
      <c r="AJ1411" s="243"/>
    </row>
    <row r="1412" hidden="1">
      <c r="A1412" s="241"/>
      <c r="B1412" s="241"/>
      <c r="C1412" s="241"/>
      <c r="D1412" s="241"/>
      <c r="E1412" s="241"/>
      <c r="F1412" s="241"/>
      <c r="G1412" s="241"/>
      <c r="H1412" s="241"/>
      <c r="I1412" s="241"/>
      <c r="J1412" s="241"/>
      <c r="K1412" s="241"/>
      <c r="L1412" s="242"/>
      <c r="M1412" s="241"/>
      <c r="N1412" s="241"/>
      <c r="O1412" s="241"/>
      <c r="P1412" s="241"/>
      <c r="Q1412" s="241"/>
      <c r="R1412" s="241"/>
      <c r="S1412" s="241"/>
      <c r="T1412" s="241"/>
      <c r="U1412" s="241"/>
      <c r="V1412" s="241"/>
      <c r="W1412" s="241"/>
      <c r="X1412" s="243"/>
      <c r="Y1412" s="243"/>
      <c r="Z1412" s="243"/>
      <c r="AA1412" s="243"/>
      <c r="AB1412" s="243"/>
      <c r="AC1412" s="243"/>
      <c r="AD1412" s="243"/>
      <c r="AE1412" s="243"/>
      <c r="AF1412" s="243"/>
      <c r="AG1412" s="243"/>
      <c r="AH1412" s="243"/>
      <c r="AI1412" s="243"/>
      <c r="AJ1412" s="243"/>
    </row>
    <row r="1413" hidden="1">
      <c r="A1413" s="241"/>
      <c r="B1413" s="241"/>
      <c r="C1413" s="241"/>
      <c r="D1413" s="241"/>
      <c r="E1413" s="241"/>
      <c r="F1413" s="241"/>
      <c r="G1413" s="241"/>
      <c r="H1413" s="241"/>
      <c r="I1413" s="241"/>
      <c r="J1413" s="241"/>
      <c r="K1413" s="241"/>
      <c r="L1413" s="242"/>
      <c r="M1413" s="241"/>
      <c r="N1413" s="241"/>
      <c r="O1413" s="241"/>
      <c r="P1413" s="241"/>
      <c r="Q1413" s="241"/>
      <c r="R1413" s="241"/>
      <c r="S1413" s="241"/>
      <c r="T1413" s="241"/>
      <c r="U1413" s="241"/>
      <c r="V1413" s="241"/>
      <c r="W1413" s="241"/>
      <c r="X1413" s="243"/>
      <c r="Y1413" s="243"/>
      <c r="Z1413" s="243"/>
      <c r="AA1413" s="243"/>
      <c r="AB1413" s="243"/>
      <c r="AC1413" s="243"/>
      <c r="AD1413" s="243"/>
      <c r="AE1413" s="243"/>
      <c r="AF1413" s="243"/>
      <c r="AG1413" s="243"/>
      <c r="AH1413" s="243"/>
      <c r="AI1413" s="243"/>
      <c r="AJ1413" s="243"/>
    </row>
    <row r="1414" hidden="1">
      <c r="A1414" s="241"/>
      <c r="B1414" s="241"/>
      <c r="C1414" s="241"/>
      <c r="D1414" s="241"/>
      <c r="E1414" s="241"/>
      <c r="F1414" s="241"/>
      <c r="G1414" s="241"/>
      <c r="H1414" s="241"/>
      <c r="I1414" s="241"/>
      <c r="J1414" s="241"/>
      <c r="K1414" s="241"/>
      <c r="L1414" s="242"/>
      <c r="M1414" s="241"/>
      <c r="N1414" s="241"/>
      <c r="O1414" s="241"/>
      <c r="P1414" s="241"/>
      <c r="Q1414" s="241"/>
      <c r="R1414" s="241"/>
      <c r="S1414" s="241"/>
      <c r="T1414" s="241"/>
      <c r="U1414" s="241"/>
      <c r="V1414" s="241"/>
      <c r="W1414" s="241"/>
      <c r="X1414" s="243"/>
      <c r="Y1414" s="243"/>
      <c r="Z1414" s="243"/>
      <c r="AA1414" s="243"/>
      <c r="AB1414" s="243"/>
      <c r="AC1414" s="243"/>
      <c r="AD1414" s="243"/>
      <c r="AE1414" s="243"/>
      <c r="AF1414" s="243"/>
      <c r="AG1414" s="243"/>
      <c r="AH1414" s="243"/>
      <c r="AI1414" s="243"/>
      <c r="AJ1414" s="243"/>
    </row>
    <row r="1415" hidden="1">
      <c r="A1415" s="241"/>
      <c r="B1415" s="241"/>
      <c r="C1415" s="241"/>
      <c r="D1415" s="241"/>
      <c r="E1415" s="241"/>
      <c r="F1415" s="241"/>
      <c r="G1415" s="241"/>
      <c r="H1415" s="241"/>
      <c r="I1415" s="241"/>
      <c r="J1415" s="241"/>
      <c r="K1415" s="241"/>
      <c r="L1415" s="242"/>
      <c r="M1415" s="241"/>
      <c r="N1415" s="241"/>
      <c r="O1415" s="241"/>
      <c r="P1415" s="241"/>
      <c r="Q1415" s="241"/>
      <c r="R1415" s="241"/>
      <c r="S1415" s="241"/>
      <c r="T1415" s="241"/>
      <c r="U1415" s="241"/>
      <c r="V1415" s="241"/>
      <c r="W1415" s="241"/>
      <c r="X1415" s="243"/>
      <c r="Y1415" s="243"/>
      <c r="Z1415" s="243"/>
      <c r="AA1415" s="243"/>
      <c r="AB1415" s="243"/>
      <c r="AC1415" s="243"/>
      <c r="AD1415" s="243"/>
      <c r="AE1415" s="243"/>
      <c r="AF1415" s="243"/>
      <c r="AG1415" s="243"/>
      <c r="AH1415" s="243"/>
      <c r="AI1415" s="243"/>
      <c r="AJ1415" s="243"/>
    </row>
    <row r="1416" hidden="1">
      <c r="A1416" s="241"/>
      <c r="B1416" s="241"/>
      <c r="C1416" s="241"/>
      <c r="D1416" s="241"/>
      <c r="E1416" s="241"/>
      <c r="F1416" s="241"/>
      <c r="G1416" s="241"/>
      <c r="H1416" s="241"/>
      <c r="I1416" s="241"/>
      <c r="J1416" s="241"/>
      <c r="K1416" s="241"/>
      <c r="L1416" s="242"/>
      <c r="M1416" s="241"/>
      <c r="N1416" s="241"/>
      <c r="O1416" s="241"/>
      <c r="P1416" s="241"/>
      <c r="Q1416" s="241"/>
      <c r="R1416" s="241"/>
      <c r="S1416" s="241"/>
      <c r="T1416" s="241"/>
      <c r="U1416" s="241"/>
      <c r="V1416" s="241"/>
      <c r="W1416" s="241"/>
      <c r="X1416" s="243"/>
      <c r="Y1416" s="243"/>
      <c r="Z1416" s="243"/>
      <c r="AA1416" s="243"/>
      <c r="AB1416" s="243"/>
      <c r="AC1416" s="243"/>
      <c r="AD1416" s="243"/>
      <c r="AE1416" s="243"/>
      <c r="AF1416" s="243"/>
      <c r="AG1416" s="243"/>
      <c r="AH1416" s="243"/>
      <c r="AI1416" s="243"/>
      <c r="AJ1416" s="243"/>
    </row>
    <row r="1417" hidden="1">
      <c r="A1417" s="241"/>
      <c r="B1417" s="241"/>
      <c r="C1417" s="241"/>
      <c r="D1417" s="241"/>
      <c r="E1417" s="241"/>
      <c r="F1417" s="241"/>
      <c r="G1417" s="241"/>
      <c r="H1417" s="241"/>
      <c r="I1417" s="241"/>
      <c r="J1417" s="241"/>
      <c r="K1417" s="241"/>
      <c r="L1417" s="242"/>
      <c r="M1417" s="241"/>
      <c r="N1417" s="241"/>
      <c r="O1417" s="241"/>
      <c r="P1417" s="241"/>
      <c r="Q1417" s="241"/>
      <c r="R1417" s="241"/>
      <c r="S1417" s="241"/>
      <c r="T1417" s="241"/>
      <c r="U1417" s="241"/>
      <c r="V1417" s="241"/>
      <c r="W1417" s="241"/>
      <c r="X1417" s="243"/>
      <c r="Y1417" s="243"/>
      <c r="Z1417" s="243"/>
      <c r="AA1417" s="243"/>
      <c r="AB1417" s="243"/>
      <c r="AC1417" s="243"/>
      <c r="AD1417" s="243"/>
      <c r="AE1417" s="243"/>
      <c r="AF1417" s="243"/>
      <c r="AG1417" s="243"/>
      <c r="AH1417" s="243"/>
      <c r="AI1417" s="243"/>
      <c r="AJ1417" s="243"/>
    </row>
    <row r="1418" hidden="1">
      <c r="A1418" s="241"/>
      <c r="B1418" s="241"/>
      <c r="C1418" s="241"/>
      <c r="D1418" s="241"/>
      <c r="E1418" s="241"/>
      <c r="F1418" s="241"/>
      <c r="G1418" s="241"/>
      <c r="H1418" s="241"/>
      <c r="I1418" s="241"/>
      <c r="J1418" s="241"/>
      <c r="K1418" s="241"/>
      <c r="L1418" s="242"/>
      <c r="M1418" s="241"/>
      <c r="N1418" s="241"/>
      <c r="O1418" s="241"/>
      <c r="P1418" s="241"/>
      <c r="Q1418" s="241"/>
      <c r="R1418" s="241"/>
      <c r="S1418" s="241"/>
      <c r="T1418" s="241"/>
      <c r="U1418" s="241"/>
      <c r="V1418" s="241"/>
      <c r="W1418" s="241"/>
      <c r="X1418" s="243"/>
      <c r="Y1418" s="243"/>
      <c r="Z1418" s="243"/>
      <c r="AA1418" s="243"/>
      <c r="AB1418" s="243"/>
      <c r="AC1418" s="243"/>
      <c r="AD1418" s="243"/>
      <c r="AE1418" s="243"/>
      <c r="AF1418" s="243"/>
      <c r="AG1418" s="243"/>
      <c r="AH1418" s="243"/>
      <c r="AI1418" s="243"/>
      <c r="AJ1418" s="243"/>
    </row>
    <row r="1419" hidden="1">
      <c r="A1419" s="241"/>
      <c r="B1419" s="241"/>
      <c r="C1419" s="241"/>
      <c r="D1419" s="241"/>
      <c r="E1419" s="241"/>
      <c r="F1419" s="241"/>
      <c r="G1419" s="241"/>
      <c r="H1419" s="241"/>
      <c r="I1419" s="241"/>
      <c r="J1419" s="241"/>
      <c r="K1419" s="241"/>
      <c r="L1419" s="242"/>
      <c r="M1419" s="241"/>
      <c r="N1419" s="241"/>
      <c r="O1419" s="241"/>
      <c r="P1419" s="241"/>
      <c r="Q1419" s="241"/>
      <c r="R1419" s="241"/>
      <c r="S1419" s="241"/>
      <c r="T1419" s="241"/>
      <c r="U1419" s="241"/>
      <c r="V1419" s="241"/>
      <c r="W1419" s="241"/>
      <c r="X1419" s="243"/>
      <c r="Y1419" s="243"/>
      <c r="Z1419" s="243"/>
      <c r="AA1419" s="243"/>
      <c r="AB1419" s="243"/>
      <c r="AC1419" s="243"/>
      <c r="AD1419" s="243"/>
      <c r="AE1419" s="243"/>
      <c r="AF1419" s="243"/>
      <c r="AG1419" s="243"/>
      <c r="AH1419" s="243"/>
      <c r="AI1419" s="243"/>
      <c r="AJ1419" s="243"/>
    </row>
    <row r="1420" hidden="1">
      <c r="A1420" s="241"/>
      <c r="B1420" s="241"/>
      <c r="C1420" s="241"/>
      <c r="D1420" s="241"/>
      <c r="E1420" s="241"/>
      <c r="F1420" s="241"/>
      <c r="G1420" s="241"/>
      <c r="H1420" s="241"/>
      <c r="I1420" s="241"/>
      <c r="J1420" s="241"/>
      <c r="K1420" s="241"/>
      <c r="L1420" s="242"/>
      <c r="M1420" s="241"/>
      <c r="N1420" s="241"/>
      <c r="O1420" s="241"/>
      <c r="P1420" s="241"/>
      <c r="Q1420" s="241"/>
      <c r="R1420" s="241"/>
      <c r="S1420" s="241"/>
      <c r="T1420" s="241"/>
      <c r="U1420" s="241"/>
      <c r="V1420" s="241"/>
      <c r="W1420" s="241"/>
      <c r="X1420" s="243"/>
      <c r="Y1420" s="243"/>
      <c r="Z1420" s="243"/>
      <c r="AA1420" s="243"/>
      <c r="AB1420" s="243"/>
      <c r="AC1420" s="243"/>
      <c r="AD1420" s="243"/>
      <c r="AE1420" s="243"/>
      <c r="AF1420" s="243"/>
      <c r="AG1420" s="243"/>
      <c r="AH1420" s="243"/>
      <c r="AI1420" s="243"/>
      <c r="AJ1420" s="243"/>
    </row>
    <row r="1421" hidden="1">
      <c r="A1421" s="241"/>
      <c r="B1421" s="241"/>
      <c r="C1421" s="241"/>
      <c r="D1421" s="241"/>
      <c r="E1421" s="241"/>
      <c r="F1421" s="241"/>
      <c r="G1421" s="241"/>
      <c r="H1421" s="241"/>
      <c r="I1421" s="241"/>
      <c r="J1421" s="241"/>
      <c r="K1421" s="241"/>
      <c r="L1421" s="242"/>
      <c r="M1421" s="241"/>
      <c r="N1421" s="241"/>
      <c r="O1421" s="241"/>
      <c r="P1421" s="241"/>
      <c r="Q1421" s="241"/>
      <c r="R1421" s="241"/>
      <c r="S1421" s="241"/>
      <c r="T1421" s="241"/>
      <c r="U1421" s="241"/>
      <c r="V1421" s="241"/>
      <c r="W1421" s="241"/>
      <c r="X1421" s="243"/>
      <c r="Y1421" s="243"/>
      <c r="Z1421" s="243"/>
      <c r="AA1421" s="243"/>
      <c r="AB1421" s="243"/>
      <c r="AC1421" s="243"/>
      <c r="AD1421" s="243"/>
      <c r="AE1421" s="243"/>
      <c r="AF1421" s="243"/>
      <c r="AG1421" s="243"/>
      <c r="AH1421" s="243"/>
      <c r="AI1421" s="243"/>
      <c r="AJ1421" s="243"/>
    </row>
    <row r="1422" hidden="1">
      <c r="A1422" s="241"/>
      <c r="B1422" s="241"/>
      <c r="C1422" s="241"/>
      <c r="D1422" s="241"/>
      <c r="E1422" s="241"/>
      <c r="F1422" s="241"/>
      <c r="G1422" s="241"/>
      <c r="H1422" s="241"/>
      <c r="I1422" s="241"/>
      <c r="J1422" s="241"/>
      <c r="K1422" s="241"/>
      <c r="L1422" s="242"/>
      <c r="M1422" s="241"/>
      <c r="N1422" s="241"/>
      <c r="O1422" s="241"/>
      <c r="P1422" s="241"/>
      <c r="Q1422" s="241"/>
      <c r="R1422" s="241"/>
      <c r="S1422" s="241"/>
      <c r="T1422" s="241"/>
      <c r="U1422" s="241"/>
      <c r="V1422" s="241"/>
      <c r="W1422" s="241"/>
      <c r="X1422" s="243"/>
      <c r="Y1422" s="243"/>
      <c r="Z1422" s="243"/>
      <c r="AA1422" s="243"/>
      <c r="AB1422" s="243"/>
      <c r="AC1422" s="243"/>
      <c r="AD1422" s="243"/>
      <c r="AE1422" s="243"/>
      <c r="AF1422" s="243"/>
      <c r="AG1422" s="243"/>
      <c r="AH1422" s="243"/>
      <c r="AI1422" s="243"/>
      <c r="AJ1422" s="243"/>
    </row>
    <row r="1423" hidden="1">
      <c r="A1423" s="241"/>
      <c r="B1423" s="241"/>
      <c r="C1423" s="241"/>
      <c r="D1423" s="241"/>
      <c r="E1423" s="241"/>
      <c r="F1423" s="241"/>
      <c r="G1423" s="241"/>
      <c r="H1423" s="241"/>
      <c r="I1423" s="241"/>
      <c r="J1423" s="241"/>
      <c r="K1423" s="241"/>
      <c r="L1423" s="242"/>
      <c r="M1423" s="241"/>
      <c r="N1423" s="241"/>
      <c r="O1423" s="241"/>
      <c r="P1423" s="241"/>
      <c r="Q1423" s="241"/>
      <c r="R1423" s="241"/>
      <c r="S1423" s="241"/>
      <c r="T1423" s="241"/>
      <c r="U1423" s="241"/>
      <c r="V1423" s="241"/>
      <c r="W1423" s="241"/>
      <c r="X1423" s="243"/>
      <c r="Y1423" s="243"/>
      <c r="Z1423" s="243"/>
      <c r="AA1423" s="243"/>
      <c r="AB1423" s="243"/>
      <c r="AC1423" s="243"/>
      <c r="AD1423" s="243"/>
      <c r="AE1423" s="243"/>
      <c r="AF1423" s="243"/>
      <c r="AG1423" s="243"/>
      <c r="AH1423" s="243"/>
      <c r="AI1423" s="243"/>
      <c r="AJ1423" s="243"/>
    </row>
    <row r="1424" hidden="1">
      <c r="A1424" s="241"/>
      <c r="B1424" s="241"/>
      <c r="C1424" s="241"/>
      <c r="D1424" s="241"/>
      <c r="E1424" s="241"/>
      <c r="F1424" s="241"/>
      <c r="G1424" s="241"/>
      <c r="H1424" s="241"/>
      <c r="I1424" s="241"/>
      <c r="J1424" s="241"/>
      <c r="K1424" s="241"/>
      <c r="L1424" s="242"/>
      <c r="M1424" s="241"/>
      <c r="N1424" s="241"/>
      <c r="O1424" s="241"/>
      <c r="P1424" s="241"/>
      <c r="Q1424" s="241"/>
      <c r="R1424" s="241"/>
      <c r="S1424" s="241"/>
      <c r="T1424" s="241"/>
      <c r="U1424" s="241"/>
      <c r="V1424" s="241"/>
      <c r="W1424" s="241"/>
      <c r="X1424" s="243"/>
      <c r="Y1424" s="243"/>
      <c r="Z1424" s="243"/>
      <c r="AA1424" s="243"/>
      <c r="AB1424" s="243"/>
      <c r="AC1424" s="243"/>
      <c r="AD1424" s="243"/>
      <c r="AE1424" s="243"/>
      <c r="AF1424" s="243"/>
      <c r="AG1424" s="243"/>
      <c r="AH1424" s="243"/>
      <c r="AI1424" s="243"/>
      <c r="AJ1424" s="243"/>
    </row>
    <row r="1425" hidden="1">
      <c r="A1425" s="241"/>
      <c r="B1425" s="241"/>
      <c r="C1425" s="241"/>
      <c r="D1425" s="241"/>
      <c r="E1425" s="241"/>
      <c r="F1425" s="241"/>
      <c r="G1425" s="241"/>
      <c r="H1425" s="241"/>
      <c r="I1425" s="241"/>
      <c r="J1425" s="241"/>
      <c r="K1425" s="241"/>
      <c r="L1425" s="242"/>
      <c r="M1425" s="241"/>
      <c r="N1425" s="241"/>
      <c r="O1425" s="241"/>
      <c r="P1425" s="241"/>
      <c r="Q1425" s="241"/>
      <c r="R1425" s="241"/>
      <c r="S1425" s="241"/>
      <c r="T1425" s="241"/>
      <c r="U1425" s="241"/>
      <c r="V1425" s="241"/>
      <c r="W1425" s="241"/>
      <c r="X1425" s="243"/>
      <c r="Y1425" s="243"/>
      <c r="Z1425" s="243"/>
      <c r="AA1425" s="243"/>
      <c r="AB1425" s="243"/>
      <c r="AC1425" s="243"/>
      <c r="AD1425" s="243"/>
      <c r="AE1425" s="243"/>
      <c r="AF1425" s="243"/>
      <c r="AG1425" s="243"/>
      <c r="AH1425" s="243"/>
      <c r="AI1425" s="243"/>
      <c r="AJ1425" s="243"/>
    </row>
    <row r="1426" hidden="1">
      <c r="A1426" s="241"/>
      <c r="B1426" s="241"/>
      <c r="C1426" s="241"/>
      <c r="D1426" s="241"/>
      <c r="E1426" s="241"/>
      <c r="F1426" s="241"/>
      <c r="G1426" s="241"/>
      <c r="H1426" s="241"/>
      <c r="I1426" s="241"/>
      <c r="J1426" s="241"/>
      <c r="K1426" s="241"/>
      <c r="L1426" s="242"/>
      <c r="M1426" s="241"/>
      <c r="N1426" s="241"/>
      <c r="O1426" s="241"/>
      <c r="P1426" s="241"/>
      <c r="Q1426" s="241"/>
      <c r="R1426" s="241"/>
      <c r="S1426" s="241"/>
      <c r="T1426" s="241"/>
      <c r="U1426" s="241"/>
      <c r="V1426" s="241"/>
      <c r="W1426" s="241"/>
      <c r="X1426" s="243"/>
      <c r="Y1426" s="243"/>
      <c r="Z1426" s="243"/>
      <c r="AA1426" s="243"/>
      <c r="AB1426" s="243"/>
      <c r="AC1426" s="243"/>
      <c r="AD1426" s="243"/>
      <c r="AE1426" s="243"/>
      <c r="AF1426" s="243"/>
      <c r="AG1426" s="243"/>
      <c r="AH1426" s="243"/>
      <c r="AI1426" s="243"/>
      <c r="AJ1426" s="243"/>
    </row>
    <row r="1427" hidden="1">
      <c r="A1427" s="241"/>
      <c r="B1427" s="241"/>
      <c r="C1427" s="241"/>
      <c r="D1427" s="241"/>
      <c r="E1427" s="241"/>
      <c r="F1427" s="241"/>
      <c r="G1427" s="241"/>
      <c r="H1427" s="241"/>
      <c r="I1427" s="241"/>
      <c r="J1427" s="241"/>
      <c r="K1427" s="241"/>
      <c r="L1427" s="242"/>
      <c r="M1427" s="241"/>
      <c r="N1427" s="241"/>
      <c r="O1427" s="241"/>
      <c r="P1427" s="241"/>
      <c r="Q1427" s="241"/>
      <c r="R1427" s="241"/>
      <c r="S1427" s="241"/>
      <c r="T1427" s="241"/>
      <c r="U1427" s="241"/>
      <c r="V1427" s="241"/>
      <c r="W1427" s="241"/>
      <c r="X1427" s="243"/>
      <c r="Y1427" s="243"/>
      <c r="Z1427" s="243"/>
      <c r="AA1427" s="243"/>
      <c r="AB1427" s="243"/>
      <c r="AC1427" s="243"/>
      <c r="AD1427" s="243"/>
      <c r="AE1427" s="243"/>
      <c r="AF1427" s="243"/>
      <c r="AG1427" s="243"/>
      <c r="AH1427" s="243"/>
      <c r="AI1427" s="243"/>
      <c r="AJ1427" s="243"/>
    </row>
    <row r="1428" hidden="1">
      <c r="A1428" s="241"/>
      <c r="B1428" s="241"/>
      <c r="C1428" s="241"/>
      <c r="D1428" s="241"/>
      <c r="E1428" s="241"/>
      <c r="F1428" s="241"/>
      <c r="G1428" s="241"/>
      <c r="H1428" s="241"/>
      <c r="I1428" s="241"/>
      <c r="J1428" s="241"/>
      <c r="K1428" s="241"/>
      <c r="L1428" s="242"/>
      <c r="M1428" s="241"/>
      <c r="N1428" s="241"/>
      <c r="O1428" s="241"/>
      <c r="P1428" s="241"/>
      <c r="Q1428" s="241"/>
      <c r="R1428" s="241"/>
      <c r="S1428" s="241"/>
      <c r="T1428" s="241"/>
      <c r="U1428" s="241"/>
      <c r="V1428" s="241"/>
      <c r="W1428" s="241"/>
      <c r="X1428" s="243"/>
      <c r="Y1428" s="243"/>
      <c r="Z1428" s="243"/>
      <c r="AA1428" s="243"/>
      <c r="AB1428" s="243"/>
      <c r="AC1428" s="243"/>
      <c r="AD1428" s="243"/>
      <c r="AE1428" s="243"/>
      <c r="AF1428" s="243"/>
      <c r="AG1428" s="243"/>
      <c r="AH1428" s="243"/>
      <c r="AI1428" s="243"/>
      <c r="AJ1428" s="243"/>
    </row>
    <row r="1429" hidden="1">
      <c r="A1429" s="241"/>
      <c r="B1429" s="241"/>
      <c r="C1429" s="241"/>
      <c r="D1429" s="241"/>
      <c r="E1429" s="241"/>
      <c r="F1429" s="241"/>
      <c r="G1429" s="241"/>
      <c r="H1429" s="241"/>
      <c r="I1429" s="241"/>
      <c r="J1429" s="241"/>
      <c r="K1429" s="241"/>
      <c r="L1429" s="242"/>
      <c r="M1429" s="241"/>
      <c r="N1429" s="241"/>
      <c r="O1429" s="241"/>
      <c r="P1429" s="241"/>
      <c r="Q1429" s="241"/>
      <c r="R1429" s="241"/>
      <c r="S1429" s="241"/>
      <c r="T1429" s="241"/>
      <c r="U1429" s="241"/>
      <c r="V1429" s="241"/>
      <c r="W1429" s="241"/>
      <c r="X1429" s="243"/>
      <c r="Y1429" s="243"/>
      <c r="Z1429" s="243"/>
      <c r="AA1429" s="243"/>
      <c r="AB1429" s="243"/>
      <c r="AC1429" s="243"/>
      <c r="AD1429" s="243"/>
      <c r="AE1429" s="243"/>
      <c r="AF1429" s="243"/>
      <c r="AG1429" s="243"/>
      <c r="AH1429" s="243"/>
      <c r="AI1429" s="243"/>
      <c r="AJ1429" s="243"/>
    </row>
    <row r="1430" hidden="1">
      <c r="A1430" s="241"/>
      <c r="B1430" s="241"/>
      <c r="C1430" s="241"/>
      <c r="D1430" s="241"/>
      <c r="E1430" s="241"/>
      <c r="F1430" s="241"/>
      <c r="G1430" s="241"/>
      <c r="H1430" s="241"/>
      <c r="I1430" s="241"/>
      <c r="J1430" s="241"/>
      <c r="K1430" s="241"/>
      <c r="L1430" s="242"/>
      <c r="M1430" s="241"/>
      <c r="N1430" s="241"/>
      <c r="O1430" s="241"/>
      <c r="P1430" s="241"/>
      <c r="Q1430" s="241"/>
      <c r="R1430" s="241"/>
      <c r="S1430" s="241"/>
      <c r="T1430" s="241"/>
      <c r="U1430" s="241"/>
      <c r="V1430" s="241"/>
      <c r="W1430" s="241"/>
      <c r="X1430" s="243"/>
      <c r="Y1430" s="243"/>
      <c r="Z1430" s="243"/>
      <c r="AA1430" s="243"/>
      <c r="AB1430" s="243"/>
      <c r="AC1430" s="243"/>
      <c r="AD1430" s="243"/>
      <c r="AE1430" s="243"/>
      <c r="AF1430" s="243"/>
      <c r="AG1430" s="243"/>
      <c r="AH1430" s="243"/>
      <c r="AI1430" s="243"/>
      <c r="AJ1430" s="243"/>
    </row>
    <row r="1431" hidden="1">
      <c r="A1431" s="241"/>
      <c r="B1431" s="241"/>
      <c r="C1431" s="241"/>
      <c r="D1431" s="241"/>
      <c r="E1431" s="241"/>
      <c r="F1431" s="241"/>
      <c r="G1431" s="241"/>
      <c r="H1431" s="241"/>
      <c r="I1431" s="241"/>
      <c r="J1431" s="241"/>
      <c r="K1431" s="241"/>
      <c r="L1431" s="242"/>
      <c r="M1431" s="241"/>
      <c r="N1431" s="241"/>
      <c r="O1431" s="241"/>
      <c r="P1431" s="241"/>
      <c r="Q1431" s="241"/>
      <c r="R1431" s="241"/>
      <c r="S1431" s="241"/>
      <c r="T1431" s="241"/>
      <c r="U1431" s="241"/>
      <c r="V1431" s="241"/>
      <c r="W1431" s="241"/>
      <c r="X1431" s="243"/>
      <c r="Y1431" s="243"/>
      <c r="Z1431" s="243"/>
      <c r="AA1431" s="243"/>
      <c r="AB1431" s="243"/>
      <c r="AC1431" s="243"/>
      <c r="AD1431" s="243"/>
      <c r="AE1431" s="243"/>
      <c r="AF1431" s="243"/>
      <c r="AG1431" s="243"/>
      <c r="AH1431" s="243"/>
      <c r="AI1431" s="243"/>
      <c r="AJ1431" s="243"/>
    </row>
    <row r="1432" hidden="1">
      <c r="A1432" s="241"/>
      <c r="B1432" s="241"/>
      <c r="C1432" s="241"/>
      <c r="D1432" s="241"/>
      <c r="E1432" s="241"/>
      <c r="F1432" s="241"/>
      <c r="G1432" s="241"/>
      <c r="H1432" s="241"/>
      <c r="I1432" s="241"/>
      <c r="J1432" s="241"/>
      <c r="K1432" s="241"/>
      <c r="L1432" s="242"/>
      <c r="M1432" s="241"/>
      <c r="N1432" s="241"/>
      <c r="O1432" s="241"/>
      <c r="P1432" s="241"/>
      <c r="Q1432" s="241"/>
      <c r="R1432" s="241"/>
      <c r="S1432" s="241"/>
      <c r="T1432" s="241"/>
      <c r="U1432" s="241"/>
      <c r="V1432" s="241"/>
      <c r="W1432" s="241"/>
      <c r="X1432" s="243"/>
      <c r="Y1432" s="243"/>
      <c r="Z1432" s="243"/>
      <c r="AA1432" s="243"/>
      <c r="AB1432" s="243"/>
      <c r="AC1432" s="243"/>
      <c r="AD1432" s="243"/>
      <c r="AE1432" s="243"/>
      <c r="AF1432" s="243"/>
      <c r="AG1432" s="243"/>
      <c r="AH1432" s="243"/>
      <c r="AI1432" s="243"/>
      <c r="AJ1432" s="243"/>
    </row>
    <row r="1433" hidden="1">
      <c r="A1433" s="241"/>
      <c r="B1433" s="241"/>
      <c r="C1433" s="241"/>
      <c r="D1433" s="241"/>
      <c r="E1433" s="241"/>
      <c r="F1433" s="241"/>
      <c r="G1433" s="241"/>
      <c r="H1433" s="241"/>
      <c r="I1433" s="241"/>
      <c r="J1433" s="241"/>
      <c r="K1433" s="241"/>
      <c r="L1433" s="242"/>
      <c r="M1433" s="241"/>
      <c r="N1433" s="241"/>
      <c r="O1433" s="241"/>
      <c r="P1433" s="241"/>
      <c r="Q1433" s="241"/>
      <c r="R1433" s="241"/>
      <c r="S1433" s="241"/>
      <c r="T1433" s="241"/>
      <c r="U1433" s="241"/>
      <c r="V1433" s="241"/>
      <c r="W1433" s="241"/>
      <c r="X1433" s="243"/>
      <c r="Y1433" s="243"/>
      <c r="Z1433" s="243"/>
      <c r="AA1433" s="243"/>
      <c r="AB1433" s="243"/>
      <c r="AC1433" s="243"/>
      <c r="AD1433" s="243"/>
      <c r="AE1433" s="243"/>
      <c r="AF1433" s="243"/>
      <c r="AG1433" s="243"/>
      <c r="AH1433" s="243"/>
      <c r="AI1433" s="243"/>
      <c r="AJ1433" s="243"/>
    </row>
    <row r="1434" hidden="1">
      <c r="A1434" s="241"/>
      <c r="B1434" s="241"/>
      <c r="C1434" s="241"/>
      <c r="D1434" s="241"/>
      <c r="E1434" s="241"/>
      <c r="F1434" s="241"/>
      <c r="G1434" s="241"/>
      <c r="H1434" s="241"/>
      <c r="I1434" s="241"/>
      <c r="J1434" s="241"/>
      <c r="K1434" s="241"/>
      <c r="L1434" s="242"/>
      <c r="M1434" s="241"/>
      <c r="N1434" s="241"/>
      <c r="O1434" s="241"/>
      <c r="P1434" s="241"/>
      <c r="Q1434" s="241"/>
      <c r="R1434" s="241"/>
      <c r="S1434" s="241"/>
      <c r="T1434" s="241"/>
      <c r="U1434" s="241"/>
      <c r="V1434" s="241"/>
      <c r="W1434" s="241"/>
      <c r="X1434" s="243"/>
      <c r="Y1434" s="243"/>
      <c r="Z1434" s="243"/>
      <c r="AA1434" s="243"/>
      <c r="AB1434" s="243"/>
      <c r="AC1434" s="243"/>
      <c r="AD1434" s="243"/>
      <c r="AE1434" s="243"/>
      <c r="AF1434" s="243"/>
      <c r="AG1434" s="243"/>
      <c r="AH1434" s="243"/>
      <c r="AI1434" s="243"/>
      <c r="AJ1434" s="243"/>
    </row>
    <row r="1435" hidden="1">
      <c r="A1435" s="241"/>
      <c r="B1435" s="241"/>
      <c r="C1435" s="241"/>
      <c r="D1435" s="241"/>
      <c r="E1435" s="241"/>
      <c r="F1435" s="241"/>
      <c r="G1435" s="241"/>
      <c r="H1435" s="241"/>
      <c r="I1435" s="241"/>
      <c r="J1435" s="241"/>
      <c r="K1435" s="241"/>
      <c r="L1435" s="242"/>
      <c r="M1435" s="241"/>
      <c r="N1435" s="241"/>
      <c r="O1435" s="241"/>
      <c r="P1435" s="241"/>
      <c r="Q1435" s="241"/>
      <c r="R1435" s="241"/>
      <c r="S1435" s="241"/>
      <c r="T1435" s="241"/>
      <c r="U1435" s="241"/>
      <c r="V1435" s="241"/>
      <c r="W1435" s="241"/>
      <c r="X1435" s="243"/>
      <c r="Y1435" s="243"/>
      <c r="Z1435" s="243"/>
      <c r="AA1435" s="243"/>
      <c r="AB1435" s="243"/>
      <c r="AC1435" s="243"/>
      <c r="AD1435" s="243"/>
      <c r="AE1435" s="243"/>
      <c r="AF1435" s="243"/>
      <c r="AG1435" s="243"/>
      <c r="AH1435" s="243"/>
      <c r="AI1435" s="243"/>
      <c r="AJ1435" s="243"/>
    </row>
    <row r="1436" hidden="1">
      <c r="A1436" s="241"/>
      <c r="B1436" s="241"/>
      <c r="C1436" s="241"/>
      <c r="D1436" s="241"/>
      <c r="E1436" s="241"/>
      <c r="F1436" s="241"/>
      <c r="G1436" s="241"/>
      <c r="H1436" s="241"/>
      <c r="I1436" s="241"/>
      <c r="J1436" s="241"/>
      <c r="K1436" s="241"/>
      <c r="L1436" s="242"/>
      <c r="M1436" s="241"/>
      <c r="N1436" s="241"/>
      <c r="O1436" s="241"/>
      <c r="P1436" s="241"/>
      <c r="Q1436" s="241"/>
      <c r="R1436" s="241"/>
      <c r="S1436" s="241"/>
      <c r="T1436" s="241"/>
      <c r="U1436" s="241"/>
      <c r="V1436" s="241"/>
      <c r="W1436" s="241"/>
      <c r="X1436" s="243"/>
      <c r="Y1436" s="243"/>
      <c r="Z1436" s="243"/>
      <c r="AA1436" s="243"/>
      <c r="AB1436" s="243"/>
      <c r="AC1436" s="243"/>
      <c r="AD1436" s="243"/>
      <c r="AE1436" s="243"/>
      <c r="AF1436" s="243"/>
      <c r="AG1436" s="243"/>
      <c r="AH1436" s="243"/>
      <c r="AI1436" s="243"/>
      <c r="AJ1436" s="243"/>
    </row>
    <row r="1437" hidden="1">
      <c r="A1437" s="241"/>
      <c r="B1437" s="241"/>
      <c r="C1437" s="241"/>
      <c r="D1437" s="241"/>
      <c r="E1437" s="241"/>
      <c r="F1437" s="241"/>
      <c r="G1437" s="241"/>
      <c r="H1437" s="241"/>
      <c r="I1437" s="241"/>
      <c r="J1437" s="241"/>
      <c r="K1437" s="241"/>
      <c r="L1437" s="242"/>
      <c r="M1437" s="241"/>
      <c r="N1437" s="241"/>
      <c r="O1437" s="241"/>
      <c r="P1437" s="241"/>
      <c r="Q1437" s="241"/>
      <c r="R1437" s="241"/>
      <c r="S1437" s="241"/>
      <c r="T1437" s="241"/>
      <c r="U1437" s="241"/>
      <c r="V1437" s="241"/>
      <c r="W1437" s="241"/>
      <c r="X1437" s="243"/>
      <c r="Y1437" s="243"/>
      <c r="Z1437" s="243"/>
      <c r="AA1437" s="243"/>
      <c r="AB1437" s="243"/>
      <c r="AC1437" s="243"/>
      <c r="AD1437" s="243"/>
      <c r="AE1437" s="243"/>
      <c r="AF1437" s="243"/>
      <c r="AG1437" s="243"/>
      <c r="AH1437" s="243"/>
      <c r="AI1437" s="243"/>
      <c r="AJ1437" s="243"/>
    </row>
    <row r="1438" hidden="1">
      <c r="A1438" s="241"/>
      <c r="B1438" s="241"/>
      <c r="C1438" s="241"/>
      <c r="D1438" s="241"/>
      <c r="E1438" s="241"/>
      <c r="F1438" s="241"/>
      <c r="G1438" s="241"/>
      <c r="H1438" s="241"/>
      <c r="I1438" s="241"/>
      <c r="J1438" s="241"/>
      <c r="K1438" s="241"/>
      <c r="L1438" s="242"/>
      <c r="M1438" s="241"/>
      <c r="N1438" s="241"/>
      <c r="O1438" s="241"/>
      <c r="P1438" s="241"/>
      <c r="Q1438" s="241"/>
      <c r="R1438" s="241"/>
      <c r="S1438" s="241"/>
      <c r="T1438" s="241"/>
      <c r="U1438" s="241"/>
      <c r="V1438" s="241"/>
      <c r="W1438" s="241"/>
      <c r="X1438" s="243"/>
      <c r="Y1438" s="243"/>
      <c r="Z1438" s="243"/>
      <c r="AA1438" s="243"/>
      <c r="AB1438" s="243"/>
      <c r="AC1438" s="243"/>
      <c r="AD1438" s="243"/>
      <c r="AE1438" s="243"/>
      <c r="AF1438" s="243"/>
      <c r="AG1438" s="243"/>
      <c r="AH1438" s="243"/>
      <c r="AI1438" s="243"/>
      <c r="AJ1438" s="243"/>
    </row>
    <row r="1439" hidden="1">
      <c r="A1439" s="241"/>
      <c r="B1439" s="241"/>
      <c r="C1439" s="241"/>
      <c r="D1439" s="241"/>
      <c r="E1439" s="241"/>
      <c r="F1439" s="241"/>
      <c r="G1439" s="241"/>
      <c r="H1439" s="241"/>
      <c r="I1439" s="241"/>
      <c r="J1439" s="241"/>
      <c r="K1439" s="241"/>
      <c r="L1439" s="242"/>
      <c r="M1439" s="241"/>
      <c r="N1439" s="241"/>
      <c r="O1439" s="241"/>
      <c r="P1439" s="241"/>
      <c r="Q1439" s="241"/>
      <c r="R1439" s="241"/>
      <c r="S1439" s="241"/>
      <c r="T1439" s="241"/>
      <c r="U1439" s="241"/>
      <c r="V1439" s="241"/>
      <c r="W1439" s="241"/>
      <c r="X1439" s="243"/>
      <c r="Y1439" s="243"/>
      <c r="Z1439" s="243"/>
      <c r="AA1439" s="243"/>
      <c r="AB1439" s="243"/>
      <c r="AC1439" s="243"/>
      <c r="AD1439" s="243"/>
      <c r="AE1439" s="243"/>
      <c r="AF1439" s="243"/>
      <c r="AG1439" s="243"/>
      <c r="AH1439" s="243"/>
      <c r="AI1439" s="243"/>
      <c r="AJ1439" s="243"/>
    </row>
    <row r="1440" hidden="1">
      <c r="A1440" s="241"/>
      <c r="B1440" s="241"/>
      <c r="C1440" s="241"/>
      <c r="D1440" s="241"/>
      <c r="E1440" s="241"/>
      <c r="F1440" s="241"/>
      <c r="G1440" s="241"/>
      <c r="H1440" s="241"/>
      <c r="I1440" s="241"/>
      <c r="J1440" s="241"/>
      <c r="K1440" s="241"/>
      <c r="L1440" s="242"/>
      <c r="M1440" s="241"/>
      <c r="N1440" s="241"/>
      <c r="O1440" s="241"/>
      <c r="P1440" s="241"/>
      <c r="Q1440" s="241"/>
      <c r="R1440" s="241"/>
      <c r="S1440" s="241"/>
      <c r="T1440" s="241"/>
      <c r="U1440" s="241"/>
      <c r="V1440" s="241"/>
      <c r="W1440" s="241"/>
      <c r="X1440" s="243"/>
      <c r="Y1440" s="243"/>
      <c r="Z1440" s="243"/>
      <c r="AA1440" s="243"/>
      <c r="AB1440" s="243"/>
      <c r="AC1440" s="243"/>
      <c r="AD1440" s="243"/>
      <c r="AE1440" s="243"/>
      <c r="AF1440" s="243"/>
      <c r="AG1440" s="243"/>
      <c r="AH1440" s="243"/>
      <c r="AI1440" s="243"/>
      <c r="AJ1440" s="243"/>
    </row>
    <row r="1441" hidden="1">
      <c r="A1441" s="241"/>
      <c r="B1441" s="241"/>
      <c r="C1441" s="241"/>
      <c r="D1441" s="241"/>
      <c r="E1441" s="241"/>
      <c r="F1441" s="241"/>
      <c r="G1441" s="241"/>
      <c r="H1441" s="241"/>
      <c r="I1441" s="241"/>
      <c r="J1441" s="241"/>
      <c r="K1441" s="241"/>
      <c r="L1441" s="242"/>
      <c r="M1441" s="241"/>
      <c r="N1441" s="241"/>
      <c r="O1441" s="241"/>
      <c r="P1441" s="241"/>
      <c r="Q1441" s="241"/>
      <c r="R1441" s="241"/>
      <c r="S1441" s="241"/>
      <c r="T1441" s="241"/>
      <c r="U1441" s="241"/>
      <c r="V1441" s="241"/>
      <c r="W1441" s="241"/>
      <c r="X1441" s="243"/>
      <c r="Y1441" s="243"/>
      <c r="Z1441" s="243"/>
      <c r="AA1441" s="243"/>
      <c r="AB1441" s="243"/>
      <c r="AC1441" s="243"/>
      <c r="AD1441" s="243"/>
      <c r="AE1441" s="243"/>
      <c r="AF1441" s="243"/>
      <c r="AG1441" s="243"/>
      <c r="AH1441" s="243"/>
      <c r="AI1441" s="243"/>
      <c r="AJ1441" s="243"/>
    </row>
    <row r="1442" hidden="1">
      <c r="A1442" s="241"/>
      <c r="B1442" s="241"/>
      <c r="C1442" s="241"/>
      <c r="D1442" s="241"/>
      <c r="E1442" s="241"/>
      <c r="F1442" s="241"/>
      <c r="G1442" s="241"/>
      <c r="H1442" s="241"/>
      <c r="I1442" s="241"/>
      <c r="J1442" s="241"/>
      <c r="K1442" s="241"/>
      <c r="L1442" s="242"/>
      <c r="M1442" s="241"/>
      <c r="N1442" s="241"/>
      <c r="O1442" s="241"/>
      <c r="P1442" s="241"/>
      <c r="Q1442" s="241"/>
      <c r="R1442" s="241"/>
      <c r="S1442" s="241"/>
      <c r="T1442" s="241"/>
      <c r="U1442" s="241"/>
      <c r="V1442" s="241"/>
      <c r="W1442" s="241"/>
      <c r="X1442" s="243"/>
      <c r="Y1442" s="243"/>
      <c r="Z1442" s="243"/>
      <c r="AA1442" s="243"/>
      <c r="AB1442" s="243"/>
      <c r="AC1442" s="243"/>
      <c r="AD1442" s="243"/>
      <c r="AE1442" s="243"/>
      <c r="AF1442" s="243"/>
      <c r="AG1442" s="243"/>
      <c r="AH1442" s="243"/>
      <c r="AI1442" s="243"/>
      <c r="AJ1442" s="243"/>
    </row>
    <row r="1443" hidden="1">
      <c r="A1443" s="241"/>
      <c r="B1443" s="241"/>
      <c r="C1443" s="241"/>
      <c r="D1443" s="241"/>
      <c r="E1443" s="241"/>
      <c r="F1443" s="241"/>
      <c r="G1443" s="241"/>
      <c r="H1443" s="241"/>
      <c r="I1443" s="241"/>
      <c r="J1443" s="241"/>
      <c r="K1443" s="241"/>
      <c r="L1443" s="242"/>
      <c r="M1443" s="241"/>
      <c r="N1443" s="241"/>
      <c r="O1443" s="241"/>
      <c r="P1443" s="241"/>
      <c r="Q1443" s="241"/>
      <c r="R1443" s="241"/>
      <c r="S1443" s="241"/>
      <c r="T1443" s="241"/>
      <c r="U1443" s="241"/>
      <c r="V1443" s="241"/>
      <c r="W1443" s="241"/>
      <c r="X1443" s="243"/>
      <c r="Y1443" s="243"/>
      <c r="Z1443" s="243"/>
      <c r="AA1443" s="243"/>
      <c r="AB1443" s="243"/>
      <c r="AC1443" s="243"/>
      <c r="AD1443" s="243"/>
      <c r="AE1443" s="243"/>
      <c r="AF1443" s="243"/>
      <c r="AG1443" s="243"/>
      <c r="AH1443" s="243"/>
      <c r="AI1443" s="243"/>
      <c r="AJ1443" s="243"/>
    </row>
    <row r="1444" hidden="1">
      <c r="A1444" s="241"/>
      <c r="B1444" s="241"/>
      <c r="C1444" s="241"/>
      <c r="D1444" s="241"/>
      <c r="E1444" s="241"/>
      <c r="F1444" s="241"/>
      <c r="G1444" s="241"/>
      <c r="H1444" s="241"/>
      <c r="I1444" s="241"/>
      <c r="J1444" s="241"/>
      <c r="K1444" s="241"/>
      <c r="L1444" s="242"/>
      <c r="M1444" s="241"/>
      <c r="N1444" s="241"/>
      <c r="O1444" s="241"/>
      <c r="P1444" s="241"/>
      <c r="Q1444" s="241"/>
      <c r="R1444" s="241"/>
      <c r="S1444" s="241"/>
      <c r="T1444" s="241"/>
      <c r="U1444" s="241"/>
      <c r="V1444" s="241"/>
      <c r="W1444" s="241"/>
      <c r="X1444" s="243"/>
      <c r="Y1444" s="243"/>
      <c r="Z1444" s="243"/>
      <c r="AA1444" s="243"/>
      <c r="AB1444" s="243"/>
      <c r="AC1444" s="243"/>
      <c r="AD1444" s="243"/>
      <c r="AE1444" s="243"/>
      <c r="AF1444" s="243"/>
      <c r="AG1444" s="243"/>
      <c r="AH1444" s="243"/>
      <c r="AI1444" s="243"/>
      <c r="AJ1444" s="243"/>
    </row>
    <row r="1445" hidden="1">
      <c r="A1445" s="241"/>
      <c r="B1445" s="241"/>
      <c r="C1445" s="241"/>
      <c r="D1445" s="241"/>
      <c r="E1445" s="241"/>
      <c r="F1445" s="241"/>
      <c r="G1445" s="241"/>
      <c r="H1445" s="241"/>
      <c r="I1445" s="241"/>
      <c r="J1445" s="241"/>
      <c r="K1445" s="241"/>
      <c r="L1445" s="242"/>
      <c r="M1445" s="241"/>
      <c r="N1445" s="241"/>
      <c r="O1445" s="241"/>
      <c r="P1445" s="241"/>
      <c r="Q1445" s="241"/>
      <c r="R1445" s="241"/>
      <c r="S1445" s="241"/>
      <c r="T1445" s="241"/>
      <c r="U1445" s="241"/>
      <c r="V1445" s="241"/>
      <c r="W1445" s="241"/>
      <c r="X1445" s="243"/>
      <c r="Y1445" s="243"/>
      <c r="Z1445" s="243"/>
      <c r="AA1445" s="243"/>
      <c r="AB1445" s="243"/>
      <c r="AC1445" s="243"/>
      <c r="AD1445" s="243"/>
      <c r="AE1445" s="243"/>
      <c r="AF1445" s="243"/>
      <c r="AG1445" s="243"/>
      <c r="AH1445" s="243"/>
      <c r="AI1445" s="243"/>
      <c r="AJ1445" s="243"/>
    </row>
    <row r="1446" hidden="1">
      <c r="A1446" s="241"/>
      <c r="B1446" s="241"/>
      <c r="C1446" s="241"/>
      <c r="D1446" s="241"/>
      <c r="E1446" s="241"/>
      <c r="F1446" s="241"/>
      <c r="G1446" s="241"/>
      <c r="H1446" s="241"/>
      <c r="I1446" s="241"/>
      <c r="J1446" s="241"/>
      <c r="K1446" s="241"/>
      <c r="L1446" s="242"/>
      <c r="M1446" s="241"/>
      <c r="N1446" s="241"/>
      <c r="O1446" s="241"/>
      <c r="P1446" s="241"/>
      <c r="Q1446" s="241"/>
      <c r="R1446" s="241"/>
      <c r="S1446" s="241"/>
      <c r="T1446" s="241"/>
      <c r="U1446" s="241"/>
      <c r="V1446" s="241"/>
      <c r="W1446" s="241"/>
      <c r="X1446" s="243"/>
      <c r="Y1446" s="243"/>
      <c r="Z1446" s="243"/>
      <c r="AA1446" s="243"/>
      <c r="AB1446" s="243"/>
      <c r="AC1446" s="243"/>
      <c r="AD1446" s="243"/>
      <c r="AE1446" s="243"/>
      <c r="AF1446" s="243"/>
      <c r="AG1446" s="243"/>
      <c r="AH1446" s="243"/>
      <c r="AI1446" s="243"/>
      <c r="AJ1446" s="243"/>
    </row>
    <row r="1447" hidden="1">
      <c r="A1447" s="241"/>
      <c r="B1447" s="241"/>
      <c r="C1447" s="241"/>
      <c r="D1447" s="241"/>
      <c r="E1447" s="241"/>
      <c r="F1447" s="241"/>
      <c r="G1447" s="241"/>
      <c r="H1447" s="241"/>
      <c r="I1447" s="241"/>
      <c r="J1447" s="241"/>
      <c r="K1447" s="241"/>
      <c r="L1447" s="242"/>
      <c r="M1447" s="241"/>
      <c r="N1447" s="241"/>
      <c r="O1447" s="241"/>
      <c r="P1447" s="241"/>
      <c r="Q1447" s="241"/>
      <c r="R1447" s="241"/>
      <c r="S1447" s="241"/>
      <c r="T1447" s="241"/>
      <c r="U1447" s="241"/>
      <c r="V1447" s="241"/>
      <c r="W1447" s="241"/>
      <c r="X1447" s="243"/>
      <c r="Y1447" s="243"/>
      <c r="Z1447" s="243"/>
      <c r="AA1447" s="243"/>
      <c r="AB1447" s="243"/>
      <c r="AC1447" s="243"/>
      <c r="AD1447" s="243"/>
      <c r="AE1447" s="243"/>
      <c r="AF1447" s="243"/>
      <c r="AG1447" s="243"/>
      <c r="AH1447" s="243"/>
      <c r="AI1447" s="243"/>
      <c r="AJ1447" s="243"/>
    </row>
    <row r="1448" hidden="1">
      <c r="A1448" s="241"/>
      <c r="B1448" s="241"/>
      <c r="C1448" s="241"/>
      <c r="D1448" s="241"/>
      <c r="E1448" s="241"/>
      <c r="F1448" s="241"/>
      <c r="G1448" s="241"/>
      <c r="H1448" s="241"/>
      <c r="I1448" s="241"/>
      <c r="J1448" s="241"/>
      <c r="K1448" s="241"/>
      <c r="L1448" s="242"/>
      <c r="M1448" s="241"/>
      <c r="N1448" s="241"/>
      <c r="O1448" s="241"/>
      <c r="P1448" s="241"/>
      <c r="Q1448" s="241"/>
      <c r="R1448" s="241"/>
      <c r="S1448" s="241"/>
      <c r="T1448" s="241"/>
      <c r="U1448" s="241"/>
      <c r="V1448" s="241"/>
      <c r="W1448" s="241"/>
      <c r="X1448" s="243"/>
      <c r="Y1448" s="243"/>
      <c r="Z1448" s="243"/>
      <c r="AA1448" s="243"/>
      <c r="AB1448" s="243"/>
      <c r="AC1448" s="243"/>
      <c r="AD1448" s="243"/>
      <c r="AE1448" s="243"/>
      <c r="AF1448" s="243"/>
      <c r="AG1448" s="243"/>
      <c r="AH1448" s="243"/>
      <c r="AI1448" s="243"/>
      <c r="AJ1448" s="243"/>
    </row>
    <row r="1449" hidden="1">
      <c r="A1449" s="241"/>
      <c r="B1449" s="241"/>
      <c r="C1449" s="241"/>
      <c r="D1449" s="241"/>
      <c r="E1449" s="241"/>
      <c r="F1449" s="241"/>
      <c r="G1449" s="241"/>
      <c r="H1449" s="241"/>
      <c r="I1449" s="241"/>
      <c r="J1449" s="241"/>
      <c r="K1449" s="241"/>
      <c r="L1449" s="242"/>
      <c r="M1449" s="241"/>
      <c r="N1449" s="241"/>
      <c r="O1449" s="241"/>
      <c r="P1449" s="241"/>
      <c r="Q1449" s="241"/>
      <c r="R1449" s="241"/>
      <c r="S1449" s="241"/>
      <c r="T1449" s="241"/>
      <c r="U1449" s="241"/>
      <c r="V1449" s="241"/>
      <c r="W1449" s="241"/>
      <c r="X1449" s="243"/>
      <c r="Y1449" s="243"/>
      <c r="Z1449" s="243"/>
      <c r="AA1449" s="243"/>
      <c r="AB1449" s="243"/>
      <c r="AC1449" s="243"/>
      <c r="AD1449" s="243"/>
      <c r="AE1449" s="243"/>
      <c r="AF1449" s="243"/>
      <c r="AG1449" s="243"/>
      <c r="AH1449" s="243"/>
      <c r="AI1449" s="243"/>
      <c r="AJ1449" s="243"/>
    </row>
    <row r="1450" hidden="1">
      <c r="A1450" s="241"/>
      <c r="B1450" s="241"/>
      <c r="C1450" s="241"/>
      <c r="D1450" s="241"/>
      <c r="E1450" s="241"/>
      <c r="F1450" s="241"/>
      <c r="G1450" s="241"/>
      <c r="H1450" s="241"/>
      <c r="I1450" s="241"/>
      <c r="J1450" s="241"/>
      <c r="K1450" s="241"/>
      <c r="L1450" s="242"/>
      <c r="M1450" s="241"/>
      <c r="N1450" s="241"/>
      <c r="O1450" s="241"/>
      <c r="P1450" s="241"/>
      <c r="Q1450" s="241"/>
      <c r="R1450" s="241"/>
      <c r="S1450" s="241"/>
      <c r="T1450" s="241"/>
      <c r="U1450" s="241"/>
      <c r="V1450" s="241"/>
      <c r="W1450" s="241"/>
      <c r="X1450" s="243"/>
      <c r="Y1450" s="243"/>
      <c r="Z1450" s="243"/>
      <c r="AA1450" s="243"/>
      <c r="AB1450" s="243"/>
      <c r="AC1450" s="243"/>
      <c r="AD1450" s="243"/>
      <c r="AE1450" s="243"/>
      <c r="AF1450" s="243"/>
      <c r="AG1450" s="243"/>
      <c r="AH1450" s="243"/>
      <c r="AI1450" s="243"/>
      <c r="AJ1450" s="243"/>
    </row>
    <row r="1451" hidden="1">
      <c r="A1451" s="241"/>
      <c r="B1451" s="241"/>
      <c r="C1451" s="241"/>
      <c r="D1451" s="241"/>
      <c r="E1451" s="241"/>
      <c r="F1451" s="241"/>
      <c r="G1451" s="241"/>
      <c r="H1451" s="241"/>
      <c r="I1451" s="241"/>
      <c r="J1451" s="241"/>
      <c r="K1451" s="241"/>
      <c r="L1451" s="242"/>
      <c r="M1451" s="241"/>
      <c r="N1451" s="241"/>
      <c r="O1451" s="241"/>
      <c r="P1451" s="241"/>
      <c r="Q1451" s="241"/>
      <c r="R1451" s="241"/>
      <c r="S1451" s="241"/>
      <c r="T1451" s="241"/>
      <c r="U1451" s="241"/>
      <c r="V1451" s="241"/>
      <c r="W1451" s="241"/>
      <c r="X1451" s="243"/>
      <c r="Y1451" s="243"/>
      <c r="Z1451" s="243"/>
      <c r="AA1451" s="243"/>
      <c r="AB1451" s="243"/>
      <c r="AC1451" s="243"/>
      <c r="AD1451" s="243"/>
      <c r="AE1451" s="243"/>
      <c r="AF1451" s="243"/>
      <c r="AG1451" s="243"/>
      <c r="AH1451" s="243"/>
      <c r="AI1451" s="243"/>
      <c r="AJ1451" s="243"/>
    </row>
    <row r="1452" hidden="1">
      <c r="A1452" s="241"/>
      <c r="B1452" s="241"/>
      <c r="C1452" s="241"/>
      <c r="D1452" s="241"/>
      <c r="E1452" s="241"/>
      <c r="F1452" s="241"/>
      <c r="G1452" s="241"/>
      <c r="H1452" s="241"/>
      <c r="I1452" s="241"/>
      <c r="J1452" s="241"/>
      <c r="K1452" s="241"/>
      <c r="L1452" s="242"/>
      <c r="M1452" s="241"/>
      <c r="N1452" s="241"/>
      <c r="O1452" s="241"/>
      <c r="P1452" s="241"/>
      <c r="Q1452" s="241"/>
      <c r="R1452" s="241"/>
      <c r="S1452" s="241"/>
      <c r="T1452" s="241"/>
      <c r="U1452" s="241"/>
      <c r="V1452" s="241"/>
      <c r="W1452" s="241"/>
      <c r="X1452" s="243"/>
      <c r="Y1452" s="243"/>
      <c r="Z1452" s="243"/>
      <c r="AA1452" s="243"/>
      <c r="AB1452" s="243"/>
      <c r="AC1452" s="243"/>
      <c r="AD1452" s="243"/>
      <c r="AE1452" s="243"/>
      <c r="AF1452" s="243"/>
      <c r="AG1452" s="243"/>
      <c r="AH1452" s="243"/>
      <c r="AI1452" s="243"/>
      <c r="AJ1452" s="243"/>
    </row>
    <row r="1453" hidden="1">
      <c r="A1453" s="241"/>
      <c r="B1453" s="241"/>
      <c r="C1453" s="241"/>
      <c r="D1453" s="241"/>
      <c r="E1453" s="241"/>
      <c r="F1453" s="241"/>
      <c r="G1453" s="241"/>
      <c r="H1453" s="241"/>
      <c r="I1453" s="241"/>
      <c r="J1453" s="241"/>
      <c r="K1453" s="241"/>
      <c r="L1453" s="242"/>
      <c r="M1453" s="241"/>
      <c r="N1453" s="241"/>
      <c r="O1453" s="241"/>
      <c r="P1453" s="241"/>
      <c r="Q1453" s="241"/>
      <c r="R1453" s="241"/>
      <c r="S1453" s="241"/>
      <c r="T1453" s="241"/>
      <c r="U1453" s="241"/>
      <c r="V1453" s="241"/>
      <c r="W1453" s="241"/>
      <c r="X1453" s="243"/>
      <c r="Y1453" s="243"/>
      <c r="Z1453" s="243"/>
      <c r="AA1453" s="243"/>
      <c r="AB1453" s="243"/>
      <c r="AC1453" s="243"/>
      <c r="AD1453" s="243"/>
      <c r="AE1453" s="243"/>
      <c r="AF1453" s="243"/>
      <c r="AG1453" s="243"/>
      <c r="AH1453" s="243"/>
      <c r="AI1453" s="243"/>
      <c r="AJ1453" s="243"/>
    </row>
    <row r="1454" hidden="1">
      <c r="A1454" s="241"/>
      <c r="B1454" s="241"/>
      <c r="C1454" s="241"/>
      <c r="D1454" s="241"/>
      <c r="E1454" s="241"/>
      <c r="F1454" s="241"/>
      <c r="G1454" s="241"/>
      <c r="H1454" s="241"/>
      <c r="I1454" s="241"/>
      <c r="J1454" s="241"/>
      <c r="K1454" s="241"/>
      <c r="L1454" s="242"/>
      <c r="M1454" s="241"/>
      <c r="N1454" s="241"/>
      <c r="O1454" s="241"/>
      <c r="P1454" s="241"/>
      <c r="Q1454" s="241"/>
      <c r="R1454" s="241"/>
      <c r="S1454" s="241"/>
      <c r="T1454" s="241"/>
      <c r="U1454" s="241"/>
      <c r="V1454" s="241"/>
      <c r="W1454" s="241"/>
      <c r="X1454" s="243"/>
      <c r="Y1454" s="243"/>
      <c r="Z1454" s="243"/>
      <c r="AA1454" s="243"/>
      <c r="AB1454" s="243"/>
      <c r="AC1454" s="243"/>
      <c r="AD1454" s="243"/>
      <c r="AE1454" s="243"/>
      <c r="AF1454" s="243"/>
      <c r="AG1454" s="243"/>
      <c r="AH1454" s="243"/>
      <c r="AI1454" s="243"/>
      <c r="AJ1454" s="243"/>
    </row>
    <row r="1455" hidden="1">
      <c r="A1455" s="241"/>
      <c r="B1455" s="241"/>
      <c r="C1455" s="241"/>
      <c r="D1455" s="241"/>
      <c r="E1455" s="241"/>
      <c r="F1455" s="241"/>
      <c r="G1455" s="241"/>
      <c r="H1455" s="241"/>
      <c r="I1455" s="241"/>
      <c r="J1455" s="241"/>
      <c r="K1455" s="241"/>
      <c r="L1455" s="242"/>
      <c r="M1455" s="241"/>
      <c r="N1455" s="241"/>
      <c r="O1455" s="241"/>
      <c r="P1455" s="241"/>
      <c r="Q1455" s="241"/>
      <c r="R1455" s="241"/>
      <c r="S1455" s="241"/>
      <c r="T1455" s="241"/>
      <c r="U1455" s="241"/>
      <c r="V1455" s="241"/>
      <c r="W1455" s="241"/>
      <c r="X1455" s="243"/>
      <c r="Y1455" s="243"/>
      <c r="Z1455" s="243"/>
      <c r="AA1455" s="243"/>
      <c r="AB1455" s="243"/>
      <c r="AC1455" s="243"/>
      <c r="AD1455" s="243"/>
      <c r="AE1455" s="243"/>
      <c r="AF1455" s="243"/>
      <c r="AG1455" s="243"/>
      <c r="AH1455" s="243"/>
      <c r="AI1455" s="243"/>
      <c r="AJ1455" s="243"/>
    </row>
    <row r="1456" hidden="1">
      <c r="A1456" s="241"/>
      <c r="B1456" s="241"/>
      <c r="C1456" s="241"/>
      <c r="D1456" s="241"/>
      <c r="E1456" s="241"/>
      <c r="F1456" s="241"/>
      <c r="G1456" s="241"/>
      <c r="H1456" s="241"/>
      <c r="I1456" s="241"/>
      <c r="J1456" s="241"/>
      <c r="K1456" s="241"/>
      <c r="L1456" s="242"/>
      <c r="M1456" s="241"/>
      <c r="N1456" s="241"/>
      <c r="O1456" s="241"/>
      <c r="P1456" s="241"/>
      <c r="Q1456" s="241"/>
      <c r="R1456" s="241"/>
      <c r="S1456" s="241"/>
      <c r="T1456" s="241"/>
      <c r="U1456" s="241"/>
      <c r="V1456" s="241"/>
      <c r="W1456" s="241"/>
      <c r="X1456" s="243"/>
      <c r="Y1456" s="243"/>
      <c r="Z1456" s="243"/>
      <c r="AA1456" s="243"/>
      <c r="AB1456" s="243"/>
      <c r="AC1456" s="243"/>
      <c r="AD1456" s="243"/>
      <c r="AE1456" s="243"/>
      <c r="AF1456" s="243"/>
      <c r="AG1456" s="243"/>
      <c r="AH1456" s="243"/>
      <c r="AI1456" s="243"/>
      <c r="AJ1456" s="243"/>
    </row>
    <row r="1457" hidden="1">
      <c r="A1457" s="241"/>
      <c r="B1457" s="241"/>
      <c r="C1457" s="241"/>
      <c r="D1457" s="241"/>
      <c r="E1457" s="241"/>
      <c r="F1457" s="241"/>
      <c r="G1457" s="241"/>
      <c r="H1457" s="241"/>
      <c r="I1457" s="241"/>
      <c r="J1457" s="241"/>
      <c r="K1457" s="241"/>
      <c r="L1457" s="242"/>
      <c r="M1457" s="241"/>
      <c r="N1457" s="241"/>
      <c r="O1457" s="241"/>
      <c r="P1457" s="241"/>
      <c r="Q1457" s="241"/>
      <c r="R1457" s="241"/>
      <c r="S1457" s="241"/>
      <c r="T1457" s="241"/>
      <c r="U1457" s="241"/>
      <c r="V1457" s="241"/>
      <c r="W1457" s="241"/>
      <c r="X1457" s="243"/>
      <c r="Y1457" s="243"/>
      <c r="Z1457" s="243"/>
      <c r="AA1457" s="243"/>
      <c r="AB1457" s="243"/>
      <c r="AC1457" s="243"/>
      <c r="AD1457" s="243"/>
      <c r="AE1457" s="243"/>
      <c r="AF1457" s="243"/>
      <c r="AG1457" s="243"/>
      <c r="AH1457" s="243"/>
      <c r="AI1457" s="243"/>
      <c r="AJ1457" s="243"/>
    </row>
    <row r="1458" hidden="1">
      <c r="A1458" s="241"/>
      <c r="B1458" s="241"/>
      <c r="C1458" s="241"/>
      <c r="D1458" s="241"/>
      <c r="E1458" s="241"/>
      <c r="F1458" s="241"/>
      <c r="G1458" s="241"/>
      <c r="H1458" s="241"/>
      <c r="I1458" s="241"/>
      <c r="J1458" s="241"/>
      <c r="K1458" s="241"/>
      <c r="L1458" s="242"/>
      <c r="M1458" s="241"/>
      <c r="N1458" s="241"/>
      <c r="O1458" s="241"/>
      <c r="P1458" s="241"/>
      <c r="Q1458" s="241"/>
      <c r="R1458" s="241"/>
      <c r="S1458" s="241"/>
      <c r="T1458" s="241"/>
      <c r="U1458" s="241"/>
      <c r="V1458" s="241"/>
      <c r="W1458" s="241"/>
      <c r="X1458" s="243"/>
      <c r="Y1458" s="243"/>
      <c r="Z1458" s="243"/>
      <c r="AA1458" s="243"/>
      <c r="AB1458" s="243"/>
      <c r="AC1458" s="243"/>
      <c r="AD1458" s="243"/>
      <c r="AE1458" s="243"/>
      <c r="AF1458" s="243"/>
      <c r="AG1458" s="243"/>
      <c r="AH1458" s="243"/>
      <c r="AI1458" s="243"/>
      <c r="AJ1458" s="243"/>
    </row>
    <row r="1459" hidden="1">
      <c r="A1459" s="241"/>
      <c r="B1459" s="241"/>
      <c r="C1459" s="241"/>
      <c r="D1459" s="241"/>
      <c r="E1459" s="241"/>
      <c r="F1459" s="241"/>
      <c r="G1459" s="241"/>
      <c r="H1459" s="241"/>
      <c r="I1459" s="241"/>
      <c r="J1459" s="241"/>
      <c r="K1459" s="241"/>
      <c r="L1459" s="242"/>
      <c r="M1459" s="241"/>
      <c r="N1459" s="241"/>
      <c r="O1459" s="241"/>
      <c r="P1459" s="241"/>
      <c r="Q1459" s="241"/>
      <c r="R1459" s="241"/>
      <c r="S1459" s="241"/>
      <c r="T1459" s="241"/>
      <c r="U1459" s="241"/>
      <c r="V1459" s="241"/>
      <c r="W1459" s="241"/>
      <c r="X1459" s="243"/>
      <c r="Y1459" s="243"/>
      <c r="Z1459" s="243"/>
      <c r="AA1459" s="243"/>
      <c r="AB1459" s="243"/>
      <c r="AC1459" s="243"/>
      <c r="AD1459" s="243"/>
      <c r="AE1459" s="243"/>
      <c r="AF1459" s="243"/>
      <c r="AG1459" s="243"/>
      <c r="AH1459" s="243"/>
      <c r="AI1459" s="243"/>
      <c r="AJ1459" s="243"/>
    </row>
    <row r="1460" hidden="1">
      <c r="A1460" s="241"/>
      <c r="B1460" s="241"/>
      <c r="C1460" s="241"/>
      <c r="D1460" s="241"/>
      <c r="E1460" s="241"/>
      <c r="F1460" s="241"/>
      <c r="G1460" s="241"/>
      <c r="H1460" s="241"/>
      <c r="I1460" s="241"/>
      <c r="J1460" s="241"/>
      <c r="K1460" s="241"/>
      <c r="L1460" s="242"/>
      <c r="M1460" s="241"/>
      <c r="N1460" s="241"/>
      <c r="O1460" s="241"/>
      <c r="P1460" s="241"/>
      <c r="Q1460" s="241"/>
      <c r="R1460" s="241"/>
      <c r="S1460" s="241"/>
      <c r="T1460" s="241"/>
      <c r="U1460" s="241"/>
      <c r="V1460" s="241"/>
      <c r="W1460" s="241"/>
      <c r="X1460" s="243"/>
      <c r="Y1460" s="243"/>
      <c r="Z1460" s="243"/>
      <c r="AA1460" s="243"/>
      <c r="AB1460" s="243"/>
      <c r="AC1460" s="243"/>
      <c r="AD1460" s="243"/>
      <c r="AE1460" s="243"/>
      <c r="AF1460" s="243"/>
      <c r="AG1460" s="243"/>
      <c r="AH1460" s="243"/>
      <c r="AI1460" s="243"/>
      <c r="AJ1460" s="243"/>
    </row>
    <row r="1461" hidden="1">
      <c r="A1461" s="241"/>
      <c r="B1461" s="241"/>
      <c r="C1461" s="241"/>
      <c r="D1461" s="241"/>
      <c r="E1461" s="241"/>
      <c r="F1461" s="241"/>
      <c r="G1461" s="241"/>
      <c r="H1461" s="241"/>
      <c r="I1461" s="241"/>
      <c r="J1461" s="241"/>
      <c r="K1461" s="241"/>
      <c r="L1461" s="242"/>
      <c r="M1461" s="241"/>
      <c r="N1461" s="241"/>
      <c r="O1461" s="241"/>
      <c r="P1461" s="241"/>
      <c r="Q1461" s="241"/>
      <c r="R1461" s="241"/>
      <c r="S1461" s="241"/>
      <c r="T1461" s="241"/>
      <c r="U1461" s="241"/>
      <c r="V1461" s="241"/>
      <c r="W1461" s="241"/>
      <c r="X1461" s="243"/>
      <c r="Y1461" s="243"/>
      <c r="Z1461" s="243"/>
      <c r="AA1461" s="243"/>
      <c r="AB1461" s="243"/>
      <c r="AC1461" s="243"/>
      <c r="AD1461" s="243"/>
      <c r="AE1461" s="243"/>
      <c r="AF1461" s="243"/>
      <c r="AG1461" s="243"/>
      <c r="AH1461" s="243"/>
      <c r="AI1461" s="243"/>
      <c r="AJ1461" s="243"/>
    </row>
    <row r="1462" hidden="1">
      <c r="A1462" s="241"/>
      <c r="B1462" s="241"/>
      <c r="C1462" s="241"/>
      <c r="D1462" s="241"/>
      <c r="E1462" s="241"/>
      <c r="F1462" s="241"/>
      <c r="G1462" s="241"/>
      <c r="H1462" s="241"/>
      <c r="I1462" s="241"/>
      <c r="J1462" s="241"/>
      <c r="K1462" s="241"/>
      <c r="L1462" s="242"/>
      <c r="M1462" s="241"/>
      <c r="N1462" s="241"/>
      <c r="O1462" s="241"/>
      <c r="P1462" s="241"/>
      <c r="Q1462" s="241"/>
      <c r="R1462" s="241"/>
      <c r="S1462" s="241"/>
      <c r="T1462" s="241"/>
      <c r="U1462" s="241"/>
      <c r="V1462" s="241"/>
      <c r="W1462" s="241"/>
      <c r="X1462" s="243"/>
      <c r="Y1462" s="243"/>
      <c r="Z1462" s="243"/>
      <c r="AA1462" s="243"/>
      <c r="AB1462" s="243"/>
      <c r="AC1462" s="243"/>
      <c r="AD1462" s="243"/>
      <c r="AE1462" s="243"/>
      <c r="AF1462" s="243"/>
      <c r="AG1462" s="243"/>
      <c r="AH1462" s="243"/>
      <c r="AI1462" s="243"/>
      <c r="AJ1462" s="243"/>
    </row>
    <row r="1463" hidden="1">
      <c r="A1463" s="241"/>
      <c r="B1463" s="241"/>
      <c r="C1463" s="241"/>
      <c r="D1463" s="241"/>
      <c r="E1463" s="241"/>
      <c r="F1463" s="241"/>
      <c r="G1463" s="241"/>
      <c r="H1463" s="241"/>
      <c r="I1463" s="241"/>
      <c r="J1463" s="241"/>
      <c r="K1463" s="241"/>
      <c r="L1463" s="242"/>
      <c r="M1463" s="241"/>
      <c r="N1463" s="241"/>
      <c r="O1463" s="241"/>
      <c r="P1463" s="241"/>
      <c r="Q1463" s="241"/>
      <c r="R1463" s="241"/>
      <c r="S1463" s="241"/>
      <c r="T1463" s="241"/>
      <c r="U1463" s="241"/>
      <c r="V1463" s="241"/>
      <c r="W1463" s="241"/>
      <c r="X1463" s="243"/>
      <c r="Y1463" s="243"/>
      <c r="Z1463" s="243"/>
      <c r="AA1463" s="243"/>
      <c r="AB1463" s="243"/>
      <c r="AC1463" s="243"/>
      <c r="AD1463" s="243"/>
      <c r="AE1463" s="243"/>
      <c r="AF1463" s="243"/>
      <c r="AG1463" s="243"/>
      <c r="AH1463" s="243"/>
      <c r="AI1463" s="243"/>
      <c r="AJ1463" s="243"/>
    </row>
    <row r="1464" hidden="1">
      <c r="A1464" s="241"/>
      <c r="B1464" s="241"/>
      <c r="C1464" s="241"/>
      <c r="D1464" s="241"/>
      <c r="E1464" s="241"/>
      <c r="F1464" s="241"/>
      <c r="G1464" s="241"/>
      <c r="H1464" s="241"/>
      <c r="I1464" s="241"/>
      <c r="J1464" s="241"/>
      <c r="K1464" s="241"/>
      <c r="L1464" s="242"/>
      <c r="M1464" s="241"/>
      <c r="N1464" s="241"/>
      <c r="O1464" s="241"/>
      <c r="P1464" s="241"/>
      <c r="Q1464" s="241"/>
      <c r="R1464" s="241"/>
      <c r="S1464" s="241"/>
      <c r="T1464" s="241"/>
      <c r="U1464" s="241"/>
      <c r="V1464" s="241"/>
      <c r="W1464" s="241"/>
      <c r="X1464" s="243"/>
      <c r="Y1464" s="243"/>
      <c r="Z1464" s="243"/>
      <c r="AA1464" s="243"/>
      <c r="AB1464" s="243"/>
      <c r="AC1464" s="243"/>
      <c r="AD1464" s="243"/>
      <c r="AE1464" s="243"/>
      <c r="AF1464" s="243"/>
      <c r="AG1464" s="243"/>
      <c r="AH1464" s="243"/>
      <c r="AI1464" s="243"/>
      <c r="AJ1464" s="243"/>
    </row>
    <row r="1465" hidden="1">
      <c r="A1465" s="241"/>
      <c r="B1465" s="241"/>
      <c r="C1465" s="241"/>
      <c r="D1465" s="241"/>
      <c r="E1465" s="241"/>
      <c r="F1465" s="241"/>
      <c r="G1465" s="241"/>
      <c r="H1465" s="241"/>
      <c r="I1465" s="241"/>
      <c r="J1465" s="241"/>
      <c r="K1465" s="241"/>
      <c r="L1465" s="242"/>
      <c r="M1465" s="241"/>
      <c r="N1465" s="241"/>
      <c r="O1465" s="241"/>
      <c r="P1465" s="241"/>
      <c r="Q1465" s="241"/>
      <c r="R1465" s="241"/>
      <c r="S1465" s="241"/>
      <c r="T1465" s="241"/>
      <c r="U1465" s="241"/>
      <c r="V1465" s="241"/>
      <c r="W1465" s="241"/>
      <c r="X1465" s="243"/>
      <c r="Y1465" s="243"/>
      <c r="Z1465" s="243"/>
      <c r="AA1465" s="243"/>
      <c r="AB1465" s="243"/>
      <c r="AC1465" s="243"/>
      <c r="AD1465" s="243"/>
      <c r="AE1465" s="243"/>
      <c r="AF1465" s="243"/>
      <c r="AG1465" s="243"/>
      <c r="AH1465" s="243"/>
      <c r="AI1465" s="243"/>
      <c r="AJ1465" s="243"/>
    </row>
    <row r="1466" hidden="1">
      <c r="A1466" s="241"/>
      <c r="B1466" s="241"/>
      <c r="C1466" s="241"/>
      <c r="D1466" s="241"/>
      <c r="E1466" s="241"/>
      <c r="F1466" s="241"/>
      <c r="G1466" s="241"/>
      <c r="H1466" s="241"/>
      <c r="I1466" s="241"/>
      <c r="J1466" s="241"/>
      <c r="K1466" s="241"/>
      <c r="L1466" s="242"/>
      <c r="M1466" s="241"/>
      <c r="N1466" s="241"/>
      <c r="O1466" s="241"/>
      <c r="P1466" s="241"/>
      <c r="Q1466" s="241"/>
      <c r="R1466" s="241"/>
      <c r="S1466" s="241"/>
      <c r="T1466" s="241"/>
      <c r="U1466" s="241"/>
      <c r="V1466" s="241"/>
      <c r="W1466" s="241"/>
      <c r="X1466" s="243"/>
      <c r="Y1466" s="243"/>
      <c r="Z1466" s="243"/>
      <c r="AA1466" s="243"/>
      <c r="AB1466" s="243"/>
      <c r="AC1466" s="243"/>
      <c r="AD1466" s="243"/>
      <c r="AE1466" s="243"/>
      <c r="AF1466" s="243"/>
      <c r="AG1466" s="243"/>
      <c r="AH1466" s="243"/>
      <c r="AI1466" s="243"/>
      <c r="AJ1466" s="243"/>
    </row>
    <row r="1467" hidden="1">
      <c r="A1467" s="241"/>
      <c r="B1467" s="241"/>
      <c r="C1467" s="241"/>
      <c r="D1467" s="241"/>
      <c r="E1467" s="241"/>
      <c r="F1467" s="241"/>
      <c r="G1467" s="241"/>
      <c r="H1467" s="241"/>
      <c r="I1467" s="241"/>
      <c r="J1467" s="241"/>
      <c r="K1467" s="241"/>
      <c r="L1467" s="242"/>
      <c r="M1467" s="241"/>
      <c r="N1467" s="241"/>
      <c r="O1467" s="241"/>
      <c r="P1467" s="241"/>
      <c r="Q1467" s="241"/>
      <c r="R1467" s="241"/>
      <c r="S1467" s="241"/>
      <c r="T1467" s="241"/>
      <c r="U1467" s="241"/>
      <c r="V1467" s="241"/>
      <c r="W1467" s="241"/>
      <c r="X1467" s="243"/>
      <c r="Y1467" s="243"/>
      <c r="Z1467" s="243"/>
      <c r="AA1467" s="243"/>
      <c r="AB1467" s="243"/>
      <c r="AC1467" s="243"/>
      <c r="AD1467" s="243"/>
      <c r="AE1467" s="243"/>
      <c r="AF1467" s="243"/>
      <c r="AG1467" s="243"/>
      <c r="AH1467" s="243"/>
      <c r="AI1467" s="243"/>
      <c r="AJ1467" s="243"/>
    </row>
    <row r="1468" hidden="1">
      <c r="A1468" s="241"/>
      <c r="B1468" s="241"/>
      <c r="C1468" s="241"/>
      <c r="D1468" s="241"/>
      <c r="E1468" s="241"/>
      <c r="F1468" s="241"/>
      <c r="G1468" s="241"/>
      <c r="H1468" s="241"/>
      <c r="I1468" s="241"/>
      <c r="J1468" s="241"/>
      <c r="K1468" s="241"/>
      <c r="L1468" s="242"/>
      <c r="M1468" s="241"/>
      <c r="N1468" s="241"/>
      <c r="O1468" s="241"/>
      <c r="P1468" s="241"/>
      <c r="Q1468" s="241"/>
      <c r="R1468" s="241"/>
      <c r="S1468" s="241"/>
      <c r="T1468" s="241"/>
      <c r="U1468" s="241"/>
      <c r="V1468" s="241"/>
      <c r="W1468" s="241"/>
      <c r="X1468" s="243"/>
      <c r="Y1468" s="243"/>
      <c r="Z1468" s="243"/>
      <c r="AA1468" s="243"/>
      <c r="AB1468" s="243"/>
      <c r="AC1468" s="243"/>
      <c r="AD1468" s="243"/>
      <c r="AE1468" s="243"/>
      <c r="AF1468" s="243"/>
      <c r="AG1468" s="243"/>
      <c r="AH1468" s="243"/>
      <c r="AI1468" s="243"/>
      <c r="AJ1468" s="243"/>
    </row>
    <row r="1469" hidden="1">
      <c r="A1469" s="241"/>
      <c r="B1469" s="241"/>
      <c r="C1469" s="241"/>
      <c r="D1469" s="241"/>
      <c r="E1469" s="241"/>
      <c r="F1469" s="241"/>
      <c r="G1469" s="241"/>
      <c r="H1469" s="241"/>
      <c r="I1469" s="241"/>
      <c r="J1469" s="241"/>
      <c r="K1469" s="241"/>
      <c r="L1469" s="242"/>
      <c r="M1469" s="241"/>
      <c r="N1469" s="241"/>
      <c r="O1469" s="241"/>
      <c r="P1469" s="241"/>
      <c r="Q1469" s="241"/>
      <c r="R1469" s="241"/>
      <c r="S1469" s="241"/>
      <c r="T1469" s="241"/>
      <c r="U1469" s="241"/>
      <c r="V1469" s="241"/>
      <c r="W1469" s="241"/>
      <c r="X1469" s="243"/>
      <c r="Y1469" s="243"/>
      <c r="Z1469" s="243"/>
      <c r="AA1469" s="243"/>
      <c r="AB1469" s="243"/>
      <c r="AC1469" s="243"/>
      <c r="AD1469" s="243"/>
      <c r="AE1469" s="243"/>
      <c r="AF1469" s="243"/>
      <c r="AG1469" s="243"/>
      <c r="AH1469" s="243"/>
      <c r="AI1469" s="243"/>
      <c r="AJ1469" s="243"/>
    </row>
    <row r="1470" hidden="1">
      <c r="A1470" s="241"/>
      <c r="B1470" s="241"/>
      <c r="C1470" s="241"/>
      <c r="D1470" s="241"/>
      <c r="E1470" s="241"/>
      <c r="F1470" s="241"/>
      <c r="G1470" s="241"/>
      <c r="H1470" s="241"/>
      <c r="I1470" s="241"/>
      <c r="J1470" s="241"/>
      <c r="K1470" s="241"/>
      <c r="L1470" s="242"/>
      <c r="M1470" s="241"/>
      <c r="N1470" s="241"/>
      <c r="O1470" s="241"/>
      <c r="P1470" s="241"/>
      <c r="Q1470" s="241"/>
      <c r="R1470" s="241"/>
      <c r="S1470" s="241"/>
      <c r="T1470" s="241"/>
      <c r="U1470" s="241"/>
      <c r="V1470" s="241"/>
      <c r="W1470" s="241"/>
      <c r="X1470" s="243"/>
      <c r="Y1470" s="243"/>
      <c r="Z1470" s="243"/>
      <c r="AA1470" s="243"/>
      <c r="AB1470" s="243"/>
      <c r="AC1470" s="243"/>
      <c r="AD1470" s="243"/>
      <c r="AE1470" s="243"/>
      <c r="AF1470" s="243"/>
      <c r="AG1470" s="243"/>
      <c r="AH1470" s="243"/>
      <c r="AI1470" s="243"/>
      <c r="AJ1470" s="243"/>
    </row>
    <row r="1471" hidden="1">
      <c r="A1471" s="241"/>
      <c r="B1471" s="241"/>
      <c r="C1471" s="241"/>
      <c r="D1471" s="241"/>
      <c r="E1471" s="241"/>
      <c r="F1471" s="241"/>
      <c r="G1471" s="241"/>
      <c r="H1471" s="241"/>
      <c r="I1471" s="241"/>
      <c r="J1471" s="241"/>
      <c r="K1471" s="241"/>
      <c r="L1471" s="242"/>
      <c r="M1471" s="241"/>
      <c r="N1471" s="241"/>
      <c r="O1471" s="241"/>
      <c r="P1471" s="241"/>
      <c r="Q1471" s="241"/>
      <c r="R1471" s="241"/>
      <c r="S1471" s="241"/>
      <c r="T1471" s="241"/>
      <c r="U1471" s="241"/>
      <c r="V1471" s="241"/>
      <c r="W1471" s="241"/>
      <c r="X1471" s="243"/>
      <c r="Y1471" s="243"/>
      <c r="Z1471" s="243"/>
      <c r="AA1471" s="243"/>
      <c r="AB1471" s="243"/>
      <c r="AC1471" s="243"/>
      <c r="AD1471" s="243"/>
      <c r="AE1471" s="243"/>
      <c r="AF1471" s="243"/>
      <c r="AG1471" s="243"/>
      <c r="AH1471" s="243"/>
      <c r="AI1471" s="243"/>
      <c r="AJ1471" s="243"/>
    </row>
    <row r="1472" hidden="1">
      <c r="A1472" s="241"/>
      <c r="B1472" s="241"/>
      <c r="C1472" s="241"/>
      <c r="D1472" s="241"/>
      <c r="E1472" s="241"/>
      <c r="F1472" s="241"/>
      <c r="G1472" s="241"/>
      <c r="H1472" s="241"/>
      <c r="I1472" s="241"/>
      <c r="J1472" s="241"/>
      <c r="K1472" s="241"/>
      <c r="L1472" s="242"/>
      <c r="M1472" s="241"/>
      <c r="N1472" s="241"/>
      <c r="O1472" s="241"/>
      <c r="P1472" s="241"/>
      <c r="Q1472" s="241"/>
      <c r="R1472" s="241"/>
      <c r="S1472" s="241"/>
      <c r="T1472" s="241"/>
      <c r="U1472" s="241"/>
      <c r="V1472" s="241"/>
      <c r="W1472" s="241"/>
      <c r="X1472" s="243"/>
      <c r="Y1472" s="243"/>
      <c r="Z1472" s="243"/>
      <c r="AA1472" s="243"/>
      <c r="AB1472" s="243"/>
      <c r="AC1472" s="243"/>
      <c r="AD1472" s="243"/>
      <c r="AE1472" s="243"/>
      <c r="AF1472" s="243"/>
      <c r="AG1472" s="243"/>
      <c r="AH1472" s="243"/>
      <c r="AI1472" s="243"/>
      <c r="AJ1472" s="243"/>
    </row>
    <row r="1473" hidden="1">
      <c r="A1473" s="241"/>
      <c r="B1473" s="241"/>
      <c r="C1473" s="241"/>
      <c r="D1473" s="241"/>
      <c r="E1473" s="241"/>
      <c r="F1473" s="241"/>
      <c r="G1473" s="241"/>
      <c r="H1473" s="241"/>
      <c r="I1473" s="241"/>
      <c r="J1473" s="241"/>
      <c r="K1473" s="241"/>
      <c r="L1473" s="242"/>
      <c r="M1473" s="241"/>
      <c r="N1473" s="241"/>
      <c r="O1473" s="241"/>
      <c r="P1473" s="241"/>
      <c r="Q1473" s="241"/>
      <c r="R1473" s="241"/>
      <c r="S1473" s="241"/>
      <c r="T1473" s="241"/>
      <c r="U1473" s="241"/>
      <c r="V1473" s="241"/>
      <c r="W1473" s="241"/>
      <c r="X1473" s="243"/>
      <c r="Y1473" s="243"/>
      <c r="Z1473" s="243"/>
      <c r="AA1473" s="243"/>
      <c r="AB1473" s="243"/>
      <c r="AC1473" s="243"/>
      <c r="AD1473" s="243"/>
      <c r="AE1473" s="243"/>
      <c r="AF1473" s="243"/>
      <c r="AG1473" s="243"/>
      <c r="AH1473" s="243"/>
      <c r="AI1473" s="243"/>
      <c r="AJ1473" s="243"/>
    </row>
    <row r="1474" hidden="1">
      <c r="A1474" s="241"/>
      <c r="B1474" s="241"/>
      <c r="C1474" s="241"/>
      <c r="D1474" s="241"/>
      <c r="E1474" s="241"/>
      <c r="F1474" s="241"/>
      <c r="G1474" s="241"/>
      <c r="H1474" s="241"/>
      <c r="I1474" s="241"/>
      <c r="J1474" s="241"/>
      <c r="K1474" s="241"/>
      <c r="L1474" s="242"/>
      <c r="M1474" s="241"/>
      <c r="N1474" s="241"/>
      <c r="O1474" s="241"/>
      <c r="P1474" s="241"/>
      <c r="Q1474" s="241"/>
      <c r="R1474" s="241"/>
      <c r="S1474" s="241"/>
      <c r="T1474" s="241"/>
      <c r="U1474" s="241"/>
      <c r="V1474" s="241"/>
      <c r="W1474" s="241"/>
      <c r="X1474" s="243"/>
      <c r="Y1474" s="243"/>
      <c r="Z1474" s="243"/>
      <c r="AA1474" s="243"/>
      <c r="AB1474" s="243"/>
      <c r="AC1474" s="243"/>
      <c r="AD1474" s="243"/>
      <c r="AE1474" s="243"/>
      <c r="AF1474" s="243"/>
      <c r="AG1474" s="243"/>
      <c r="AH1474" s="243"/>
      <c r="AI1474" s="243"/>
      <c r="AJ1474" s="243"/>
    </row>
    <row r="1475" hidden="1">
      <c r="A1475" s="241"/>
      <c r="B1475" s="241"/>
      <c r="C1475" s="241"/>
      <c r="D1475" s="241"/>
      <c r="E1475" s="241"/>
      <c r="F1475" s="241"/>
      <c r="G1475" s="241"/>
      <c r="H1475" s="241"/>
      <c r="I1475" s="241"/>
      <c r="J1475" s="241"/>
      <c r="K1475" s="241"/>
      <c r="L1475" s="242"/>
      <c r="M1475" s="241"/>
      <c r="N1475" s="241"/>
      <c r="O1475" s="241"/>
      <c r="P1475" s="241"/>
      <c r="Q1475" s="241"/>
      <c r="R1475" s="241"/>
      <c r="S1475" s="241"/>
      <c r="T1475" s="241"/>
      <c r="U1475" s="241"/>
      <c r="V1475" s="241"/>
      <c r="W1475" s="241"/>
      <c r="X1475" s="243"/>
      <c r="Y1475" s="243"/>
      <c r="Z1475" s="243"/>
      <c r="AA1475" s="243"/>
      <c r="AB1475" s="243"/>
      <c r="AC1475" s="243"/>
      <c r="AD1475" s="243"/>
      <c r="AE1475" s="243"/>
      <c r="AF1475" s="243"/>
      <c r="AG1475" s="243"/>
      <c r="AH1475" s="243"/>
      <c r="AI1475" s="243"/>
      <c r="AJ1475" s="243"/>
    </row>
    <row r="1476" hidden="1">
      <c r="A1476" s="241"/>
      <c r="B1476" s="241"/>
      <c r="C1476" s="241"/>
      <c r="D1476" s="241"/>
      <c r="E1476" s="241"/>
      <c r="F1476" s="241"/>
      <c r="G1476" s="241"/>
      <c r="H1476" s="241"/>
      <c r="I1476" s="241"/>
      <c r="J1476" s="241"/>
      <c r="K1476" s="241"/>
      <c r="L1476" s="242"/>
      <c r="M1476" s="241"/>
      <c r="N1476" s="241"/>
      <c r="O1476" s="241"/>
      <c r="P1476" s="241"/>
      <c r="Q1476" s="241"/>
      <c r="R1476" s="241"/>
      <c r="S1476" s="241"/>
      <c r="T1476" s="241"/>
      <c r="U1476" s="241"/>
      <c r="V1476" s="241"/>
      <c r="W1476" s="241"/>
      <c r="X1476" s="243"/>
      <c r="Y1476" s="243"/>
      <c r="Z1476" s="243"/>
      <c r="AA1476" s="243"/>
      <c r="AB1476" s="243"/>
      <c r="AC1476" s="243"/>
      <c r="AD1476" s="243"/>
      <c r="AE1476" s="243"/>
      <c r="AF1476" s="243"/>
      <c r="AG1476" s="243"/>
      <c r="AH1476" s="243"/>
      <c r="AI1476" s="243"/>
      <c r="AJ1476" s="243"/>
    </row>
    <row r="1477" hidden="1">
      <c r="A1477" s="241"/>
      <c r="B1477" s="241"/>
      <c r="C1477" s="241"/>
      <c r="D1477" s="241"/>
      <c r="E1477" s="241"/>
      <c r="F1477" s="241"/>
      <c r="G1477" s="241"/>
      <c r="H1477" s="241"/>
      <c r="I1477" s="241"/>
      <c r="J1477" s="241"/>
      <c r="K1477" s="241"/>
      <c r="L1477" s="242"/>
      <c r="M1477" s="241"/>
      <c r="N1477" s="241"/>
      <c r="O1477" s="241"/>
      <c r="P1477" s="241"/>
      <c r="Q1477" s="241"/>
      <c r="R1477" s="241"/>
      <c r="S1477" s="241"/>
      <c r="T1477" s="241"/>
      <c r="U1477" s="241"/>
      <c r="V1477" s="241"/>
      <c r="W1477" s="241"/>
      <c r="X1477" s="243"/>
      <c r="Y1477" s="243"/>
      <c r="Z1477" s="243"/>
      <c r="AA1477" s="243"/>
      <c r="AB1477" s="243"/>
      <c r="AC1477" s="243"/>
      <c r="AD1477" s="243"/>
      <c r="AE1477" s="243"/>
      <c r="AF1477" s="243"/>
      <c r="AG1477" s="243"/>
      <c r="AH1477" s="243"/>
      <c r="AI1477" s="243"/>
      <c r="AJ1477" s="243"/>
    </row>
    <row r="1478" hidden="1">
      <c r="A1478" s="241"/>
      <c r="B1478" s="241"/>
      <c r="C1478" s="241"/>
      <c r="D1478" s="241"/>
      <c r="E1478" s="241"/>
      <c r="F1478" s="241"/>
      <c r="G1478" s="241"/>
      <c r="H1478" s="241"/>
      <c r="I1478" s="241"/>
      <c r="J1478" s="241"/>
      <c r="K1478" s="241"/>
      <c r="L1478" s="242"/>
      <c r="M1478" s="241"/>
      <c r="N1478" s="241"/>
      <c r="O1478" s="241"/>
      <c r="P1478" s="241"/>
      <c r="Q1478" s="241"/>
      <c r="R1478" s="241"/>
      <c r="S1478" s="241"/>
      <c r="T1478" s="241"/>
      <c r="U1478" s="241"/>
      <c r="V1478" s="241"/>
      <c r="W1478" s="241"/>
      <c r="X1478" s="243"/>
      <c r="Y1478" s="243"/>
      <c r="Z1478" s="243"/>
      <c r="AA1478" s="243"/>
      <c r="AB1478" s="243"/>
      <c r="AC1478" s="243"/>
      <c r="AD1478" s="243"/>
      <c r="AE1478" s="243"/>
      <c r="AF1478" s="243"/>
      <c r="AG1478" s="243"/>
      <c r="AH1478" s="243"/>
      <c r="AI1478" s="243"/>
      <c r="AJ1478" s="243"/>
    </row>
    <row r="1479" hidden="1">
      <c r="A1479" s="241"/>
      <c r="B1479" s="241"/>
      <c r="C1479" s="241"/>
      <c r="D1479" s="241"/>
      <c r="E1479" s="241"/>
      <c r="F1479" s="241"/>
      <c r="G1479" s="241"/>
      <c r="H1479" s="241"/>
      <c r="I1479" s="241"/>
      <c r="J1479" s="241"/>
      <c r="K1479" s="241"/>
      <c r="L1479" s="242"/>
      <c r="M1479" s="241"/>
      <c r="N1479" s="241"/>
      <c r="O1479" s="241"/>
      <c r="P1479" s="241"/>
      <c r="Q1479" s="241"/>
      <c r="R1479" s="241"/>
      <c r="S1479" s="241"/>
      <c r="T1479" s="241"/>
      <c r="U1479" s="241"/>
      <c r="V1479" s="241"/>
      <c r="W1479" s="241"/>
      <c r="X1479" s="243"/>
      <c r="Y1479" s="243"/>
      <c r="Z1479" s="243"/>
      <c r="AA1479" s="243"/>
      <c r="AB1479" s="243"/>
      <c r="AC1479" s="243"/>
      <c r="AD1479" s="243"/>
      <c r="AE1479" s="243"/>
      <c r="AF1479" s="243"/>
      <c r="AG1479" s="243"/>
      <c r="AH1479" s="243"/>
      <c r="AI1479" s="243"/>
      <c r="AJ1479" s="243"/>
    </row>
    <row r="1480" hidden="1">
      <c r="A1480" s="241"/>
      <c r="B1480" s="241"/>
      <c r="C1480" s="241"/>
      <c r="D1480" s="241"/>
      <c r="E1480" s="241"/>
      <c r="F1480" s="241"/>
      <c r="G1480" s="241"/>
      <c r="H1480" s="241"/>
      <c r="I1480" s="241"/>
      <c r="J1480" s="241"/>
      <c r="K1480" s="241"/>
      <c r="L1480" s="242"/>
      <c r="M1480" s="241"/>
      <c r="N1480" s="241"/>
      <c r="O1480" s="241"/>
      <c r="P1480" s="241"/>
      <c r="Q1480" s="241"/>
      <c r="R1480" s="241"/>
      <c r="S1480" s="241"/>
      <c r="T1480" s="241"/>
      <c r="U1480" s="241"/>
      <c r="V1480" s="241"/>
      <c r="W1480" s="241"/>
      <c r="X1480" s="243"/>
      <c r="Y1480" s="243"/>
      <c r="Z1480" s="243"/>
      <c r="AA1480" s="243"/>
      <c r="AB1480" s="243"/>
      <c r="AC1480" s="243"/>
      <c r="AD1480" s="243"/>
      <c r="AE1480" s="243"/>
      <c r="AF1480" s="243"/>
      <c r="AG1480" s="243"/>
      <c r="AH1480" s="243"/>
      <c r="AI1480" s="243"/>
      <c r="AJ1480" s="243"/>
    </row>
    <row r="1481" hidden="1">
      <c r="A1481" s="241"/>
      <c r="B1481" s="241"/>
      <c r="C1481" s="241"/>
      <c r="D1481" s="241"/>
      <c r="E1481" s="241"/>
      <c r="F1481" s="241"/>
      <c r="G1481" s="241"/>
      <c r="H1481" s="241"/>
      <c r="I1481" s="241"/>
      <c r="J1481" s="241"/>
      <c r="K1481" s="241"/>
      <c r="L1481" s="242"/>
      <c r="M1481" s="241"/>
      <c r="N1481" s="241"/>
      <c r="O1481" s="241"/>
      <c r="P1481" s="241"/>
      <c r="Q1481" s="241"/>
      <c r="R1481" s="241"/>
      <c r="S1481" s="241"/>
      <c r="T1481" s="241"/>
      <c r="U1481" s="241"/>
      <c r="V1481" s="241"/>
      <c r="W1481" s="241"/>
      <c r="X1481" s="243"/>
      <c r="Y1481" s="243"/>
      <c r="Z1481" s="243"/>
      <c r="AA1481" s="243"/>
      <c r="AB1481" s="243"/>
      <c r="AC1481" s="243"/>
      <c r="AD1481" s="243"/>
      <c r="AE1481" s="243"/>
      <c r="AF1481" s="243"/>
      <c r="AG1481" s="243"/>
      <c r="AH1481" s="243"/>
      <c r="AI1481" s="243"/>
      <c r="AJ1481" s="243"/>
    </row>
    <row r="1482" hidden="1">
      <c r="A1482" s="241"/>
      <c r="B1482" s="241"/>
      <c r="C1482" s="241"/>
      <c r="D1482" s="241"/>
      <c r="E1482" s="241"/>
      <c r="F1482" s="241"/>
      <c r="G1482" s="241"/>
      <c r="H1482" s="241"/>
      <c r="I1482" s="241"/>
      <c r="J1482" s="241"/>
      <c r="K1482" s="241"/>
      <c r="L1482" s="242"/>
      <c r="M1482" s="241"/>
      <c r="N1482" s="241"/>
      <c r="O1482" s="241"/>
      <c r="P1482" s="241"/>
      <c r="Q1482" s="241"/>
      <c r="R1482" s="241"/>
      <c r="S1482" s="241"/>
      <c r="T1482" s="241"/>
      <c r="U1482" s="241"/>
      <c r="V1482" s="241"/>
      <c r="W1482" s="241"/>
      <c r="X1482" s="243"/>
      <c r="Y1482" s="243"/>
      <c r="Z1482" s="243"/>
      <c r="AA1482" s="243"/>
      <c r="AB1482" s="243"/>
      <c r="AC1482" s="243"/>
      <c r="AD1482" s="243"/>
      <c r="AE1482" s="243"/>
      <c r="AF1482" s="243"/>
      <c r="AG1482" s="243"/>
      <c r="AH1482" s="243"/>
      <c r="AI1482" s="243"/>
      <c r="AJ1482" s="243"/>
    </row>
    <row r="1483" hidden="1">
      <c r="A1483" s="241"/>
      <c r="B1483" s="241"/>
      <c r="C1483" s="241"/>
      <c r="D1483" s="241"/>
      <c r="E1483" s="241"/>
      <c r="F1483" s="241"/>
      <c r="G1483" s="241"/>
      <c r="H1483" s="241"/>
      <c r="I1483" s="241"/>
      <c r="J1483" s="241"/>
      <c r="K1483" s="241"/>
      <c r="L1483" s="242"/>
      <c r="M1483" s="241"/>
      <c r="N1483" s="241"/>
      <c r="O1483" s="241"/>
      <c r="P1483" s="241"/>
      <c r="Q1483" s="241"/>
      <c r="R1483" s="241"/>
      <c r="S1483" s="241"/>
      <c r="T1483" s="241"/>
      <c r="U1483" s="241"/>
      <c r="V1483" s="241"/>
      <c r="W1483" s="241"/>
      <c r="X1483" s="243"/>
      <c r="Y1483" s="243"/>
      <c r="Z1483" s="243"/>
      <c r="AA1483" s="243"/>
      <c r="AB1483" s="243"/>
      <c r="AC1483" s="243"/>
      <c r="AD1483" s="243"/>
      <c r="AE1483" s="243"/>
      <c r="AF1483" s="243"/>
      <c r="AG1483" s="243"/>
      <c r="AH1483" s="243"/>
      <c r="AI1483" s="243"/>
      <c r="AJ1483" s="243"/>
    </row>
    <row r="1484" hidden="1">
      <c r="A1484" s="241"/>
      <c r="B1484" s="241"/>
      <c r="C1484" s="241"/>
      <c r="D1484" s="241"/>
      <c r="E1484" s="241"/>
      <c r="F1484" s="241"/>
      <c r="G1484" s="241"/>
      <c r="H1484" s="241"/>
      <c r="I1484" s="241"/>
      <c r="J1484" s="241"/>
      <c r="K1484" s="241"/>
      <c r="L1484" s="242"/>
      <c r="M1484" s="241"/>
      <c r="N1484" s="241"/>
      <c r="O1484" s="241"/>
      <c r="P1484" s="241"/>
      <c r="Q1484" s="241"/>
      <c r="R1484" s="241"/>
      <c r="S1484" s="241"/>
      <c r="T1484" s="241"/>
      <c r="U1484" s="241"/>
      <c r="V1484" s="241"/>
      <c r="W1484" s="241"/>
      <c r="X1484" s="243"/>
      <c r="Y1484" s="243"/>
      <c r="Z1484" s="243"/>
      <c r="AA1484" s="243"/>
      <c r="AB1484" s="243"/>
      <c r="AC1484" s="243"/>
      <c r="AD1484" s="243"/>
      <c r="AE1484" s="243"/>
      <c r="AF1484" s="243"/>
      <c r="AG1484" s="243"/>
      <c r="AH1484" s="243"/>
      <c r="AI1484" s="243"/>
      <c r="AJ1484" s="243"/>
    </row>
    <row r="1485" hidden="1">
      <c r="A1485" s="241"/>
      <c r="B1485" s="241"/>
      <c r="C1485" s="241"/>
      <c r="D1485" s="241"/>
      <c r="E1485" s="241"/>
      <c r="F1485" s="241"/>
      <c r="G1485" s="241"/>
      <c r="H1485" s="241"/>
      <c r="I1485" s="241"/>
      <c r="J1485" s="241"/>
      <c r="K1485" s="241"/>
      <c r="L1485" s="242"/>
      <c r="M1485" s="241"/>
      <c r="N1485" s="241"/>
      <c r="O1485" s="241"/>
      <c r="P1485" s="241"/>
      <c r="Q1485" s="241"/>
      <c r="R1485" s="241"/>
      <c r="S1485" s="241"/>
      <c r="T1485" s="241"/>
      <c r="U1485" s="241"/>
      <c r="V1485" s="241"/>
      <c r="W1485" s="241"/>
      <c r="X1485" s="243"/>
      <c r="Y1485" s="243"/>
      <c r="Z1485" s="243"/>
      <c r="AA1485" s="243"/>
      <c r="AB1485" s="243"/>
      <c r="AC1485" s="243"/>
      <c r="AD1485" s="243"/>
      <c r="AE1485" s="243"/>
      <c r="AF1485" s="243"/>
      <c r="AG1485" s="243"/>
      <c r="AH1485" s="243"/>
      <c r="AI1485" s="243"/>
      <c r="AJ1485" s="243"/>
    </row>
    <row r="1486" hidden="1">
      <c r="A1486" s="241"/>
      <c r="B1486" s="241"/>
      <c r="C1486" s="241"/>
      <c r="D1486" s="241"/>
      <c r="E1486" s="241"/>
      <c r="F1486" s="241"/>
      <c r="G1486" s="241"/>
      <c r="H1486" s="241"/>
      <c r="I1486" s="241"/>
      <c r="J1486" s="241"/>
      <c r="K1486" s="241"/>
      <c r="L1486" s="242"/>
      <c r="M1486" s="241"/>
      <c r="N1486" s="241"/>
      <c r="O1486" s="241"/>
      <c r="P1486" s="241"/>
      <c r="Q1486" s="241"/>
      <c r="R1486" s="241"/>
      <c r="S1486" s="241"/>
      <c r="T1486" s="241"/>
      <c r="U1486" s="241"/>
      <c r="V1486" s="241"/>
      <c r="W1486" s="241"/>
      <c r="X1486" s="243"/>
      <c r="Y1486" s="243"/>
      <c r="Z1486" s="243"/>
      <c r="AA1486" s="243"/>
      <c r="AB1486" s="243"/>
      <c r="AC1486" s="243"/>
      <c r="AD1486" s="243"/>
      <c r="AE1486" s="243"/>
      <c r="AF1486" s="243"/>
      <c r="AG1486" s="243"/>
      <c r="AH1486" s="243"/>
      <c r="AI1486" s="243"/>
      <c r="AJ1486" s="243"/>
    </row>
    <row r="1487" hidden="1">
      <c r="A1487" s="241"/>
      <c r="B1487" s="241"/>
      <c r="C1487" s="241"/>
      <c r="D1487" s="241"/>
      <c r="E1487" s="241"/>
      <c r="F1487" s="241"/>
      <c r="G1487" s="241"/>
      <c r="H1487" s="241"/>
      <c r="I1487" s="241"/>
      <c r="J1487" s="241"/>
      <c r="K1487" s="241"/>
      <c r="L1487" s="242"/>
      <c r="M1487" s="241"/>
      <c r="N1487" s="241"/>
      <c r="O1487" s="241"/>
      <c r="P1487" s="241"/>
      <c r="Q1487" s="241"/>
      <c r="R1487" s="241"/>
      <c r="S1487" s="241"/>
      <c r="T1487" s="241"/>
      <c r="U1487" s="241"/>
      <c r="V1487" s="241"/>
      <c r="W1487" s="241"/>
      <c r="X1487" s="243"/>
      <c r="Y1487" s="243"/>
      <c r="Z1487" s="243"/>
      <c r="AA1487" s="243"/>
      <c r="AB1487" s="243"/>
      <c r="AC1487" s="243"/>
      <c r="AD1487" s="243"/>
      <c r="AE1487" s="243"/>
      <c r="AF1487" s="243"/>
      <c r="AG1487" s="243"/>
      <c r="AH1487" s="243"/>
      <c r="AI1487" s="243"/>
      <c r="AJ1487" s="243"/>
    </row>
    <row r="1488" hidden="1">
      <c r="A1488" s="241"/>
      <c r="B1488" s="241"/>
      <c r="C1488" s="241"/>
      <c r="D1488" s="241"/>
      <c r="E1488" s="241"/>
      <c r="F1488" s="241"/>
      <c r="G1488" s="241"/>
      <c r="H1488" s="241"/>
      <c r="I1488" s="241"/>
      <c r="J1488" s="241"/>
      <c r="K1488" s="241"/>
      <c r="L1488" s="242"/>
      <c r="M1488" s="241"/>
      <c r="N1488" s="241"/>
      <c r="O1488" s="241"/>
      <c r="P1488" s="241"/>
      <c r="Q1488" s="241"/>
      <c r="R1488" s="241"/>
      <c r="S1488" s="241"/>
      <c r="T1488" s="241"/>
      <c r="U1488" s="241"/>
      <c r="V1488" s="241"/>
      <c r="W1488" s="241"/>
      <c r="X1488" s="243"/>
      <c r="Y1488" s="243"/>
      <c r="Z1488" s="243"/>
      <c r="AA1488" s="243"/>
      <c r="AB1488" s="243"/>
      <c r="AC1488" s="243"/>
      <c r="AD1488" s="243"/>
      <c r="AE1488" s="243"/>
      <c r="AF1488" s="243"/>
      <c r="AG1488" s="243"/>
      <c r="AH1488" s="243"/>
      <c r="AI1488" s="243"/>
      <c r="AJ1488" s="243"/>
    </row>
    <row r="1489" hidden="1">
      <c r="A1489" s="241"/>
      <c r="B1489" s="241"/>
      <c r="C1489" s="241"/>
      <c r="D1489" s="241"/>
      <c r="E1489" s="241"/>
      <c r="F1489" s="241"/>
      <c r="G1489" s="241"/>
      <c r="H1489" s="241"/>
      <c r="I1489" s="241"/>
      <c r="J1489" s="241"/>
      <c r="K1489" s="241"/>
      <c r="L1489" s="242"/>
      <c r="M1489" s="241"/>
      <c r="N1489" s="241"/>
      <c r="O1489" s="241"/>
      <c r="P1489" s="241"/>
      <c r="Q1489" s="241"/>
      <c r="R1489" s="241"/>
      <c r="S1489" s="241"/>
      <c r="T1489" s="241"/>
      <c r="U1489" s="241"/>
      <c r="V1489" s="241"/>
      <c r="W1489" s="241"/>
      <c r="X1489" s="243"/>
      <c r="Y1489" s="243"/>
      <c r="Z1489" s="243"/>
      <c r="AA1489" s="243"/>
      <c r="AB1489" s="243"/>
      <c r="AC1489" s="243"/>
      <c r="AD1489" s="243"/>
      <c r="AE1489" s="243"/>
      <c r="AF1489" s="243"/>
      <c r="AG1489" s="243"/>
      <c r="AH1489" s="243"/>
      <c r="AI1489" s="243"/>
      <c r="AJ1489" s="243"/>
    </row>
    <row r="1490" hidden="1">
      <c r="A1490" s="241"/>
      <c r="B1490" s="241"/>
      <c r="C1490" s="241"/>
      <c r="D1490" s="241"/>
      <c r="E1490" s="241"/>
      <c r="F1490" s="241"/>
      <c r="G1490" s="241"/>
      <c r="H1490" s="241"/>
      <c r="I1490" s="241"/>
      <c r="J1490" s="241"/>
      <c r="K1490" s="241"/>
      <c r="L1490" s="242"/>
      <c r="M1490" s="241"/>
      <c r="N1490" s="241"/>
      <c r="O1490" s="241"/>
      <c r="P1490" s="241"/>
      <c r="Q1490" s="241"/>
      <c r="R1490" s="241"/>
      <c r="S1490" s="241"/>
      <c r="T1490" s="241"/>
      <c r="U1490" s="241"/>
      <c r="V1490" s="241"/>
      <c r="W1490" s="241"/>
      <c r="X1490" s="243"/>
      <c r="Y1490" s="243"/>
      <c r="Z1490" s="243"/>
      <c r="AA1490" s="243"/>
      <c r="AB1490" s="243"/>
      <c r="AC1490" s="243"/>
      <c r="AD1490" s="243"/>
      <c r="AE1490" s="243"/>
      <c r="AF1490" s="243"/>
      <c r="AG1490" s="243"/>
      <c r="AH1490" s="243"/>
      <c r="AI1490" s="243"/>
      <c r="AJ1490" s="243"/>
    </row>
    <row r="1491" hidden="1">
      <c r="A1491" s="241"/>
      <c r="B1491" s="241"/>
      <c r="C1491" s="241"/>
      <c r="D1491" s="241"/>
      <c r="E1491" s="241"/>
      <c r="F1491" s="241"/>
      <c r="G1491" s="241"/>
      <c r="H1491" s="241"/>
      <c r="I1491" s="241"/>
      <c r="J1491" s="241"/>
      <c r="K1491" s="241"/>
      <c r="L1491" s="242"/>
      <c r="M1491" s="241"/>
      <c r="N1491" s="241"/>
      <c r="O1491" s="241"/>
      <c r="P1491" s="241"/>
      <c r="Q1491" s="241"/>
      <c r="R1491" s="241"/>
      <c r="S1491" s="241"/>
      <c r="T1491" s="241"/>
      <c r="U1491" s="241"/>
      <c r="V1491" s="241"/>
      <c r="W1491" s="241"/>
      <c r="X1491" s="243"/>
      <c r="Y1491" s="243"/>
      <c r="Z1491" s="243"/>
      <c r="AA1491" s="243"/>
      <c r="AB1491" s="243"/>
      <c r="AC1491" s="243"/>
      <c r="AD1491" s="243"/>
      <c r="AE1491" s="243"/>
      <c r="AF1491" s="243"/>
      <c r="AG1491" s="243"/>
      <c r="AH1491" s="243"/>
      <c r="AI1491" s="243"/>
      <c r="AJ1491" s="243"/>
    </row>
    <row r="1492" hidden="1">
      <c r="A1492" s="241"/>
      <c r="B1492" s="241"/>
      <c r="C1492" s="241"/>
      <c r="D1492" s="241"/>
      <c r="E1492" s="241"/>
      <c r="F1492" s="241"/>
      <c r="G1492" s="241"/>
      <c r="H1492" s="241"/>
      <c r="I1492" s="241"/>
      <c r="J1492" s="241"/>
      <c r="K1492" s="241"/>
      <c r="L1492" s="242"/>
      <c r="M1492" s="241"/>
      <c r="N1492" s="241"/>
      <c r="O1492" s="241"/>
      <c r="P1492" s="241"/>
      <c r="Q1492" s="241"/>
      <c r="R1492" s="241"/>
      <c r="S1492" s="241"/>
      <c r="T1492" s="241"/>
      <c r="U1492" s="241"/>
      <c r="V1492" s="241"/>
      <c r="W1492" s="241"/>
      <c r="X1492" s="243"/>
      <c r="Y1492" s="243"/>
      <c r="Z1492" s="243"/>
      <c r="AA1492" s="243"/>
      <c r="AB1492" s="243"/>
      <c r="AC1492" s="243"/>
      <c r="AD1492" s="243"/>
      <c r="AE1492" s="243"/>
      <c r="AF1492" s="243"/>
      <c r="AG1492" s="243"/>
      <c r="AH1492" s="243"/>
      <c r="AI1492" s="243"/>
      <c r="AJ1492" s="243"/>
    </row>
    <row r="1493" hidden="1">
      <c r="A1493" s="241"/>
      <c r="B1493" s="241"/>
      <c r="C1493" s="241"/>
      <c r="D1493" s="241"/>
      <c r="E1493" s="241"/>
      <c r="F1493" s="241"/>
      <c r="G1493" s="241"/>
      <c r="H1493" s="241"/>
      <c r="I1493" s="241"/>
      <c r="J1493" s="241"/>
      <c r="K1493" s="241"/>
      <c r="L1493" s="242"/>
      <c r="M1493" s="241"/>
      <c r="N1493" s="241"/>
      <c r="O1493" s="241"/>
      <c r="P1493" s="241"/>
      <c r="Q1493" s="241"/>
      <c r="R1493" s="241"/>
      <c r="S1493" s="241"/>
      <c r="T1493" s="241"/>
      <c r="U1493" s="241"/>
      <c r="V1493" s="241"/>
      <c r="W1493" s="241"/>
      <c r="X1493" s="243"/>
      <c r="Y1493" s="243"/>
      <c r="Z1493" s="243"/>
      <c r="AA1493" s="243"/>
      <c r="AB1493" s="243"/>
      <c r="AC1493" s="243"/>
      <c r="AD1493" s="243"/>
      <c r="AE1493" s="243"/>
      <c r="AF1493" s="243"/>
      <c r="AG1493" s="243"/>
      <c r="AH1493" s="243"/>
      <c r="AI1493" s="243"/>
      <c r="AJ1493" s="243"/>
    </row>
    <row r="1494" hidden="1">
      <c r="A1494" s="241"/>
      <c r="B1494" s="241"/>
      <c r="C1494" s="241"/>
      <c r="D1494" s="241"/>
      <c r="E1494" s="241"/>
      <c r="F1494" s="241"/>
      <c r="G1494" s="241"/>
      <c r="H1494" s="241"/>
      <c r="I1494" s="241"/>
      <c r="J1494" s="241"/>
      <c r="K1494" s="241"/>
      <c r="L1494" s="242"/>
      <c r="M1494" s="241"/>
      <c r="N1494" s="241"/>
      <c r="O1494" s="241"/>
      <c r="P1494" s="241"/>
      <c r="Q1494" s="241"/>
      <c r="R1494" s="241"/>
      <c r="S1494" s="241"/>
      <c r="T1494" s="241"/>
      <c r="U1494" s="241"/>
      <c r="V1494" s="241"/>
      <c r="W1494" s="241"/>
      <c r="X1494" s="243"/>
      <c r="Y1494" s="243"/>
      <c r="Z1494" s="243"/>
      <c r="AA1494" s="243"/>
      <c r="AB1494" s="243"/>
      <c r="AC1494" s="243"/>
      <c r="AD1494" s="243"/>
      <c r="AE1494" s="243"/>
      <c r="AF1494" s="243"/>
      <c r="AG1494" s="243"/>
      <c r="AH1494" s="243"/>
      <c r="AI1494" s="243"/>
      <c r="AJ1494" s="243"/>
    </row>
    <row r="1495" hidden="1">
      <c r="A1495" s="241"/>
      <c r="B1495" s="241"/>
      <c r="C1495" s="241"/>
      <c r="D1495" s="241"/>
      <c r="E1495" s="241"/>
      <c r="F1495" s="241"/>
      <c r="G1495" s="241"/>
      <c r="H1495" s="241"/>
      <c r="I1495" s="241"/>
      <c r="J1495" s="241"/>
      <c r="K1495" s="241"/>
      <c r="L1495" s="242"/>
      <c r="M1495" s="241"/>
      <c r="N1495" s="241"/>
      <c r="O1495" s="241"/>
      <c r="P1495" s="241"/>
      <c r="Q1495" s="241"/>
      <c r="R1495" s="241"/>
      <c r="S1495" s="241"/>
      <c r="T1495" s="241"/>
      <c r="U1495" s="241"/>
      <c r="V1495" s="241"/>
      <c r="W1495" s="241"/>
      <c r="X1495" s="243"/>
      <c r="Y1495" s="243"/>
      <c r="Z1495" s="243"/>
      <c r="AA1495" s="243"/>
      <c r="AB1495" s="243"/>
      <c r="AC1495" s="243"/>
      <c r="AD1495" s="243"/>
      <c r="AE1495" s="243"/>
      <c r="AF1495" s="243"/>
      <c r="AG1495" s="243"/>
      <c r="AH1495" s="243"/>
      <c r="AI1495" s="243"/>
      <c r="AJ1495" s="24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4.75"/>
    <col customWidth="1" min="4" max="4" width="4.0"/>
    <col customWidth="1" min="5" max="5" width="4.88"/>
    <col customWidth="1" min="6" max="6" width="3.38"/>
    <col customWidth="1" min="7" max="7" width="4.75"/>
    <col customWidth="1" min="8" max="8" width="4.13"/>
    <col customWidth="1" min="9" max="9" width="4.5"/>
    <col customWidth="1" min="10" max="10" width="4.13"/>
    <col customWidth="1" min="11" max="11" width="3.88"/>
    <col customWidth="1" min="12" max="12" width="4.13"/>
    <col customWidth="1" min="13" max="13" width="4.25"/>
    <col customWidth="1" min="14" max="14" width="3.63"/>
    <col customWidth="1" min="15" max="15" width="3.88"/>
    <col customWidth="1" min="16" max="16" width="3.5"/>
    <col customWidth="1" min="17" max="17" width="4.38"/>
    <col customWidth="1" min="18" max="18" width="3.25"/>
    <col customWidth="1" min="19" max="19" width="4.63"/>
    <col customWidth="1" min="20" max="20" width="3.63"/>
    <col customWidth="1" min="21" max="21" width="3.88"/>
    <col customWidth="1" min="22" max="22" width="2.88"/>
    <col customWidth="1" min="23" max="23" width="4.13"/>
    <col customWidth="1" min="24" max="24" width="3.88"/>
    <col customWidth="1" min="25" max="25" width="4.88"/>
    <col customWidth="1" min="26" max="26" width="3.88"/>
    <col customWidth="1" min="27" max="30" width="4.0"/>
    <col customWidth="1" min="31" max="31" width="3.75"/>
    <col customWidth="1" min="32" max="32" width="4.0"/>
    <col customWidth="1" min="33" max="33" width="4.13"/>
    <col customWidth="1" min="34" max="34" width="3.63"/>
    <col customWidth="1" min="35" max="35" width="3.88"/>
    <col customWidth="1" min="36" max="36" width="4.38"/>
  </cols>
  <sheetData>
    <row r="1">
      <c r="A1" s="241" t="str">
        <f>IFERROR(__xludf.DUMMYFUNCTION("if('Time 4'!C3 = ""Albert"", query(IMPORTRANGE(cd_planilha, ""Armas!B3:G""), ""Select Col1 Where Col2 = '""&amp;Personagem!$B$2&amp;""' or Col2 = '""&amp;Personagem!$B$3&amp;""' or Col2 = '""&amp;Personagem!$B$4&amp;""' or Col2 = '""&amp;Personagem!$B$5&amp;""'""),     
if('Time 4'!C3 ="&amp;" ""Alicia"", query(IMPORTRANGE(cd_planilha, ""Armas!B3:G""), ""Select Col1 Where Col2 = '""&amp;Personagem!$C$2&amp;""' or Col2 = '""&amp;Personagem!$C$3&amp;""' or Col2 = '""&amp;Personagem!$C$4&amp;""' or Col2 = '""&amp;Personagem!$C$5&amp;""'""),
if('Time 4'!C3 = ""Azula"", query(IMP"&amp;"ORTRANGE(cd_planilha, ""Armas!B3:G""), ""Select Col1 Where Col2 = '""&amp;Personagem!$D$2&amp;""' or Col2 = '""&amp;Personagem!$D$3&amp;""' or Col2 = '""&amp;Personagem!$D$4&amp;""' or Col2 = '""&amp;Personagem!$D$5&amp;""'""),
if('Time 4'!C3 = ""Charles"", query(IMPORTRANGE(cd_planilha"&amp;", ""Armas!B3:G""), ""Select Col1 Where Col2 = '""&amp;Personagem!$E$2&amp;""' or Col2 = '""&amp;Personagem!$E$3&amp;""' or Col2 = '""&amp;Personagem!$E$4&amp;""' or Col2 = '""&amp;Personagem!$E$5&amp;""'""),
if('Time 4'!C3 = ""Clovis"", query(IMPORTRANGE(cd_planilha, ""Armas!B3:G""), """&amp;"Select Col1 Where Col2 = '""&amp;Personagem!$F$2&amp;""' or Col2 = '""&amp;Personagem!$F$3&amp;""' or Col2 = '""&amp;Personagem!$F$4&amp;""' or Col2 = '""&amp;Personagem!$F$5&amp;""'""),
if('Time 4'!C3 = ""Darthos"", query(IMPORTRANGE(cd_planilha, ""Armas!B3:G""), ""Select Col1 Where Co"&amp;"l2 = '""&amp;Personagem!$G$2&amp;""' or Col2 = '""&amp;Personagem!$G$3&amp;""' or Col2 = '""&amp;Personagem!$G$4&amp;""' or Col2 = '""&amp;Personagem!$G$5&amp;""'""),
if('Time 4'!C3 = ""Edward"", query(IMPORTRANGE(cd_planilha, ""Armas!B3:G""), ""Select Col1 Where Col2 = '""&amp;Personagem!$"&amp;"H$2&amp;""' or Col2 = '""&amp;Personagem!$H$3&amp;""' or Col2 = '""&amp;Personagem!$H$4&amp;""' or Col2 = '""&amp;Personagem!$H$5&amp;""'""),
if('Time 4'!C3 = ""Fiora"", query(IMPORTRANGE(cd_planilha, ""Armas!B3:G""), ""Select Col1 Where Col2 = '""&amp;Personagem!$I$2&amp;""' or Col2 = '""&amp;"&amp;"Personagem!$I$3&amp;""' or Col2 = '""&amp;Personagem!$I$4&amp;""' or Col2 = '""&amp;Personagem!$I$5&amp;""'""),
if('Time 4'!C3 = ""Francesca"", query(IMPORTRANGE(cd_planilha, ""Armas!B3:G""), ""Select Col1 Where Col2 = '""&amp;Personagem!$J$2&amp;""' or Col2 = '""&amp;Personagem!$J$3&amp;"""&amp;"' or Col2 = '""&amp;Personagem!$J$4&amp;""' or Col2 = '""&amp;Personagem!$J$5&amp;""'""),
if('Time 4'!C3 = ""Garreth"", query(IMPORTRANGE(cd_planilha, ""Armas!B3:G""), ""Select Col1 Where Col2 = '""&amp;Personagem!$K$2&amp;""' or Col2 = '""&amp;Personagem!$K$3&amp;""' or Col2 = '""&amp;Pers"&amp;"onagem!$K$4&amp;""' or Col2 = '""&amp;Personagem!$K$5&amp;""'""),
if('Time 4'!C3 = ""Gauvin"", query(IMPORTRANGE(cd_planilha, ""Armas!B3:G""), ""Select Col1 Where Col2 = '""&amp;Personagem!$L$2&amp;""' or Col2 = '""&amp;Personagem!$L$3&amp;""' or Col2 = '""&amp;Personagem!$L$4&amp;""' or Co"&amp;"l2 = '""&amp;Personagem!$L$5&amp;""'""),
if('Time 4'!C3 = ""Irene"", query(IMPORTRANGE(cd_planilha, ""Armas!B3:G""), ""Select Col1 Where Col2 = '""&amp;Personagem!$M$2&amp;""' or Col2 = '""&amp;Personagem!$M$3&amp;""' or Col2 = '""&amp;Personagem!$M$4&amp;""' or Col2 = '""&amp;Personagem!$M"&amp;"$5&amp;""'""),
if('Time 4'!C3 = ""Karal"", query(IMPORTRANGE(cd_planilha, ""Armas!B3:G""), ""Select Col1 Where Col2 = '""&amp;Personagem!$N$2&amp;""' or Col2 = '""&amp;Personagem!$N$3&amp;""' or Col2 = '""&amp;Personagem!$N$4&amp;""' or Col2 = '""&amp;Personagem!$N$5&amp;""'""),
if('Time 4'"&amp;"!C3 = ""Kuro Shobi"", query(IMPORTRANGE(cd_planilha, ""Armas!B3:G""), ""Select Col1 Where Col2 = '""&amp;Personagem!$O$2&amp;""' or Col2 = '""&amp;Personagem!$O$3&amp;""' or Col2 = '""&amp;Personagem!$O$4&amp;""' or Col2 = '""&amp;Personagem!$O$5&amp;""'""),
if('Time 4'!C3 = ""Kurul"", "&amp;"query(IMPORTRANGE(cd_planilha, ""Armas!B3:G""), ""Select Col1 Where Col2 = '""&amp;Personagem!$P$2&amp;""' or Col2 = '""&amp;Personagem!$P$3&amp;""' or Col2 = '""&amp;Personagem!$P$4&amp;""' or Col2 = '""&amp;Personagem!$P$5&amp;""'""),
if('Time 4'!C3 = ""Lancaster"", query(IMPORTRANGE("&amp;"cd_planilha, ""Armas!B3:G""), ""Select Col1 Where Col2 = '""&amp;Personagem!$Q$2&amp;""' or Col2 = '""&amp;Personagem!$Q$3&amp;""' or Col2 = '""&amp;Personagem!$Q$4&amp;""' or Col2 = '""&amp;Personagem!$Q$5&amp;""'""),
if('Time 4'!C3 = ""Lorelei"", query(IMPORTRANGE(cd_planilha, ""Armas"&amp;"!B3:G""), ""Select Col1 Where Col2 = '""&amp;Personagem!$R$2&amp;""' or Col2 = '""&amp;Personagem!$R$3&amp;""' or Col2 = '""&amp;Personagem!$R$4&amp;""' or Col2 = '""&amp;Personagem!$R$5&amp;""'""),
if('Time 4'!C3 = ""Louca"", query(IMPORTRANGE(cd_planilha, ""Armas!B3:G""), ""Select Col"&amp;"1 Where Col2 = '""&amp;Personagem!$S$2&amp;""' or Col2 = '""&amp;Personagem!$S$3&amp;""' or Col2 = '""&amp;Personagem!$S$4&amp;""' or Col2 = '""&amp;Personagem!$S$5&amp;""'""),
if('Time 4'!C3 = ""Melina"", query(IMPORTRANGE(cd_planilha, ""Armas!B3:G""), ""Select Col1 Where Col2 = '""&amp;Pe"&amp;"rsonagem!$T$2&amp;""' or Col2 = '""&amp;Personagem!$T$3&amp;""' or Col2 = '""&amp;Personagem!$T$4&amp;""' or Col2 = '""&amp;Personagem!$T$5&amp;""'""),
if('Time 4'!C3 = ""Mila"", query(IMPORTRANGE(cd_planilha, ""Armas!B3:G""), ""Select Col1 Where Col2 = '""&amp;Personagem!$U$2&amp;""' or Co"&amp;"l2 = '""&amp;Personagem!$U$3&amp;""' or Col2 = '""&amp;Personagem!$U$4&amp;""' or Col2 = '""&amp;Personagem!$U$5&amp;""'""),
if('Time 4'!C3 = ""Minh"", query(IMPORTRANGE(cd_planilha, ""Armas!B3:G""), ""Select Col1 Where Col2 = '""&amp;Personagem!$V$2&amp;""' or Col2 = '""&amp;Personagem!$V$"&amp;"3&amp;""' or Col2 = '""&amp;Personagem!$V$4&amp;""' or Col2 = '""&amp;Personagem!$V$5&amp;""'""),
if('Time 4'!C3 = ""Mojian"", query(IMPORTRANGE(cd_planilha, ""Armas!B3:G""), ""Select Col1 Where Col2 = '""&amp;Personagem!$W$2&amp;""' or Col2 = '""&amp;Personagem!$W$3&amp;""' or Col2 = '""&amp;P"&amp;"ersonagem!$W$4&amp;""' or Col2 = '""&amp;Personagem!$W$5&amp;""'""),
if('Time 4'!C3 = ""Nya"", query(IMPORTRANGE(cd_planilha, ""Armas!B3:G""), ""Select Col1 Where Col2 = '""&amp;Personagem!$X$2&amp;""' or Col2 = '""&amp;Personagem!$X$3&amp;""' or Col2 = '""&amp;Personagem!$X$4&amp;""' or Co"&amp;"l2 = '""&amp;Personagem!$X$5&amp;""'""),
if('Time 4'!C3 = ""Odette"", query(IMPORTRANGE(cd_planilha, ""Armas!B3:G""), ""Select Col1 Where Col2 = '""&amp;Personagem!$Y$2&amp;""' or Col2 = '""&amp;Personagem!$Y$3&amp;""' or Col2 = '""&amp;Personagem!$Y$4&amp;""' or Col2 = '""&amp;Personagem!$"&amp;"Y$5&amp;""'""),
if('Time 4'!C3 = ""Oneira"", query(IMPORTRANGE(cd_planilha, ""Armas!B3:G""), ""Select Col1 Where Col2 = '""&amp;Personagem!$Z$2&amp;""' or Col2 = '""&amp;Personagem!$Z$3&amp;""' or Col2 = '""&amp;Personagem!$Z$4&amp;""' or Col2 = '""&amp;Personagem!$Z$5&amp;""'""),
if('Time "&amp;"4'!C3 = ""Palash"", query(IMPORTRANGE(cd_planilha, ""Armas!B3:G""), ""Select Col1 Where Col2 = '""&amp;Personagem!$AA$2&amp;""' or Col2 = '""&amp;Personagem!$AA$3&amp;""' or Col2 = '""&amp;Personagem!$AA$4&amp;""' or Col2 = '""&amp;Personagem!$AA$5&amp;""'""),
if('Time 4'!C3 = ""Theor"""&amp;", query(IMPORTRANGE(cd_planilha, ""Armas!B3:G""), ""Select Col1 Where Col2 = '""&amp;Personagem!$AB$2&amp;""' or Col2 = '""&amp;Personagem!$AB$3&amp;""' or Col2 = '""&amp;Personagem!$AB$4&amp;""' or Col2 = '""&amp;Personagem!$AB$5&amp;""'""),
if('Time 4'!C3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B1" s="241"/>
      <c r="C1" s="241" t="str">
        <f>IFERROR(__xludf.DUMMYFUNCTION("if('Time 4'!C4 = ""Albert"", query(IMPORTRANGE(cd_planilha, ""Armas!B3:G""), ""Select Col1 Where Col2 = '""&amp;Personagem!$B$2&amp;""' or Col2 = '""&amp;Personagem!$B$3&amp;""' or Col2 = '""&amp;Personagem!$B$4&amp;""' or Col2 = '""&amp;Personagem!$B$5&amp;""'""),     
if('Time 4'!C4 ="&amp;" ""Alicia"", query(IMPORTRANGE(cd_planilha, ""Armas!B3:G""), ""Select Col1 Where Col2 = '""&amp;Personagem!$C$2&amp;""' or Col2 = '""&amp;Personagem!$C$3&amp;""' or Col2 = '""&amp;Personagem!$C$4&amp;""' or Col2 = '""&amp;Personagem!$C$5&amp;""'""),
if('Time 4'!C4 = ""Azula"", query(IMP"&amp;"ORTRANGE(cd_planilha, ""Armas!B3:G""), ""Select Col1 Where Col2 = '""&amp;Personagem!$D$2&amp;""' or Col2 = '""&amp;Personagem!$D$3&amp;""' or Col2 = '""&amp;Personagem!$D$4&amp;""' or Col2 = '""&amp;Personagem!$D$5&amp;""'""),
if('Time 4'!C4 = ""Charles"", query(IMPORTRANGE(cd_planilha"&amp;", ""Armas!B3:G""), ""Select Col1 Where Col2 = '""&amp;Personagem!$E$2&amp;""' or Col2 = '""&amp;Personagem!$E$3&amp;""' or Col2 = '""&amp;Personagem!$E$4&amp;""' or Col2 = '""&amp;Personagem!$E$5&amp;""'""),
if('Time 4'!C4 = ""Clovis"", query(IMPORTRANGE(cd_planilha, ""Armas!B3:G""), """&amp;"Select Col1 Where Col2 = '""&amp;Personagem!$F$2&amp;""' or Col2 = '""&amp;Personagem!$F$3&amp;""' or Col2 = '""&amp;Personagem!$F$4&amp;""' or Col2 = '""&amp;Personagem!$F$5&amp;""'""),
if('Time 4'!C4 = ""Darthos"", query(IMPORTRANGE(cd_planilha, ""Armas!B3:G""), ""Select Col1 Where Co"&amp;"l2 = '""&amp;Personagem!$G$2&amp;""' or Col2 = '""&amp;Personagem!$G$3&amp;""' or Col2 = '""&amp;Personagem!$G$4&amp;""' or Col2 = '""&amp;Personagem!$G$5&amp;""'""),
if('Time 4'!C4 = ""Edward"", query(IMPORTRANGE(cd_planilha, ""Armas!B3:G""), ""Select Col1 Where Col2 = '""&amp;Personagem!$"&amp;"H$2&amp;""' or Col2 = '""&amp;Personagem!$H$3&amp;""' or Col2 = '""&amp;Personagem!$H$4&amp;""' or Col2 = '""&amp;Personagem!$H$5&amp;""'""),
if('Time 4'!C4 = ""Fiora"", query(IMPORTRANGE(cd_planilha, ""Armas!B3:G""), ""Select Col1 Where Col2 = '""&amp;Personagem!$I$2&amp;""' or Col2 = '""&amp;"&amp;"Personagem!$I$3&amp;""' or Col2 = '""&amp;Personagem!$I$4&amp;""' or Col2 = '""&amp;Personagem!$I$5&amp;""'""),
if('Time 4'!C4 = ""Francesca"", query(IMPORTRANGE(cd_planilha, ""Armas!B3:G""), ""Select Col1 Where Col2 = '""&amp;Personagem!$J$2&amp;""' or Col2 = '""&amp;Personagem!$J$3&amp;"""&amp;"' or Col2 = '""&amp;Personagem!$J$4&amp;""' or Col2 = '""&amp;Personagem!$J$5&amp;""'""),
if('Time 4'!C4 = ""Garreth"", query(IMPORTRANGE(cd_planilha, ""Armas!B3:G""), ""Select Col1 Where Col2 = '""&amp;Personagem!$K$2&amp;""' or Col2 = '""&amp;Personagem!$K$3&amp;""' or Col2 = '""&amp;Pers"&amp;"onagem!$K$4&amp;""' or Col2 = '""&amp;Personagem!$K$5&amp;""'""),
if('Time 4'!C4 = ""Gauvin"", query(IMPORTRANGE(cd_planilha, ""Armas!B3:G""), ""Select Col1 Where Col2 = '""&amp;Personagem!$L$2&amp;""' or Col2 = '""&amp;Personagem!$L$3&amp;""' or Col2 = '""&amp;Personagem!$L$4&amp;""' or Co"&amp;"l2 = '""&amp;Personagem!$L$5&amp;""'""),
if('Time 4'!C4 = ""Irene"", query(IMPORTRANGE(cd_planilha, ""Armas!B3:G""), ""Select Col1 Where Col2 = '""&amp;Personagem!$M$2&amp;""' or Col2 = '""&amp;Personagem!$M$3&amp;""' or Col2 = '""&amp;Personagem!$M$4&amp;""' or Col2 = '""&amp;Personagem!$M"&amp;"$5&amp;""'""),
if('Time 4'!C4 = ""Karal"", query(IMPORTRANGE(cd_planilha, ""Armas!B3:G""), ""Select Col1 Where Col2 = '""&amp;Personagem!$N$2&amp;""' or Col2 = '""&amp;Personagem!$N$3&amp;""' or Col2 = '""&amp;Personagem!$N$4&amp;""' or Col2 = '""&amp;Personagem!$N$5&amp;""'""),
if('Time 4'"&amp;"!C4 = ""Kuro Shobi"", query(IMPORTRANGE(cd_planilha, ""Armas!B3:G""), ""Select Col1 Where Col2 = '""&amp;Personagem!$O$2&amp;""' or Col2 = '""&amp;Personagem!$O$3&amp;""' or Col2 = '""&amp;Personagem!$O$4&amp;""' or Col2 = '""&amp;Personagem!$O$5&amp;""'""),
if('Time 4'!C4 = ""Kurul"", "&amp;"query(IMPORTRANGE(cd_planilha, ""Armas!B3:G""), ""Select Col1 Where Col2 = '""&amp;Personagem!$P$2&amp;""' or Col2 = '""&amp;Personagem!$P$3&amp;""' or Col2 = '""&amp;Personagem!$P$4&amp;""' or Col2 = '""&amp;Personagem!$P$5&amp;""'""),
if('Time 4'!C4 = ""Lancaster"", query(IMPORTRANGE("&amp;"cd_planilha, ""Armas!B3:G""), ""Select Col1 Where Col2 = '""&amp;Personagem!$Q$2&amp;""' or Col2 = '""&amp;Personagem!$Q$3&amp;""' or Col2 = '""&amp;Personagem!$Q$4&amp;""' or Col2 = '""&amp;Personagem!$Q$5&amp;""'""),
if('Time 4'!C4 = ""Lorelei"", query(IMPORTRANGE(cd_planilha, ""Armas"&amp;"!B3:G""), ""Select Col1 Where Col2 = '""&amp;Personagem!$R$2&amp;""' or Col2 = '""&amp;Personagem!$R$3&amp;""' or Col2 = '""&amp;Personagem!$R$4&amp;""' or Col2 = '""&amp;Personagem!$R$5&amp;""'""),
if('Time 4'!C4 = ""Louca"", query(IMPORTRANGE(cd_planilha, ""Armas!B3:G""), ""Select Col"&amp;"1 Where Col2 = '""&amp;Personagem!$S$2&amp;""' or Col2 = '""&amp;Personagem!$S$3&amp;""' or Col2 = '""&amp;Personagem!$S$4&amp;""' or Col2 = '""&amp;Personagem!$S$5&amp;""'""),
if('Time 4'!C4 = ""Melina"", query(IMPORTRANGE(cd_planilha, ""Armas!B3:G""), ""Select Col1 Where Col2 = '""&amp;Pe"&amp;"rsonagem!$T$2&amp;""' or Col2 = '""&amp;Personagem!$T$3&amp;""' or Col2 = '""&amp;Personagem!$T$4&amp;""' or Col2 = '""&amp;Personagem!$T$5&amp;""'""),
if('Time 4'!C4 = ""Mila"", query(IMPORTRANGE(cd_planilha, ""Armas!B3:G""), ""Select Col1 Where Col2 = '""&amp;Personagem!$U$2&amp;""' or Co"&amp;"l2 = '""&amp;Personagem!$U$3&amp;""' or Col2 = '""&amp;Personagem!$U$4&amp;""' or Col2 = '""&amp;Personagem!$U$5&amp;""'""),
if('Time 4'!C4 = ""Minh"", query(IMPORTRANGE(cd_planilha, ""Armas!B3:G""), ""Select Col1 Where Col2 = '""&amp;Personagem!$V$2&amp;""' or Col2 = '""&amp;Personagem!$V$"&amp;"3&amp;""' or Col2 = '""&amp;Personagem!$V$4&amp;""' or Col2 = '""&amp;Personagem!$V$5&amp;""'""),
if('Time 4'!C4 = ""Mojian"", query(IMPORTRANGE(cd_planilha, ""Armas!B3:G""), ""Select Col1 Where Col2 = '""&amp;Personagem!$W$2&amp;""' or Col2 = '""&amp;Personagem!$W$3&amp;""' or Col2 = '""&amp;P"&amp;"ersonagem!$W$4&amp;""' or Col2 = '""&amp;Personagem!$W$5&amp;""'""),
if('Time 4'!C4 = ""Nya"", query(IMPORTRANGE(cd_planilha, ""Armas!B3:G""), ""Select Col1 Where Col2 = '""&amp;Personagem!$X$2&amp;""' or Col2 = '""&amp;Personagem!$X$3&amp;""' or Col2 = '""&amp;Personagem!$X$4&amp;""' or Co"&amp;"l2 = '""&amp;Personagem!$X$5&amp;""'""),
if('Time 4'!C4 = ""Odette"", query(IMPORTRANGE(cd_planilha, ""Armas!B3:G""), ""Select Col1 Where Col2 = '""&amp;Personagem!$Y$2&amp;""' or Col2 = '""&amp;Personagem!$Y$3&amp;""' or Col2 = '""&amp;Personagem!$Y$4&amp;""' or Col2 = '""&amp;Personagem!$"&amp;"Y$5&amp;""'""),
if('Time 4'!C4 = ""Oneira"", query(IMPORTRANGE(cd_planilha, ""Armas!B3:G""), ""Select Col1 Where Col2 = '""&amp;Personagem!$Z$2&amp;""' or Col2 = '""&amp;Personagem!$Z$3&amp;""' or Col2 = '""&amp;Personagem!$Z$4&amp;""' or Col2 = '""&amp;Personagem!$Z$5&amp;""'""),
if('Time "&amp;"4'!C4 = ""Palash"", query(IMPORTRANGE(cd_planilha, ""Armas!B3:G""), ""Select Col1 Where Col2 = '""&amp;Personagem!$AA$2&amp;""' or Col2 = '""&amp;Personagem!$AA$3&amp;""' or Col2 = '""&amp;Personagem!$AA$4&amp;""' or Col2 = '""&amp;Personagem!$AA$5&amp;""'""),
if('Time 4'!C4 = ""Theor"""&amp;", query(IMPORTRANGE(cd_planilha, ""Armas!B3:G""), ""Select Col1 Where Col2 = '""&amp;Personagem!$AB$2&amp;""' or Col2 = '""&amp;Personagem!$AB$3&amp;""' or Col2 = '""&amp;Personagem!$AB$4&amp;""' or Col2 = '""&amp;Personagem!$AB$5&amp;""'""),
if('Time 4'!C4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'""&amp;Personagem!$AC$5&amp;""'"")))))))))))))))))))))))))))))"),"Cajado do bispo")</f>
        <v>Cajado do bispo</v>
      </c>
      <c r="D1" s="241"/>
      <c r="E1" s="241" t="str">
        <f>IFERROR(__xludf.DUMMYFUNCTION("if('Time 4'!C5 = ""Albert"", query(IMPORTRANGE(cd_planilha, ""Armas!B3:G""), ""Select Col1 Where Col2 = '""&amp;Personagem!$B$2&amp;""' or Col2 = '""&amp;Personagem!$B$3&amp;""' or Col2 = '""&amp;Personagem!$B$4&amp;""' or Col2 = '""&amp;Personagem!$B$5&amp;""'""),     
if('Time 4'!C5 ="&amp;" ""Alicia"", query(IMPORTRANGE(cd_planilha, ""Armas!B3:G""), ""Select Col1 Where Col2 = '""&amp;Personagem!$C$2&amp;""' or Col2 = '""&amp;Personagem!$C$3&amp;""' or Col2 = '""&amp;Personagem!$C$4&amp;""' or Col2 = '""&amp;Personagem!$C$5&amp;""'""),
if('Time 4'!C5 = ""Azula"", query(IMP"&amp;"ORTRANGE(cd_planilha, ""Armas!B3:G""), ""Select Col1 Where Col2 = '""&amp;Personagem!$D$2&amp;""' or Col2 = '""&amp;Personagem!$D$3&amp;""' or Col2 = '""&amp;Personagem!$D$4&amp;""' or Col2 = '""&amp;Personagem!$D$5&amp;""'""),
if('Time 4'!C5 = ""Charles"", query(IMPORTRANGE(cd_planilha"&amp;", ""Armas!B3:G""), ""Select Col1 Where Col2 = '""&amp;Personagem!$E$2&amp;""' or Col2 = '""&amp;Personagem!$E$3&amp;""' or Col2 = '""&amp;Personagem!$E$4&amp;""' or Col2 = '""&amp;Personagem!$E$5&amp;""'""),
if('Time 4'!C5 = ""Clovis"", query(IMPORTRANGE(cd_planilha, ""Armas!B3:G""), """&amp;"Select Col1 Where Col2 = '""&amp;Personagem!$F$2&amp;""' or Col2 = '""&amp;Personagem!$F$3&amp;""' or Col2 = '""&amp;Personagem!$F$4&amp;""' or Col2 = '""&amp;Personagem!$F$5&amp;""'""),
if('Time 4'!C5 = ""Darthos"", query(IMPORTRANGE(cd_planilha, ""Armas!B3:G""), ""Select Col1 Where Co"&amp;"l2 = '""&amp;Personagem!$G$2&amp;""' or Col2 = '""&amp;Personagem!$G$3&amp;""' or Col2 = '""&amp;Personagem!$G$4&amp;""' or Col2 = '""&amp;Personagem!$G$5&amp;""'""),
if('Time 4'!C5 = ""Edward"", query(IMPORTRANGE(cd_planilha, ""Armas!B3:G""), ""Select Col1 Where Col2 = '""&amp;Personagem!$"&amp;"H$2&amp;""' or Col2 = '""&amp;Personagem!$H$3&amp;""' or Col2 = '""&amp;Personagem!$H$4&amp;""' or Col2 = '""&amp;Personagem!$H$5&amp;""'""),
if('Time 4'!C5 = ""Fiora"", query(IMPORTRANGE(cd_planilha, ""Armas!B3:G""), ""Select Col1 Where Col2 = '""&amp;Personagem!$I$2&amp;""' or Col2 = '""&amp;"&amp;"Personagem!$I$3&amp;""' or Col2 = '""&amp;Personagem!$I$4&amp;""' or Col2 = '""&amp;Personagem!$I$5&amp;""'""),
if('Time 4'!C5 = ""Francesca"", query(IMPORTRANGE(cd_planilha, ""Armas!B3:G""), ""Select Col1 Where Col2 = '""&amp;Personagem!$J$2&amp;""' or Col2 = '""&amp;Personagem!$J$3&amp;"""&amp;"' or Col2 = '""&amp;Personagem!$J$4&amp;""' or Col2 = '""&amp;Personagem!$J$5&amp;""'""),
if('Time 4'!C5 = ""Garreth"", query(IMPORTRANGE(cd_planilha, ""Armas!B3:G""), ""Select Col1 Where Col2 = '""&amp;Personagem!$K$2&amp;""' or Col2 = '""&amp;Personagem!$K$3&amp;""' or Col2 = '""&amp;Pers"&amp;"onagem!$K$4&amp;""' or Col2 = '""&amp;Personagem!$K$5&amp;""'""),
if('Time 4'!C5 = ""Gauvin"", query(IMPORTRANGE(cd_planilha, ""Armas!B3:G""), ""Select Col1 Where Col2 = '""&amp;Personagem!$L$2&amp;""' or Col2 = '""&amp;Personagem!$L$3&amp;""' or Col2 = '""&amp;Personagem!$L$4&amp;""' or Co"&amp;"l2 = '""&amp;Personagem!$L$5&amp;""'""),
if('Time 4'!C5 = ""Irene"", query(IMPORTRANGE(cd_planilha, ""Armas!B3:G""), ""Select Col1 Where Col2 = '""&amp;Personagem!$M$2&amp;""' or Col2 = '""&amp;Personagem!$M$3&amp;""' or Col2 = '""&amp;Personagem!$M$4&amp;""' or Col2 = '""&amp;Personagem!$M"&amp;"$5&amp;""'""),
if('Time 4'!C5 = ""Karal"", query(IMPORTRANGE(cd_planilha, ""Armas!B3:G""), ""Select Col1 Where Col2 = '""&amp;Personagem!$N$2&amp;""' or Col2 = '""&amp;Personagem!$N$3&amp;""' or Col2 = '""&amp;Personagem!$N$4&amp;""' or Col2 = '""&amp;Personagem!$N$5&amp;""'""),
if('Time 4'"&amp;"!C5 = ""Kuro Shobi"", query(IMPORTRANGE(cd_planilha, ""Armas!B3:G""), ""Select Col1 Where Col2 = '""&amp;Personagem!$O$2&amp;""' or Col2 = '""&amp;Personagem!$O$3&amp;""' or Col2 = '""&amp;Personagem!$O$4&amp;""' or Col2 = '""&amp;Personagem!$O$5&amp;""'""),
if('Time 4'!C5 = ""Kurul"", "&amp;"query(IMPORTRANGE(cd_planilha, ""Armas!B3:G""), ""Select Col1 Where Col2 = '""&amp;Personagem!$P$2&amp;""' or Col2 = '""&amp;Personagem!$P$3&amp;""' or Col2 = '""&amp;Personagem!$P$4&amp;""' or Col2 = '""&amp;Personagem!$P$5&amp;""'""),
if('Time 4'!C5 = ""Lancaster"", query(IMPORTRANGE("&amp;"cd_planilha, ""Armas!B3:G""), ""Select Col1 Where Col2 = '""&amp;Personagem!$Q$2&amp;""' or Col2 = '""&amp;Personagem!$Q$3&amp;""' or Col2 = '""&amp;Personagem!$Q$4&amp;""' or Col2 = '""&amp;Personagem!$Q$5&amp;""'""),
if('Time 4'!C5 = ""Lorelei"", query(IMPORTRANGE(cd_planilha, ""Armas"&amp;"!B3:G""), ""Select Col1 Where Col2 = '""&amp;Personagem!$R$2&amp;""' or Col2 = '""&amp;Personagem!$R$3&amp;""' or Col2 = '""&amp;Personagem!$R$4&amp;""' or Col2 = '""&amp;Personagem!$R$5&amp;""'""),
if('Time 4'!C5 = ""Louca"", query(IMPORTRANGE(cd_planilha, ""Armas!B3:G""), ""Select Col"&amp;"1 Where Col2 = '""&amp;Personagem!$S$2&amp;""' or Col2 = '""&amp;Personagem!$S$3&amp;""' or Col2 = '""&amp;Personagem!$S$4&amp;""' or Col2 = '""&amp;Personagem!$S$5&amp;""'""),
if('Time 4'!C5 = ""Melina"", query(IMPORTRANGE(cd_planilha, ""Armas!B3:G""), ""Select Col1 Where Col2 = '""&amp;Pe"&amp;"rsonagem!$T$2&amp;""' or Col2 = '""&amp;Personagem!$T$3&amp;""' or Col2 = '""&amp;Personagem!$T$4&amp;""' or Col2 = '""&amp;Personagem!$T$5&amp;""'""),
if('Time 4'!C5 = ""Mila"", query(IMPORTRANGE(cd_planilha, ""Armas!B3:G""), ""Select Col1 Where Col2 = '""&amp;Personagem!$U$2&amp;""' or Co"&amp;"l2 = '""&amp;Personagem!$U$3&amp;""' or Col2 = '""&amp;Personagem!$U$4&amp;""' or Col2 = '""&amp;Personagem!$U$5&amp;""'""),
if('Time 4'!C5 = ""Minh"", query(IMPORTRANGE(cd_planilha, ""Armas!B3:G""), ""Select Col1 Where Col2 = '""&amp;Personagem!$V$2&amp;""' or Col2 = '""&amp;Personagem!$V$"&amp;"3&amp;""' or Col2 = '""&amp;Personagem!$V$4&amp;""' or Col2 = '""&amp;Personagem!$V$5&amp;""'""),
if('Time 4'!C5 = ""Mojian"", query(IMPORTRANGE(cd_planilha, ""Armas!B3:G""), ""Select Col1 Where Col2 = '""&amp;Personagem!$W$2&amp;""' or Col2 = '""&amp;Personagem!$W$3&amp;""' or Col2 = '""&amp;P"&amp;"ersonagem!$W$4&amp;""' or Col2 = '""&amp;Personagem!$W$5&amp;""'""),
if('Time 4'!C5 = ""Nya"", query(IMPORTRANGE(cd_planilha, ""Armas!B3:G""), ""Select Col1 Where Col2 = '""&amp;Personagem!$X$2&amp;""' or Col2 = '""&amp;Personagem!$X$3&amp;""' or Col2 = '""&amp;Personagem!$X$4&amp;""' or Co"&amp;"l2 = '""&amp;Personagem!$X$5&amp;""'""),
if('Time 4'!C5 = ""Odette"", query(IMPORTRANGE(cd_planilha, ""Armas!B3:G""), ""Select Col1 Where Col2 = '""&amp;Personagem!$Y$2&amp;""' or Col2 = '""&amp;Personagem!$Y$3&amp;""' or Col2 = '""&amp;Personagem!$Y$4&amp;""' or Col2 = '""&amp;Personagem!$"&amp;"Y$5&amp;""'""),
if('Time 4'!C5 = ""Oneira"", query(IMPORTRANGE(cd_planilha, ""Armas!B3:G""), ""Select Col1 Where Col2 = '""&amp;Personagem!$Z$2&amp;""' or Col2 = '""&amp;Personagem!$Z$3&amp;""' or Col2 = '""&amp;Personagem!$Z$4&amp;""' or Col2 = '""&amp;Personagem!$Z$5&amp;""'""),
if('Time "&amp;"4'!C5 = ""Palash"", query(IMPORTRANGE(cd_planilha, ""Armas!B3:G""), ""Select Col1 Where Col2 = '""&amp;Personagem!$AA$2&amp;""' or Col2 = '""&amp;Personagem!$AA$3&amp;""' or Col2 = '""&amp;Personagem!$AA$4&amp;""' or Col2 = '""&amp;Personagem!$AA$5&amp;""'""),
if('Time 4'!C5 = ""Theor"""&amp;", query(IMPORTRANGE(cd_planilha, ""Armas!B3:G""), ""Select Col1 Where Col2 = '""&amp;Personagem!$AB$2&amp;""' or Col2 = '""&amp;Personagem!$AB$3&amp;""' or Col2 = '""&amp;Personagem!$AB$4&amp;""' or Col2 = '""&amp;Personagem!$AB$5&amp;""'""),
if('Time 4'!C5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F1" s="241"/>
      <c r="G1" s="241" t="str">
        <f>IFERROR(__xludf.DUMMYFUNCTION("if('Time 4'!C6 = ""Albert"", query(IMPORTRANGE(cd_planilha, ""Armas!B3:G""), ""Select Col1 Where Col2 = '""&amp;Personagem!$B$2&amp;""' or Col2 = '""&amp;Personagem!$B$3&amp;""' or Col2 = '""&amp;Personagem!$B$4&amp;""' or Col2 = '""&amp;Personagem!$B$5&amp;""'""),     
if('Time 4'!C6 ="&amp;" ""Alicia"", query(IMPORTRANGE(cd_planilha, ""Armas!B3:G""), ""Select Col1 Where Col2 = '""&amp;Personagem!$C$2&amp;""' or Col2 = '""&amp;Personagem!$C$3&amp;""' or Col2 = '""&amp;Personagem!$C$4&amp;""' or Col2 = '""&amp;Personagem!$C$5&amp;""'""),
if('Time 4'!C6 = ""Azula"", query(IMP"&amp;"ORTRANGE(cd_planilha, ""Armas!B3:G""), ""Select Col1 Where Col2 = '""&amp;Personagem!$D$2&amp;""' or Col2 = '""&amp;Personagem!$D$3&amp;""' or Col2 = '""&amp;Personagem!$D$4&amp;""' or Col2 = '""&amp;Personagem!$D$5&amp;""'""),
if('Time 4'!C6 = ""Charles"", query(IMPORTRANGE(cd_planilha"&amp;", ""Armas!B3:G""), ""Select Col1 Where Col2 = '""&amp;Personagem!$E$2&amp;""' or Col2 = '""&amp;Personagem!$E$3&amp;""' or Col2 = '""&amp;Personagem!$E$4&amp;""' or Col2 = '""&amp;Personagem!$E$5&amp;""'""),
if('Time 4'!C6 = ""Clovis"", query(IMPORTRANGE(cd_planilha, ""Armas!B3:G""), """&amp;"Select Col1 Where Col2 = '""&amp;Personagem!$F$2&amp;""' or Col2 = '""&amp;Personagem!$F$3&amp;""' or Col2 = '""&amp;Personagem!$F$4&amp;""' or Col2 = '""&amp;Personagem!$F$5&amp;""'""),
if('Time 4'!C6 = ""Darthos"", query(IMPORTRANGE(cd_planilha, ""Armas!B3:G""), ""Select Col1 Where Co"&amp;"l2 = '""&amp;Personagem!$G$2&amp;""' or Col2 = '""&amp;Personagem!$G$3&amp;""' or Col2 = '""&amp;Personagem!$G$4&amp;""' or Col2 = '""&amp;Personagem!$G$5&amp;""'""),
if('Time 4'!C6 = ""Edward"", query(IMPORTRANGE(cd_planilha, ""Armas!B3:G""), ""Select Col1 Where Col2 = '""&amp;Personagem!$"&amp;"H$2&amp;""' or Col2 = '""&amp;Personagem!$H$3&amp;""' or Col2 = '""&amp;Personagem!$H$4&amp;""' or Col2 = '""&amp;Personagem!$H$5&amp;""'""),
if('Time 4'!C6 = ""Fiora"", query(IMPORTRANGE(cd_planilha, ""Armas!B3:G""), ""Select Col1 Where Col2 = '""&amp;Personagem!$I$2&amp;""' or Col2 = '""&amp;"&amp;"Personagem!$I$3&amp;""' or Col2 = '""&amp;Personagem!$I$4&amp;""' or Col2 = '""&amp;Personagem!$I$5&amp;""'""),
if('Time 4'!C6 = ""Francesca"", query(IMPORTRANGE(cd_planilha, ""Armas!B3:G""), ""Select Col1 Where Col2 = '""&amp;Personagem!$J$2&amp;""' or Col2 = '""&amp;Personagem!$J$3&amp;"""&amp;"' or Col2 = '""&amp;Personagem!$J$4&amp;""' or Col2 = '""&amp;Personagem!$J$5&amp;""'""),
if('Time 4'!C6 = ""Garreth"", query(IMPORTRANGE(cd_planilha, ""Armas!B3:G""), ""Select Col1 Where Col2 = '""&amp;Personagem!$K$2&amp;""' or Col2 = '""&amp;Personagem!$K$3&amp;""' or Col2 = '""&amp;Pers"&amp;"onagem!$K$4&amp;""' or Col2 = '""&amp;Personagem!$K$5&amp;""'""),
if('Time 4'!C6 = ""Gauvin"", query(IMPORTRANGE(cd_planilha, ""Armas!B3:G""), ""Select Col1 Where Col2 = '""&amp;Personagem!$L$2&amp;""' or Col2 = '""&amp;Personagem!$L$3&amp;""' or Col2 = '""&amp;Personagem!$L$4&amp;""' or Co"&amp;"l2 = '""&amp;Personagem!$L$5&amp;""'""),
if('Time 4'!C6 = ""Irene"", query(IMPORTRANGE(cd_planilha, ""Armas!B3:G""), ""Select Col1 Where Col2 = '""&amp;Personagem!$M$2&amp;""' or Col2 = '""&amp;Personagem!$M$3&amp;""' or Col2 = '""&amp;Personagem!$M$4&amp;""' or Col2 = '""&amp;Personagem!$M"&amp;"$5&amp;""'""),
if('Time 4'!C6 = ""Karal"", query(IMPORTRANGE(cd_planilha, ""Armas!B3:G""), ""Select Col1 Where Col2 = '""&amp;Personagem!$N$2&amp;""' or Col2 = '""&amp;Personagem!$N$3&amp;""' or Col2 = '""&amp;Personagem!$N$4&amp;""' or Col2 = '""&amp;Personagem!$N$5&amp;""'""),
if('Time 4'"&amp;"!C6 = ""Kuro Shobi"", query(IMPORTRANGE(cd_planilha, ""Armas!B3:G""), ""Select Col1 Where Col2 = '""&amp;Personagem!$O$2&amp;""' or Col2 = '""&amp;Personagem!$O$3&amp;""' or Col2 = '""&amp;Personagem!$O$4&amp;""' or Col2 = '""&amp;Personagem!$O$5&amp;""'""),
if('Time 4'!C6 = ""Kurul"", "&amp;"query(IMPORTRANGE(cd_planilha, ""Armas!B3:G""), ""Select Col1 Where Col2 = '""&amp;Personagem!$P$2&amp;""' or Col2 = '""&amp;Personagem!$P$3&amp;""' or Col2 = '""&amp;Personagem!$P$4&amp;""' or Col2 = '""&amp;Personagem!$P$5&amp;""'""),
if('Time 4'!C6 = ""Lancaster"", query(IMPORTRANGE("&amp;"cd_planilha, ""Armas!B3:G""), ""Select Col1 Where Col2 = '""&amp;Personagem!$Q$2&amp;""' or Col2 = '""&amp;Personagem!$Q$3&amp;""' or Col2 = '""&amp;Personagem!$Q$4&amp;""' or Col2 = '""&amp;Personagem!$Q$5&amp;""'""),
if('Time 4'!C6 = ""Lorelei"", query(IMPORTRANGE(cd_planilha, ""Armas"&amp;"!B3:G""), ""Select Col1 Where Col2 = '""&amp;Personagem!$R$2&amp;""' or Col2 = '""&amp;Personagem!$R$3&amp;""' or Col2 = '""&amp;Personagem!$R$4&amp;""' or Col2 = '""&amp;Personagem!$R$5&amp;""'""),
if('Time 4'!C6 = ""Louca"", query(IMPORTRANGE(cd_planilha, ""Armas!B3:G""), ""Select Col"&amp;"1 Where Col2 = '""&amp;Personagem!$S$2&amp;""' or Col2 = '""&amp;Personagem!$S$3&amp;""' or Col2 = '""&amp;Personagem!$S$4&amp;""' or Col2 = '""&amp;Personagem!$S$5&amp;""'""),
if('Time 4'!C6 = ""Melina"", query(IMPORTRANGE(cd_planilha, ""Armas!B3:G""), ""Select Col1 Where Col2 = '""&amp;Pe"&amp;"rsonagem!$T$2&amp;""' or Col2 = '""&amp;Personagem!$T$3&amp;""' or Col2 = '""&amp;Personagem!$T$4&amp;""' or Col2 = '""&amp;Personagem!$T$5&amp;""'""),
if('Time 4'!C6 = ""Mila"", query(IMPORTRANGE(cd_planilha, ""Armas!B3:G""), ""Select Col1 Where Col2 = '""&amp;Personagem!$U$2&amp;""' or Co"&amp;"l2 = '""&amp;Personagem!$U$3&amp;""' or Col2 = '""&amp;Personagem!$U$4&amp;""' or Col2 = '""&amp;Personagem!$U$5&amp;""'""),
if('Time 4'!C6 = ""Minh"", query(IMPORTRANGE(cd_planilha, ""Armas!B3:G""), ""Select Col1 Where Col2 = '""&amp;Personagem!$V$2&amp;""' or Col2 = '""&amp;Personagem!$V$"&amp;"3&amp;""' or Col2 = '""&amp;Personagem!$V$4&amp;""' or Col2 = '""&amp;Personagem!$V$5&amp;""'""),
if('Time 4'!C6 = ""Mojian"", query(IMPORTRANGE(cd_planilha, ""Armas!B3:G""), ""Select Col1 Where Col2 = '""&amp;Personagem!$W$2&amp;""' or Col2 = '""&amp;Personagem!$W$3&amp;""' or Col2 = '""&amp;P"&amp;"ersonagem!$W$4&amp;""' or Col2 = '""&amp;Personagem!$W$5&amp;""'""),
if('Time 4'!C6 = ""Nya"", query(IMPORTRANGE(cd_planilha, ""Armas!B3:G""), ""Select Col1 Where Col2 = '""&amp;Personagem!$X$2&amp;""' or Col2 = '""&amp;Personagem!$X$3&amp;""' or Col2 = '""&amp;Personagem!$X$4&amp;""' or Co"&amp;"l2 = '""&amp;Personagem!$X$5&amp;""'""),
if('Time 4'!C6 = ""Odette"", query(IMPORTRANGE(cd_planilha, ""Armas!B3:G""), ""Select Col1 Where Col2 = '""&amp;Personagem!$Y$2&amp;""' or Col2 = '""&amp;Personagem!$Y$3&amp;""' or Col2 = '""&amp;Personagem!$Y$4&amp;""' or Col2 = '""&amp;Personagem!$"&amp;"Y$5&amp;""'""),
if('Time 4'!C6 = ""Oneira"", query(IMPORTRANGE(cd_planilha, ""Armas!B3:G""), ""Select Col1 Where Col2 = '""&amp;Personagem!$Z$2&amp;""' or Col2 = '""&amp;Personagem!$Z$3&amp;""' or Col2 = '""&amp;Personagem!$Z$4&amp;""' or Col2 = '""&amp;Personagem!$Z$5&amp;""'""),
if('Time "&amp;"4'!C6 = ""Palash"", query(IMPORTRANGE(cd_planilha, ""Armas!B3:G""), ""Select Col1 Where Col2 = '""&amp;Personagem!$AA$2&amp;""' or Col2 = '""&amp;Personagem!$AA$3&amp;""' or Col2 = '""&amp;Personagem!$AA$4&amp;""' or Col2 = '""&amp;Personagem!$AA$5&amp;""'""),
if('Time 4'!C6 = ""Theor"""&amp;", query(IMPORTRANGE(cd_planilha, ""Armas!B3:G""), ""Select Col1 Where Col2 = '""&amp;Personagem!$AB$2&amp;""' or Col2 = '""&amp;Personagem!$AB$3&amp;""' or Col2 = '""&amp;Personagem!$AB$4&amp;""' or Col2 = '""&amp;Personagem!$AB$5&amp;""'""),
if('Time 4'!C6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'""&amp;Personagem!$AC$5&amp;""'"")))))))))))))))))))))))))))))"),"Cajado do bispo")</f>
        <v>Cajado do bispo</v>
      </c>
      <c r="H1" s="241"/>
      <c r="I1" s="241" t="str">
        <f>IFERROR(__xludf.DUMMYFUNCTION("if('Time 4'!C7 = ""Albert"", query(IMPORTRANGE(cd_planilha, ""Armas!B3:G""), ""Select Col1 Where Col2 = '""&amp;Personagem!$B$2&amp;""' or Col2 = '""&amp;Personagem!$B$3&amp;""' or Col2 = '""&amp;Personagem!$B$4&amp;""' or Col2 = '""&amp;Personagem!$B$5&amp;""'""),     
if('Time 4'!C7 ="&amp;" ""Alicia"", query(IMPORTRANGE(cd_planilha, ""Armas!B3:G""), ""Select Col1 Where Col2 = '""&amp;Personagem!$C$2&amp;""' or Col2 = '""&amp;Personagem!$C$3&amp;""' or Col2 = '""&amp;Personagem!$C$4&amp;""' or Col2 = '""&amp;Personagem!$C$5&amp;""'""),
if('Time 4'!C7 = ""Azula"", query(IMP"&amp;"ORTRANGE(cd_planilha, ""Armas!B3:G""), ""Select Col1 Where Col2 = '""&amp;Personagem!$D$2&amp;""' or Col2 = '""&amp;Personagem!$D$3&amp;""' or Col2 = '""&amp;Personagem!$D$4&amp;""' or Col2 = '""&amp;Personagem!$D$5&amp;""'""),
if('Time 4'!C7 = ""Charles"", query(IMPORTRANGE(cd_planilha"&amp;", ""Armas!B3:G""), ""Select Col1 Where Col2 = '""&amp;Personagem!$E$2&amp;""' or Col2 = '""&amp;Personagem!$E$3&amp;""' or Col2 = '""&amp;Personagem!$E$4&amp;""' or Col2 = '""&amp;Personagem!$E$5&amp;""'""),
if('Time 4'!C7 = ""Clovis"", query(IMPORTRANGE(cd_planilha, ""Armas!B3:G""), """&amp;"Select Col1 Where Col2 = '""&amp;Personagem!$F$2&amp;""' or Col2 = '""&amp;Personagem!$F$3&amp;""' or Col2 = '""&amp;Personagem!$F$4&amp;""' or Col2 = '""&amp;Personagem!$F$5&amp;""'""),
if('Time 4'!C7 = ""Darthos"", query(IMPORTRANGE(cd_planilha, ""Armas!B3:G""), ""Select Col1 Where Co"&amp;"l2 = '""&amp;Personagem!$G$2&amp;""' or Col2 = '""&amp;Personagem!$G$3&amp;""' or Col2 = '""&amp;Personagem!$G$4&amp;""' or Col2 = '""&amp;Personagem!$G$5&amp;""'""),
if('Time 4'!C7 = ""Edward"", query(IMPORTRANGE(cd_planilha, ""Armas!B3:G""), ""Select Col1 Where Col2 = '""&amp;Personagem!$"&amp;"H$2&amp;""' or Col2 = '""&amp;Personagem!$H$3&amp;""' or Col2 = '""&amp;Personagem!$H$4&amp;""' or Col2 = '""&amp;Personagem!$H$5&amp;""'""),
if('Time 4'!C7 = ""Fiora"", query(IMPORTRANGE(cd_planilha, ""Armas!B3:G""), ""Select Col1 Where Col2 = '""&amp;Personagem!$I$2&amp;""' or Col2 = '""&amp;"&amp;"Personagem!$I$3&amp;""' or Col2 = '""&amp;Personagem!$I$4&amp;""' or Col2 = '""&amp;Personagem!$I$5&amp;""'""),
if('Time 4'!C7 = ""Francesca"", query(IMPORTRANGE(cd_planilha, ""Armas!B3:G""), ""Select Col1 Where Col2 = '""&amp;Personagem!$J$2&amp;""' or Col2 = '""&amp;Personagem!$J$3&amp;"""&amp;"' or Col2 = '""&amp;Personagem!$J$4&amp;""' or Col2 = '""&amp;Personagem!$J$5&amp;""'""),
if('Time 4'!C7 = ""Garreth"", query(IMPORTRANGE(cd_planilha, ""Armas!B3:G""), ""Select Col1 Where Col2 = '""&amp;Personagem!$K$2&amp;""' or Col2 = '""&amp;Personagem!$K$3&amp;""' or Col2 = '""&amp;Pers"&amp;"onagem!$K$4&amp;""' or Col2 = '""&amp;Personagem!$K$5&amp;""'""),
if('Time 4'!C7 = ""Gauvin"", query(IMPORTRANGE(cd_planilha, ""Armas!B3:G""), ""Select Col1 Where Col2 = '""&amp;Personagem!$L$2&amp;""' or Col2 = '""&amp;Personagem!$L$3&amp;""' or Col2 = '""&amp;Personagem!$L$4&amp;""' or Co"&amp;"l2 = '""&amp;Personagem!$L$5&amp;""'""),
if('Time 4'!C7 = ""Irene"", query(IMPORTRANGE(cd_planilha, ""Armas!B3:G""), ""Select Col1 Where Col2 = '""&amp;Personagem!$M$2&amp;""' or Col2 = '""&amp;Personagem!$M$3&amp;""' or Col2 = '""&amp;Personagem!$M$4&amp;""' or Col2 = '""&amp;Personagem!$M"&amp;"$5&amp;""'""),
if('Time 4'!C7 = ""Karal"", query(IMPORTRANGE(cd_planilha, ""Armas!B3:G""), ""Select Col1 Where Col2 = '""&amp;Personagem!$N$2&amp;""' or Col2 = '""&amp;Personagem!$N$3&amp;""' or Col2 = '""&amp;Personagem!$N$4&amp;""' or Col2 = '""&amp;Personagem!$N$5&amp;""'""),
if('Time 4'"&amp;"!C7 = ""Kuro Shobi"", query(IMPORTRANGE(cd_planilha, ""Armas!B3:G""), ""Select Col1 Where Col2 = '""&amp;Personagem!$O$2&amp;""' or Col2 = '""&amp;Personagem!$O$3&amp;""' or Col2 = '""&amp;Personagem!$O$4&amp;""' or Col2 = '""&amp;Personagem!$O$5&amp;""'""),
if('Time 4'!C7 = ""Kurul"", "&amp;"query(IMPORTRANGE(cd_planilha, ""Armas!B3:G""), ""Select Col1 Where Col2 = '""&amp;Personagem!$P$2&amp;""' or Col2 = '""&amp;Personagem!$P$3&amp;""' or Col2 = '""&amp;Personagem!$P$4&amp;""' or Col2 = '""&amp;Personagem!$P$5&amp;""'""),
if('Time 4'!C7 = ""Lancaster"", query(IMPORTRANGE("&amp;"cd_planilha, ""Armas!B3:G""), ""Select Col1 Where Col2 = '""&amp;Personagem!$Q$2&amp;""' or Col2 = '""&amp;Personagem!$Q$3&amp;""' or Col2 = '""&amp;Personagem!$Q$4&amp;""' or Col2 = '""&amp;Personagem!$Q$5&amp;""'""),
if('Time 4'!C7 = ""Lorelei"", query(IMPORTRANGE(cd_planilha, ""Armas"&amp;"!B3:G""), ""Select Col1 Where Col2 = '""&amp;Personagem!$R$2&amp;""' or Col2 = '""&amp;Personagem!$R$3&amp;""' or Col2 = '""&amp;Personagem!$R$4&amp;""' or Col2 = '""&amp;Personagem!$R$5&amp;""'""),
if('Time 4'!C7 = ""Louca"", query(IMPORTRANGE(cd_planilha, ""Armas!B3:G""), ""Select Col"&amp;"1 Where Col2 = '""&amp;Personagem!$S$2&amp;""' or Col2 = '""&amp;Personagem!$S$3&amp;""' or Col2 = '""&amp;Personagem!$S$4&amp;""' or Col2 = '""&amp;Personagem!$S$5&amp;""'""),
if('Time 4'!C7 = ""Melina"", query(IMPORTRANGE(cd_planilha, ""Armas!B3:G""), ""Select Col1 Where Col2 = '""&amp;Pe"&amp;"rsonagem!$T$2&amp;""' or Col2 = '""&amp;Personagem!$T$3&amp;""' or Col2 = '""&amp;Personagem!$T$4&amp;""' or Col2 = '""&amp;Personagem!$T$5&amp;""'""),
if('Time 4'!C7 = ""Mila"", query(IMPORTRANGE(cd_planilha, ""Armas!B3:G""), ""Select Col1 Where Col2 = '""&amp;Personagem!$U$2&amp;""' or Co"&amp;"l2 = '""&amp;Personagem!$U$3&amp;""' or Col2 = '""&amp;Personagem!$U$4&amp;""' or Col2 = '""&amp;Personagem!$U$5&amp;""'""),
if('Time 4'!C7 = ""Minh"", query(IMPORTRANGE(cd_planilha, ""Armas!B3:G""), ""Select Col1 Where Col2 = '""&amp;Personagem!$V$2&amp;""' or Col2 = '""&amp;Personagem!$V$"&amp;"3&amp;""' or Col2 = '""&amp;Personagem!$V$4&amp;""' or Col2 = '""&amp;Personagem!$V$5&amp;""'""),
if('Time 4'!C7 = ""Mojian"", query(IMPORTRANGE(cd_planilha, ""Armas!B3:G""), ""Select Col1 Where Col2 = '""&amp;Personagem!$W$2&amp;""' or Col2 = '""&amp;Personagem!$W$3&amp;""' or Col2 = '""&amp;P"&amp;"ersonagem!$W$4&amp;""' or Col2 = '""&amp;Personagem!$W$5&amp;""'""),
if('Time 4'!C7 = ""Nya"", query(IMPORTRANGE(cd_planilha, ""Armas!B3:G""), ""Select Col1 Where Col2 = '""&amp;Personagem!$X$2&amp;""' or Col2 = '""&amp;Personagem!$X$3&amp;""' or Col2 = '""&amp;Personagem!$X$4&amp;""' or Co"&amp;"l2 = '""&amp;Personagem!$X$5&amp;""'""),
if('Time 4'!C7 = ""Odette"", query(IMPORTRANGE(cd_planilha, ""Armas!B3:G""), ""Select Col1 Where Col2 = '""&amp;Personagem!$Y$2&amp;""' or Col2 = '""&amp;Personagem!$Y$3&amp;""' or Col2 = '""&amp;Personagem!$Y$4&amp;""' or Col2 = '""&amp;Personagem!$"&amp;"Y$5&amp;""'""),
if('Time 4'!C7 = ""Oneira"", query(IMPORTRANGE(cd_planilha, ""Armas!B3:G""), ""Select Col1 Where Col2 = '""&amp;Personagem!$Z$2&amp;""' or Col2 = '""&amp;Personagem!$Z$3&amp;""' or Col2 = '""&amp;Personagem!$Z$4&amp;""' or Col2 = '""&amp;Personagem!$Z$5&amp;""'""),
if('Time "&amp;"4'!C7 = ""Palash"", query(IMPORTRANGE(cd_planilha, ""Armas!B3:G""), ""Select Col1 Where Col2 = '""&amp;Personagem!$AA$2&amp;""' or Col2 = '""&amp;Personagem!$AA$3&amp;""' or Col2 = '""&amp;Personagem!$AA$4&amp;""' or Col2 = '""&amp;Personagem!$AA$5&amp;""'""),
if('Time 4'!C7 = ""Theor"""&amp;", query(IMPORTRANGE(cd_planilha, ""Armas!B3:G""), ""Select Col1 Where Col2 = '""&amp;Personagem!$AB$2&amp;""' or Col2 = '""&amp;Personagem!$AB$3&amp;""' or Col2 = '""&amp;Personagem!$AB$4&amp;""' or Col2 = '""&amp;Personagem!$AB$5&amp;""'""),
if('Time 4'!C7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J1" s="241"/>
      <c r="K1" s="241" t="b">
        <f>IFERROR(__xludf.DUMMYFUNCTION("if('Time 4'!C8 = ""Albert"", query(IMPORTRANGE(cd_planilha, ""Armas!B3:G""), ""Select Col1 Where Col2 = '""&amp;Personagem!$B$2&amp;""' or Col2 = '""&amp;Personagem!$B$3&amp;""' or Col2 = '""&amp;Personagem!$B$4&amp;""' or Col2 = '""&amp;Personagem!$B$5&amp;""'""),     
if('Time 4'!C8 ="&amp;" ""Alicia"", query(IMPORTRANGE(cd_planilha, ""Armas!B3:G""), ""Select Col1 Where Col2 = '""&amp;Personagem!$C$2&amp;""' or Col2 = '""&amp;Personagem!$C$3&amp;""' or Col2 = '""&amp;Personagem!$C$4&amp;""' or Col2 = '""&amp;Personagem!$C$5&amp;""'""),
if('Time 4'!C8 = ""Azula"", query(IMP"&amp;"ORTRANGE(cd_planilha, ""Armas!B3:G""), ""Select Col1 Where Col2 = '""&amp;Personagem!$D$2&amp;""' or Col2 = '""&amp;Personagem!$D$3&amp;""' or Col2 = '""&amp;Personagem!$D$4&amp;""' or Col2 = '""&amp;Personagem!$D$5&amp;""'""),
if('Time 4'!C8 = ""Charles"", query(IMPORTRANGE(cd_planilha"&amp;", ""Armas!B3:G""), ""Select Col1 Where Col2 = '""&amp;Personagem!$E$2&amp;""' or Col2 = '""&amp;Personagem!$E$3&amp;""' or Col2 = '""&amp;Personagem!$E$4&amp;""' or Col2 = '""&amp;Personagem!$E$5&amp;""'""),
if('Time 4'!C8 = ""Clovis"", query(IMPORTRANGE(cd_planilha, ""Armas!B3:G""), """&amp;"Select Col1 Where Col2 = '""&amp;Personagem!$F$2&amp;""' or Col2 = '""&amp;Personagem!$F$3&amp;""' or Col2 = '""&amp;Personagem!$F$4&amp;""' or Col2 = '""&amp;Personagem!$F$5&amp;""'""),
if('Time 4'!C8 = ""Darthos"", query(IMPORTRANGE(cd_planilha, ""Armas!B3:G""), ""Select Col1 Where Co"&amp;"l2 = '""&amp;Personagem!$G$2&amp;""' or Col2 = '""&amp;Personagem!$G$3&amp;""' or Col2 = '""&amp;Personagem!$G$4&amp;""' or Col2 = '""&amp;Personagem!$G$5&amp;""'""),
if('Time 4'!C8 = ""Edward"", query(IMPORTRANGE(cd_planilha, ""Armas!B3:G""), ""Select Col1 Where Col2 = '""&amp;Personagem!$"&amp;"H$2&amp;""' or Col2 = '""&amp;Personagem!$H$3&amp;""' or Col2 = '""&amp;Personagem!$H$4&amp;""' or Col2 = '""&amp;Personagem!$H$5&amp;""'""),
if('Time 4'!C8 = ""Fiora"", query(IMPORTRANGE(cd_planilha, ""Armas!B3:G""), ""Select Col1 Where Col2 = '""&amp;Personagem!$I$2&amp;""' or Col2 = '""&amp;"&amp;"Personagem!$I$3&amp;""' or Col2 = '""&amp;Personagem!$I$4&amp;""' or Col2 = '""&amp;Personagem!$I$5&amp;""'""),
if('Time 4'!C8 = ""Francesca"", query(IMPORTRANGE(cd_planilha, ""Armas!B3:G""), ""Select Col1 Where Col2 = '""&amp;Personagem!$J$2&amp;""' or Col2 = '""&amp;Personagem!$J$3&amp;"""&amp;"' or Col2 = '""&amp;Personagem!$J$4&amp;""' or Col2 = '""&amp;Personagem!$J$5&amp;""'""),
if('Time 4'!C8 = ""Garreth"", query(IMPORTRANGE(cd_planilha, ""Armas!B3:G""), ""Select Col1 Where Col2 = '""&amp;Personagem!$K$2&amp;""' or Col2 = '""&amp;Personagem!$K$3&amp;""' or Col2 = '""&amp;Pers"&amp;"onagem!$K$4&amp;""' or Col2 = '""&amp;Personagem!$K$5&amp;""'""),
if('Time 4'!C8 = ""Gauvin"", query(IMPORTRANGE(cd_planilha, ""Armas!B3:G""), ""Select Col1 Where Col2 = '""&amp;Personagem!$L$2&amp;""' or Col2 = '""&amp;Personagem!$L$3&amp;""' or Col2 = '""&amp;Personagem!$L$4&amp;""' or Co"&amp;"l2 = '""&amp;Personagem!$L$5&amp;""'""),
if('Time 4'!C8 = ""Irene"", query(IMPORTRANGE(cd_planilha, ""Armas!B3:G""), ""Select Col1 Where Col2 = '""&amp;Personagem!$M$2&amp;""' or Col2 = '""&amp;Personagem!$M$3&amp;""' or Col2 = '""&amp;Personagem!$M$4&amp;""' or Col2 = '""&amp;Personagem!$M"&amp;"$5&amp;""'""),
if('Time 4'!C8 = ""Karal"", query(IMPORTRANGE(cd_planilha, ""Armas!B3:G""), ""Select Col1 Where Col2 = '""&amp;Personagem!$N$2&amp;""' or Col2 = '""&amp;Personagem!$N$3&amp;""' or Col2 = '""&amp;Personagem!$N$4&amp;""' or Col2 = '""&amp;Personagem!$N$5&amp;""'""),
if('Time 4'"&amp;"!C8 = ""Kuro Shobi"", query(IMPORTRANGE(cd_planilha, ""Armas!B3:G""), ""Select Col1 Where Col2 = '""&amp;Personagem!$O$2&amp;""' or Col2 = '""&amp;Personagem!$O$3&amp;""' or Col2 = '""&amp;Personagem!$O$4&amp;""' or Col2 = '""&amp;Personagem!$O$5&amp;""'""),
if('Time 4'!C8 = ""Kurul"", "&amp;"query(IMPORTRANGE(cd_planilha, ""Armas!B3:G""), ""Select Col1 Where Col2 = '""&amp;Personagem!$P$2&amp;""' or Col2 = '""&amp;Personagem!$P$3&amp;""' or Col2 = '""&amp;Personagem!$P$4&amp;""' or Col2 = '""&amp;Personagem!$P$5&amp;""'""),
if('Time 4'!C8 = ""Lancaster"", query(IMPORTRANGE("&amp;"cd_planilha, ""Armas!B3:G""), ""Select Col1 Where Col2 = '""&amp;Personagem!$Q$2&amp;""' or Col2 = '""&amp;Personagem!$Q$3&amp;""' or Col2 = '""&amp;Personagem!$Q$4&amp;""' or Col2 = '""&amp;Personagem!$Q$5&amp;""'""),
if('Time 4'!C8 = ""Lorelei"", query(IMPORTRANGE(cd_planilha, ""Armas"&amp;"!B3:G""), ""Select Col1 Where Col2 = '""&amp;Personagem!$R$2&amp;""' or Col2 = '""&amp;Personagem!$R$3&amp;""' or Col2 = '""&amp;Personagem!$R$4&amp;""' or Col2 = '""&amp;Personagem!$R$5&amp;""'""),
if('Time 4'!C8 = ""Louca"", query(IMPORTRANGE(cd_planilha, ""Armas!B3:G""), ""Select Col"&amp;"1 Where Col2 = '""&amp;Personagem!$S$2&amp;""' or Col2 = '""&amp;Personagem!$S$3&amp;""' or Col2 = '""&amp;Personagem!$S$4&amp;""' or Col2 = '""&amp;Personagem!$S$5&amp;""'""),
if('Time 4'!C8 = ""Melina"", query(IMPORTRANGE(cd_planilha, ""Armas!B3:G""), ""Select Col1 Where Col2 = '""&amp;Pe"&amp;"rsonagem!$T$2&amp;""' or Col2 = '""&amp;Personagem!$T$3&amp;""' or Col2 = '""&amp;Personagem!$T$4&amp;""' or Col2 = '""&amp;Personagem!$T$5&amp;""'""),
if('Time 4'!C8 = ""Mila"", query(IMPORTRANGE(cd_planilha, ""Armas!B3:G""), ""Select Col1 Where Col2 = '""&amp;Personagem!$U$2&amp;""' or Co"&amp;"l2 = '""&amp;Personagem!$U$3&amp;""' or Col2 = '""&amp;Personagem!$U$4&amp;""' or Col2 = '""&amp;Personagem!$U$5&amp;""'""),
if('Time 4'!C8 = ""Minh"", query(IMPORTRANGE(cd_planilha, ""Armas!B3:G""), ""Select Col1 Where Col2 = '""&amp;Personagem!$V$2&amp;""' or Col2 = '""&amp;Personagem!$V$"&amp;"3&amp;""' or Col2 = '""&amp;Personagem!$V$4&amp;""' or Col2 = '""&amp;Personagem!$V$5&amp;""'""),
if('Time 4'!C8 = ""Mojian"", query(IMPORTRANGE(cd_planilha, ""Armas!B3:G""), ""Select Col1 Where Col2 = '""&amp;Personagem!$W$2&amp;""' or Col2 = '""&amp;Personagem!$W$3&amp;""' or Col2 = '""&amp;P"&amp;"ersonagem!$W$4&amp;""' or Col2 = '""&amp;Personagem!$W$5&amp;""'""),
if('Time 4'!C8 = ""Nya"", query(IMPORTRANGE(cd_planilha, ""Armas!B3:G""), ""Select Col1 Where Col2 = '""&amp;Personagem!$X$2&amp;""' or Col2 = '""&amp;Personagem!$X$3&amp;""' or Col2 = '""&amp;Personagem!$X$4&amp;""' or Co"&amp;"l2 = '""&amp;Personagem!$X$5&amp;""'""),
if('Time 4'!C8 = ""Odette"", query(IMPORTRANGE(cd_planilha, ""Armas!B3:G""), ""Select Col1 Where Col2 = '""&amp;Personagem!$Y$2&amp;""' or Col2 = '""&amp;Personagem!$Y$3&amp;""' or Col2 = '""&amp;Personagem!$Y$4&amp;""' or Col2 = '""&amp;Personagem!$"&amp;"Y$5&amp;""'""),
if('Time 4'!C8 = ""Oneira"", query(IMPORTRANGE(cd_planilha, ""Armas!B3:G""), ""Select Col1 Where Col2 = '""&amp;Personagem!$Z$2&amp;""' or Col2 = '""&amp;Personagem!$Z$3&amp;""' or Col2 = '""&amp;Personagem!$Z$4&amp;""' or Col2 = '""&amp;Personagem!$Z$5&amp;""'""),
if('Time "&amp;"4'!C8 = ""Palash"", query(IMPORTRANGE(cd_planilha, ""Armas!B3:G""), ""Select Col1 Where Col2 = '""&amp;Personagem!$AA$2&amp;""' or Col2 = '""&amp;Personagem!$AA$3&amp;""' or Col2 = '""&amp;Personagem!$AA$4&amp;""' or Col2 = '""&amp;Personagem!$AA$5&amp;""'""),
if('Time 4'!C8 = ""Theor"""&amp;", query(IMPORTRANGE(cd_planilha, ""Armas!B3:G""), ""Select Col1 Where Col2 = '""&amp;Personagem!$AB$2&amp;""' or Col2 = '""&amp;Personagem!$AB$3&amp;""' or Col2 = '""&amp;Personagem!$AB$4&amp;""' or Col2 = '""&amp;Personagem!$AB$5&amp;""'""),
if('Time 4'!C8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'""&amp;Personagem!$AC$5&amp;""'"")))))))))))))))))))))))))))))"),FALSE)</f>
        <v>0</v>
      </c>
      <c r="L1" s="242"/>
      <c r="M1" s="241" t="str">
        <f>IFERROR(__xludf.DUMMYFUNCTION("if('Time 4'!C3 = ""Albert"", query(IMPORTRANGE(cd_planilha, ""Armas!B3:G""), ""Select Col1 Where Col2 = '""&amp;Personagem!$B$6&amp;""' or Col2 = '""&amp;Personagem!$B$7&amp;""'""),     
if('Time 4'!C3 = ""Alicia"", query(IMPORTRANGE(cd_planilha, ""Armas!B3:G""), ""Selec"&amp;"t Col1 Where Col2 = '""&amp;Personagem!$C$6&amp;""' or Col2 = '""&amp;Personagem!$C$7&amp;""'""),
if('Time 4'!C3 = ""Azula"", query(IMPORTRANGE(cd_planilha, ""Armas!B3:G""), ""Select Col1 Where Col2 = '""&amp;Personagem!$D$6&amp;""' or Col2 = '""&amp;Personagem!$D$7&amp;""' ""),
if('Tim"&amp;"e 4'!C3 = ""Charles"", query(IMPORTRANGE(cd_planilha, ""Armas!B3:G""), ""Select Col1 Where Col2 = '""&amp;Personagem!$E$6&amp;""' or Col2 = '""&amp;Personagem!$E$7&amp;""'""),
if('Time 4'!C3 = ""Clovis"", query(IMPORTRANGE(cd_planilha, ""Armas!B3:G""), ""Select Col1 Wher"&amp;"e Col2 = '""&amp;Personagem!$F$6&amp;""' or Col2 = '""&amp;Personagem!$F$7&amp;""' ""),
if('Time 4'!C3 = ""Darthos"", query(IMPORTRANGE(cd_planilha, ""Armas!B3:G""), ""Select Col1 Where Col2 = '""&amp;Personagem!$G$6&amp;""' or Col2 = '""&amp;Personagem!$G$7&amp;""'""),
if('Time 4'!C3 ="&amp;" ""Edward"", query(IMPORTRANGE(cd_planilha, ""Armas!B3:G""), ""Select Col1 Where Col2 = '""&amp;Personagem!$H$6&amp;""' or Col2 = '""&amp;Personagem!$H$7&amp;""' ""),
if('Time 4'!C3 = ""Fiora"", query(IMPORTRANGE(cd_planilha, ""Armas!B3:G""), ""Select Col1 Where Col2 = '"&amp;"""&amp;Personagem!$I$6&amp;""' or Col2 = '""&amp;Personagem!$I$7&amp;""' ""),
if('Time 4'!C3 = ""Francesca"", query(IMPORTRANGE(cd_planilha, ""Armas!B3:G""), ""Select Col1 Where Col2 = '""&amp;Personagem!$J$6&amp;""' or Col2 = '""&amp;Personagem!$J$7&amp;""'""),
if('Time 4'!C3 = ""Garre"&amp;"th"", query(IMPORTRANGE(cd_planilha, ""Armas!B3:G""), ""Select Col1 Where Col2 = '""&amp;Personagem!$K$6&amp;""' or Col2 = '""&amp;Personagem!$K$7&amp;""'""),
if('Time 4'!C3 = ""Gauvin"", query(IMPORTRANGE(cd_planilha, ""Armas!B3:G""), ""Select Col1 Where Col2 = '""&amp;Pers"&amp;"onagem!$L$6&amp;""' or Col2 = '""&amp;Personagem!$L$7&amp;""' ""),
if('Time 4'!C3 = ""Irene"", query(IMPORTRANGE(cd_planilha, ""Armas!B3:G""), ""Select Col1 Where Col2 = '""&amp;Personagem!$M$6&amp;""' or Col2 = '""&amp;Personagem!$M$7&amp;""' ""),
if('Time 4'!C3 = ""Karal"", query("&amp;"IMPORTRANGE(cd_planilha, ""Armas!B3:G""), ""Select Col1 Where Col2 = '""&amp;Personagem!$N$6&amp;""' or Col2 = '""&amp;Personagem!$N$7&amp;""' ""),
if('Time 4'!C3 = ""Kuro Shobi"", query(IMPORTRANGE(cd_planilha, ""Armas!B3:G""), ""Select Col1 Where Col2 = '""&amp;Personagem!"&amp;"$O$6&amp;""' or Col2 = '""&amp;Personagem!$O$7&amp;""'""),
if('Time 4'!C3 = ""Kurul"", query(IMPORTRANGE(cd_planilha, ""Armas!B3:G""), ""Select Col1 Where Col2 = '""&amp;Personagem!$P$6&amp;""' or Col2 = '""&amp;Personagem!$P$7&amp;""' ""),
if('Time 4'!C3 = ""Lancaster"", query(IMPO"&amp;"RTRANGE(cd_planilha, ""Armas!B3:G""), ""Select Col1 Where Col2 = '""&amp;Personagem!$Q$6&amp;""' or Col2 = '""&amp;Personagem!$Q$7&amp;""'""),
if('Time 4'!C3 = ""Lorelei"", query(IMPORTRANGE(cd_planilha, ""Armas!B3:G""), ""Select Col1 Where Col2 = '""&amp;Personagem!$R$6&amp;""'"&amp;" or Col2 = '""&amp;Personagem!$R$7&amp;""' ""),
if('Time 4'!C3 = ""Louca"", query(IMPORTRANGE(cd_planilha, ""Armas!B3:G""), ""Select Col1 Where Col2 = '""&amp;Personagem!$S$6&amp;""' or Col2 = '""&amp;Personagem!$S$7&amp;""' ""),
if('Time 4'!C3 = ""Melina"", query(IMPORTRANGE(cd"&amp;"_planilha, ""Armas!B3:G""), ""Select Col1 Where Col2 = '""&amp;Personagem!$T$6&amp;""' or Col2 = '""&amp;Personagem!$T$7&amp;""'""),
if('Time 4'!C3 = ""Mila"", query(IMPORTRANGE(cd_planilha, ""Armas!B3:G""), ""Select Col1 Where Col2 = '""&amp;Personagem!$U$6&amp;""' or Col2 = '"&amp;"""&amp;Personagem!$U$7&amp;""' ""),
if('Time 4'!C3 = ""Minh"", query(IMPORTRANGE(cd_planilha, ""Armas!B3:G""), ""Select Col1 Where Col2 = '""&amp;Personagem!$V$6&amp;""' or Col2 = '""&amp;Personagem!$V$7&amp;""' ""),
if('Time 4'!C3 = ""Mojian"", query(IMPORTRANGE(cd_planilha, """&amp;"Armas!B3:G""), ""Select Col1 Where Col2 = '""&amp;Personagem!$W$6&amp;""' or Col2 = '""&amp;Personagem!$W$7&amp;""'""),
if('Time 4'!C3 = ""Nya"", query(IMPORTRANGE(cd_planilha, ""Armas!B3:G""), ""Select Col1 Where Col2 = '""&amp;Personagem!$X$6&amp;""' or Col2 = '""&amp;Personagem!$"&amp;"X$7&amp;""' ""),
if('Time 4'!C3 = ""Odette"", query(IMPORTRANGE(cd_planilha, ""Armas!B3:G""), ""Select Col1 Where Col2 = '""&amp;Personagem!$Y$6&amp;""' or Col2 = '""&amp;Personagem!$Y$7&amp;""'""),
if('Time 4'!C3 = ""Oneira"", query(IMPORTRANGE(cd_planilha, ""Armas!B3:G""),"&amp;" ""Select Col1 Where Col2 = '""&amp;Personagem!$Z$6&amp;""' or Col2 = '""&amp;Personagem!$Z$7&amp;""' ""),
if('Time 4'!C3 = ""Palash"", query(IMPORTRANGE(cd_planilha, ""Armas!B3:G""), ""Select Col1 Where Col2 = '""&amp;Personagem!$AA$6&amp;""' or Col2 = '""&amp;Personagem!$AA$7&amp;""'"&amp;"""),
if('Time 4'!C3 = ""Theor"", query(IMPORTRANGE(cd_planilha, ""Armas!B3:G""), ""Select Col1 Where Col2 = '""&amp;Personagem!$AB$6&amp;""' or Col2 = '""&amp;Personagem!$AB$7&amp;""' ""),
if('Time 4'!C3 = ""Yue"", query(IMPORTRANGE(cd_planilha, ""Armas!B3:G""), ""Select"&amp;" Col1 Where Col2 = '""&amp;Personagem!$AC$6&amp;""' or Col2 = '""&amp;Personagem!$AC$7&amp;""'""
)))))))))))))))))))))))))))))"),"Capa do Gelo")</f>
        <v>Capa do Gelo</v>
      </c>
      <c r="N1" s="241"/>
      <c r="O1" s="241" t="str">
        <f>IFERROR(__xludf.DUMMYFUNCTION("if('Time 4'!C4 = ""Albert"", query(IMPORTRANGE(cd_planilha, ""Armas!B3:G""), ""Select Col1 Where Col2 = '""&amp;Personagem!$B$6&amp;""' or Col2 = '""&amp;Personagem!$B$7&amp;""'""),     
if('Time 4'!C4 = ""Alicia"", query(IMPORTRANGE(cd_planilha, ""Armas!B3:G""), ""Selec"&amp;"t Col1 Where Col2 = '""&amp;Personagem!$C$6&amp;""' or Col2 = '""&amp;Personagem!$C$7&amp;""'""),
if('Time 4'!C4 = ""Azula"", query(IMPORTRANGE(cd_planilha, ""Armas!B3:G""), ""Select Col1 Where Col2 = '""&amp;Personagem!$D$6&amp;""' or Col2 = '""&amp;Personagem!$D$7&amp;""' ""),
if('Tim"&amp;"e 4'!C4 = ""Charles"", query(IMPORTRANGE(cd_planilha, ""Armas!B3:G""), ""Select Col1 Where Col2 = '""&amp;Personagem!$E$6&amp;""' or Col2 = '""&amp;Personagem!$E$7&amp;""'""),
if('Time 4'!C4 = ""Clovis"", query(IMPORTRANGE(cd_planilha, ""Armas!B3:G""), ""Select Col1 Wher"&amp;"e Col2 = '""&amp;Personagem!$F$6&amp;""' or Col2 = '""&amp;Personagem!$F$7&amp;""' ""),
if('Time 4'!C4 = ""Darthos"", query(IMPORTRANGE(cd_planilha, ""Armas!B3:G""), ""Select Col1 Where Col2 = '""&amp;Personagem!$G$6&amp;""' or Col2 = '""&amp;Personagem!$G$7&amp;""'""),
if('Time 4'!C4 ="&amp;" ""Edward"", query(IMPORTRANGE(cd_planilha, ""Armas!B3:G""), ""Select Col1 Where Col2 = '""&amp;Personagem!$H$6&amp;""' or Col2 = '""&amp;Personagem!$H$7&amp;""' ""),
if('Time 4'!C4 = ""Fiora"", query(IMPORTRANGE(cd_planilha, ""Armas!B3:G""), ""Select Col1 Where Col2 = '"&amp;"""&amp;Personagem!$I$6&amp;""' or Col2 = '""&amp;Personagem!$I$7&amp;""' ""),
if('Time 4'!C4 = ""Francesca"", query(IMPORTRANGE(cd_planilha, ""Armas!B3:G""), ""Select Col1 Where Col2 = '""&amp;Personagem!$J$6&amp;""' or Col2 = '""&amp;Personagem!$J$7&amp;""'""),
if('Time 4'!C4 = ""Garre"&amp;"th"", query(IMPORTRANGE(cd_planilha, ""Armas!B3:G""), ""Select Col1 Where Col2 = '""&amp;Personagem!$K$6&amp;""' or Col2 = '""&amp;Personagem!$K$7&amp;""'""),
if('Time 4'!C4 = ""Gauvin"", query(IMPORTRANGE(cd_planilha, ""Armas!B3:G""), ""Select Col1 Where Col2 = '""&amp;Pers"&amp;"onagem!$L$6&amp;""' or Col2 = '""&amp;Personagem!$L$7&amp;""' ""),
if('Time 4'!C4 = ""Irene"", query(IMPORTRANGE(cd_planilha, ""Armas!B3:G""), ""Select Col1 Where Col2 = '""&amp;Personagem!$M$6&amp;""' or Col2 = '""&amp;Personagem!$M$7&amp;""' ""),
if('Time 4'!C4 = ""Karal"", query("&amp;"IMPORTRANGE(cd_planilha, ""Armas!B3:G""), ""Select Col1 Where Col2 = '""&amp;Personagem!$N$6&amp;""' or Col2 = '""&amp;Personagem!$N$7&amp;""' ""),
if('Time 4'!C4 = ""Kuro Shobi"", query(IMPORTRANGE(cd_planilha, ""Armas!B3:G""), ""Select Col1 Where Col2 = '""&amp;Personagem!"&amp;"$O$6&amp;""' or Col2 = '""&amp;Personagem!$O$7&amp;""'""),
if('Time 4'!C4 = ""Kurul"", query(IMPORTRANGE(cd_planilha, ""Armas!B3:G""), ""Select Col1 Where Col2 = '""&amp;Personagem!$P$6&amp;""' or Col2 = '""&amp;Personagem!$P$7&amp;""' ""),
if('Time 4'!C4 = ""Lancaster"", query(IMPO"&amp;"RTRANGE(cd_planilha, ""Armas!B3:G""), ""Select Col1 Where Col2 = '""&amp;Personagem!$Q$6&amp;""' or Col2 = '""&amp;Personagem!$Q$7&amp;""'""),
if('Time 4'!C4 = ""Lorelei"", query(IMPORTRANGE(cd_planilha, ""Armas!B3:G""), ""Select Col1 Where Col2 = '""&amp;Personagem!$R$6&amp;""'"&amp;" or Col2 = '""&amp;Personagem!$R$7&amp;""' ""),
if('Time 4'!C4 = ""Louca"", query(IMPORTRANGE(cd_planilha, ""Armas!B3:G""), ""Select Col1 Where Col2 = '""&amp;Personagem!$S$6&amp;""' or Col2 = '""&amp;Personagem!$S$7&amp;""' ""),
if('Time 4'!C4 = ""Melina"", query(IMPORTRANGE(cd"&amp;"_planilha, ""Armas!B3:G""), ""Select Col1 Where Col2 = '""&amp;Personagem!$T$6&amp;""' or Col2 = '""&amp;Personagem!$T$7&amp;""'""),
if('Time 4'!C4 = ""Mila"", query(IMPORTRANGE(cd_planilha, ""Armas!B3:G""), ""Select Col1 Where Col2 = '""&amp;Personagem!$U$6&amp;""' or Col2 = '"&amp;"""&amp;Personagem!$U$7&amp;""' ""),
if('Time 4'!C4 = ""Minh"", query(IMPORTRANGE(cd_planilha, ""Armas!B3:G""), ""Select Col1 Where Col2 = '""&amp;Personagem!$V$6&amp;""' or Col2 = '""&amp;Personagem!$V$7&amp;""' ""),
if('Time 4'!C4 = ""Mojian"", query(IMPORTRANGE(cd_planilha, """&amp;"Armas!B3:G""), ""Select Col1 Where Col2 = '""&amp;Personagem!$W$6&amp;""' or Col2 = '""&amp;Personagem!$W$7&amp;""'""),
if('Time 4'!C4 = ""Nya"", query(IMPORTRANGE(cd_planilha, ""Armas!B3:G""), ""Select Col1 Where Col2 = '""&amp;Personagem!$X$6&amp;""' or Col2 = '""&amp;Personagem!$"&amp;"X$7&amp;""' ""),
if('Time 4'!C4 = ""Odette"", query(IMPORTRANGE(cd_planilha, ""Armas!B3:G""), ""Select Col1 Where Col2 = '""&amp;Personagem!$Y$6&amp;""' or Col2 = '""&amp;Personagem!$Y$7&amp;""'""),
if('Time 4'!C4 = ""Oneira"", query(IMPORTRANGE(cd_planilha, ""Armas!B3:G""),"&amp;" ""Select Col1 Where Col2 = '""&amp;Personagem!$Z$6&amp;""' or Col2 = '""&amp;Personagem!$Z$7&amp;""' ""),
if('Time 4'!C4 = ""Palash"", query(IMPORTRANGE(cd_planilha, ""Armas!B3:G""), ""Select Col1 Where Col2 = '""&amp;Personagem!$AA$6&amp;""' or Col2 = '""&amp;Personagem!$AA$7&amp;""'"&amp;"""),
if('Time 4'!C4 = ""Theor"", query(IMPORTRANGE(cd_planilha, ""Armas!B3:G""), ""Select Col1 Where Col2 = '""&amp;Personagem!$AB$6&amp;""' or Col2 = '""&amp;Personagem!$AB$7&amp;""' ""),
if('Time 4'!C4 = ""Yue"", query(IMPORTRANGE(cd_planilha, ""Armas!B3:G""), ""Select"&amp;" Col1 Where Col2 = '""&amp;Personagem!$AC$6&amp;""' or Col2 = '""&amp;Personagem!$AC$7&amp;""'""
)))))))))))))))))))))))))))))"),"Armadura Lunar")</f>
        <v>Armadura Lunar</v>
      </c>
      <c r="P1" s="241"/>
      <c r="Q1" s="241" t="str">
        <f>IFERROR(__xludf.DUMMYFUNCTION("if('Time 4'!C5 = ""Albert"", query(IMPORTRANGE(cd_planilha, ""Armas!B3:G""), ""Select Col1 Where Col2 = '""&amp;Personagem!$B$6&amp;""' or Col2 = '""&amp;Personagem!$B$7&amp;""'""),     
if('Time 4'!C5 = ""Alicia"", query(IMPORTRANGE(cd_planilha, ""Armas!B3:G""), ""Selec"&amp;"t Col1 Where Col2 = '""&amp;Personagem!$C$6&amp;""' or Col2 = '""&amp;Personagem!$C$7&amp;""'""),
if('Time 4'!C5 = ""Azula"", query(IMPORTRANGE(cd_planilha, ""Armas!B3:G""), ""Select Col1 Where Col2 = '""&amp;Personagem!$D$6&amp;""' or Col2 = '""&amp;Personagem!$D$7&amp;""' ""),
if('Tim"&amp;"e 4'!C5 = ""Charles"", query(IMPORTRANGE(cd_planilha, ""Armas!B3:G""), ""Select Col1 Where Col2 = '""&amp;Personagem!$E$6&amp;""' or Col2 = '""&amp;Personagem!$E$7&amp;""'""),
if('Time 4'!C5 = ""Clovis"", query(IMPORTRANGE(cd_planilha, ""Armas!B3:G""), ""Select Col1 Wher"&amp;"e Col2 = '""&amp;Personagem!$F$6&amp;""' or Col2 = '""&amp;Personagem!$F$7&amp;""' ""),
if('Time 4'!C5 = ""Darthos"", query(IMPORTRANGE(cd_planilha, ""Armas!B3:G""), ""Select Col1 Where Col2 = '""&amp;Personagem!$G$6&amp;""' or Col2 = '""&amp;Personagem!$G$7&amp;""'""),
if('Time 4'!C5 ="&amp;" ""Edward"", query(IMPORTRANGE(cd_planilha, ""Armas!B3:G""), ""Select Col1 Where Col2 = '""&amp;Personagem!$H$6&amp;""' or Col2 = '""&amp;Personagem!$H$7&amp;""' ""),
if('Time 4'!C5 = ""Fiora"", query(IMPORTRANGE(cd_planilha, ""Armas!B3:G""), ""Select Col1 Where Col2 = '"&amp;"""&amp;Personagem!$I$6&amp;""' or Col2 = '""&amp;Personagem!$I$7&amp;""' ""),
if('Time 4'!C5 = ""Francesca"", query(IMPORTRANGE(cd_planilha, ""Armas!B3:G""), ""Select Col1 Where Col2 = '""&amp;Personagem!$J$6&amp;""' or Col2 = '""&amp;Personagem!$J$7&amp;""'""),
if('Time 4'!C5 = ""Garre"&amp;"th"", query(IMPORTRANGE(cd_planilha, ""Armas!B3:G""), ""Select Col1 Where Col2 = '""&amp;Personagem!$K$6&amp;""' or Col2 = '""&amp;Personagem!$K$7&amp;""'""),
if('Time 4'!C5 = ""Gauvin"", query(IMPORTRANGE(cd_planilha, ""Armas!B3:G""), ""Select Col1 Where Col2 = '""&amp;Pers"&amp;"onagem!$L$6&amp;""' or Col2 = '""&amp;Personagem!$L$7&amp;""' ""),
if('Time 4'!C5 = ""Irene"", query(IMPORTRANGE(cd_planilha, ""Armas!B3:G""), ""Select Col1 Where Col2 = '""&amp;Personagem!$M$6&amp;""' or Col2 = '""&amp;Personagem!$M$7&amp;""' ""),
if('Time 4'!C5 = ""Karal"", query("&amp;"IMPORTRANGE(cd_planilha, ""Armas!B3:G""), ""Select Col1 Where Col2 = '""&amp;Personagem!$N$6&amp;""' or Col2 = '""&amp;Personagem!$N$7&amp;""' ""),
if('Time 4'!C5 = ""Kuro Shobi"", query(IMPORTRANGE(cd_planilha, ""Armas!B3:G""), ""Select Col1 Where Col2 = '""&amp;Personagem!"&amp;"$O$6&amp;""' or Col2 = '""&amp;Personagem!$O$7&amp;""'""),
if('Time 4'!C5 = ""Kurul"", query(IMPORTRANGE(cd_planilha, ""Armas!B3:G""), ""Select Col1 Where Col2 = '""&amp;Personagem!$P$6&amp;""' or Col2 = '""&amp;Personagem!$P$7&amp;""' ""),
if('Time 4'!C5 = ""Lancaster"", query(IMPO"&amp;"RTRANGE(cd_planilha, ""Armas!B3:G""), ""Select Col1 Where Col2 = '""&amp;Personagem!$Q$6&amp;""' or Col2 = '""&amp;Personagem!$Q$7&amp;""'""),
if('Time 4'!C5 = ""Lorelei"", query(IMPORTRANGE(cd_planilha, ""Armas!B3:G""), ""Select Col1 Where Col2 = '""&amp;Personagem!$R$6&amp;""'"&amp;" or Col2 = '""&amp;Personagem!$R$7&amp;""' ""),
if('Time 4'!C5 = ""Louca"", query(IMPORTRANGE(cd_planilha, ""Armas!B3:G""), ""Select Col1 Where Col2 = '""&amp;Personagem!$S$6&amp;""' or Col2 = '""&amp;Personagem!$S$7&amp;""' ""),
if('Time 4'!C5 = ""Melina"", query(IMPORTRANGE(cd"&amp;"_planilha, ""Armas!B3:G""), ""Select Col1 Where Col2 = '""&amp;Personagem!$T$6&amp;""' or Col2 = '""&amp;Personagem!$T$7&amp;""'""),
if('Time 4'!C5 = ""Mila"", query(IMPORTRANGE(cd_planilha, ""Armas!B3:G""), ""Select Col1 Where Col2 = '""&amp;Personagem!$U$6&amp;""' or Col2 = '"&amp;"""&amp;Personagem!$U$7&amp;""' ""),
if('Time 4'!C5 = ""Minh"", query(IMPORTRANGE(cd_planilha, ""Armas!B3:G""), ""Select Col1 Where Col2 = '""&amp;Personagem!$V$6&amp;""' or Col2 = '""&amp;Personagem!$V$7&amp;""' ""),
if('Time 4'!C5 = ""Mojian"", query(IMPORTRANGE(cd_planilha, """&amp;"Armas!B3:G""), ""Select Col1 Where Col2 = '""&amp;Personagem!$W$6&amp;""' or Col2 = '""&amp;Personagem!$W$7&amp;""'""),
if('Time 4'!C5 = ""Nya"", query(IMPORTRANGE(cd_planilha, ""Armas!B3:G""), ""Select Col1 Where Col2 = '""&amp;Personagem!$X$6&amp;""' or Col2 = '""&amp;Personagem!$"&amp;"X$7&amp;""' ""),
if('Time 4'!C5 = ""Odette"", query(IMPORTRANGE(cd_planilha, ""Armas!B3:G""), ""Select Col1 Where Col2 = '""&amp;Personagem!$Y$6&amp;""' or Col2 = '""&amp;Personagem!$Y$7&amp;""'""),
if('Time 4'!C5 = ""Oneira"", query(IMPORTRANGE(cd_planilha, ""Armas!B3:G""),"&amp;" ""Select Col1 Where Col2 = '""&amp;Personagem!$Z$6&amp;""' or Col2 = '""&amp;Personagem!$Z$7&amp;""' ""),
if('Time 4'!C5 = ""Palash"", query(IMPORTRANGE(cd_planilha, ""Armas!B3:G""), ""Select Col1 Where Col2 = '""&amp;Personagem!$AA$6&amp;""' or Col2 = '""&amp;Personagem!$AA$7&amp;""'"&amp;"""),
if('Time 4'!C5 = ""Theor"", query(IMPORTRANGE(cd_planilha, ""Armas!B3:G""), ""Select Col1 Where Col2 = '""&amp;Personagem!$AB$6&amp;""' or Col2 = '""&amp;Personagem!$AB$7&amp;""' ""),
if('Time 4'!C5 = ""Yue"", query(IMPORTRANGE(cd_planilha, ""Armas!B3:G""), ""Select"&amp;" Col1 Where Col2 = '""&amp;Personagem!$AC$6&amp;""' or Col2 = '""&amp;Personagem!$AC$7&amp;""'""
)))))))))))))))))))))))))))))"),"Armadura Lunar")</f>
        <v>Armadura Lunar</v>
      </c>
      <c r="R1" s="241"/>
      <c r="S1" s="241" t="str">
        <f>IFERROR(__xludf.DUMMYFUNCTION("if('Time 4'!C6 = ""Albert"", query(IMPORTRANGE(cd_planilha, ""Armas!B3:G""), ""Select Col1 Where Col2 = '""&amp;Personagem!$B$6&amp;""' or Col2 = '""&amp;Personagem!$B$7&amp;""'""),     
if('Time 4'!C6 = ""Alicia"", query(IMPORTRANGE(cd_planilha, ""Armas!B3:G""), ""Selec"&amp;"t Col1 Where Col2 = '""&amp;Personagem!$C$6&amp;""' or Col2 = '""&amp;Personagem!$C$7&amp;""'""),
if('Time 4'!C6 = ""Azula"", query(IMPORTRANGE(cd_planilha, ""Armas!B3:G""), ""Select Col1 Where Col2 = '""&amp;Personagem!$D$6&amp;""' or Col2 = '""&amp;Personagem!$D$7&amp;""' ""),
if('Tim"&amp;"e 4'!C6 = ""Charles"", query(IMPORTRANGE(cd_planilha, ""Armas!B3:G""), ""Select Col1 Where Col2 = '""&amp;Personagem!$E$6&amp;""' or Col2 = '""&amp;Personagem!$E$7&amp;""'""),
if('Time 4'!C6 = ""Clovis"", query(IMPORTRANGE(cd_planilha, ""Armas!B3:G""), ""Select Col1 Wher"&amp;"e Col2 = '""&amp;Personagem!$F$6&amp;""' or Col2 = '""&amp;Personagem!$F$7&amp;""' ""),
if('Time 4'!C6 = ""Darthos"", query(IMPORTRANGE(cd_planilha, ""Armas!B3:G""), ""Select Col1 Where Col2 = '""&amp;Personagem!$G$6&amp;""' or Col2 = '""&amp;Personagem!$G$7&amp;""'""),
if('Time 4'!C6 ="&amp;" ""Edward"", query(IMPORTRANGE(cd_planilha, ""Armas!B3:G""), ""Select Col1 Where Col2 = '""&amp;Personagem!$H$6&amp;""' or Col2 = '""&amp;Personagem!$H$7&amp;""' ""),
if('Time 4'!C6 = ""Fiora"", query(IMPORTRANGE(cd_planilha, ""Armas!B3:G""), ""Select Col1 Where Col2 = '"&amp;"""&amp;Personagem!$I$6&amp;""' or Col2 = '""&amp;Personagem!$I$7&amp;""' ""),
if('Time 4'!C6 = ""Francesca"", query(IMPORTRANGE(cd_planilha, ""Armas!B3:G""), ""Select Col1 Where Col2 = '""&amp;Personagem!$J$6&amp;""' or Col2 = '""&amp;Personagem!$J$7&amp;""'""),
if('Time 4'!C6 = ""Garre"&amp;"th"", query(IMPORTRANGE(cd_planilha, ""Armas!B3:G""), ""Select Col1 Where Col2 = '""&amp;Personagem!$K$6&amp;""' or Col2 = '""&amp;Personagem!$K$7&amp;""'""),
if('Time 4'!C6 = ""Gauvin"", query(IMPORTRANGE(cd_planilha, ""Armas!B3:G""), ""Select Col1 Where Col2 = '""&amp;Pers"&amp;"onagem!$L$6&amp;""' or Col2 = '""&amp;Personagem!$L$7&amp;""' ""),
if('Time 4'!C6 = ""Irene"", query(IMPORTRANGE(cd_planilha, ""Armas!B3:G""), ""Select Col1 Where Col2 = '""&amp;Personagem!$M$6&amp;""' or Col2 = '""&amp;Personagem!$M$7&amp;""' ""),
if('Time 4'!C6 = ""Karal"", query("&amp;"IMPORTRANGE(cd_planilha, ""Armas!B3:G""), ""Select Col1 Where Col2 = '""&amp;Personagem!$N$6&amp;""' or Col2 = '""&amp;Personagem!$N$7&amp;""' ""),
if('Time 4'!C6 = ""Kuro Shobi"", query(IMPORTRANGE(cd_planilha, ""Armas!B3:G""), ""Select Col1 Where Col2 = '""&amp;Personagem!"&amp;"$O$6&amp;""' or Col2 = '""&amp;Personagem!$O$7&amp;""'""),
if('Time 4'!C6 = ""Kurul"", query(IMPORTRANGE(cd_planilha, ""Armas!B3:G""), ""Select Col1 Where Col2 = '""&amp;Personagem!$P$6&amp;""' or Col2 = '""&amp;Personagem!$P$7&amp;""' ""),
if('Time 4'!C6 = ""Lancaster"", query(IMPO"&amp;"RTRANGE(cd_planilha, ""Armas!B3:G""), ""Select Col1 Where Col2 = '""&amp;Personagem!$Q$6&amp;""' or Col2 = '""&amp;Personagem!$Q$7&amp;""'""),
if('Time 4'!C6 = ""Lorelei"", query(IMPORTRANGE(cd_planilha, ""Armas!B3:G""), ""Select Col1 Where Col2 = '""&amp;Personagem!$R$6&amp;""'"&amp;" or Col2 = '""&amp;Personagem!$R$7&amp;""' ""),
if('Time 4'!C6 = ""Louca"", query(IMPORTRANGE(cd_planilha, ""Armas!B3:G""), ""Select Col1 Where Col2 = '""&amp;Personagem!$S$6&amp;""' or Col2 = '""&amp;Personagem!$S$7&amp;""' ""),
if('Time 4'!C6 = ""Melina"", query(IMPORTRANGE(cd"&amp;"_planilha, ""Armas!B3:G""), ""Select Col1 Where Col2 = '""&amp;Personagem!$T$6&amp;""' or Col2 = '""&amp;Personagem!$T$7&amp;""'""),
if('Time 4'!C6 = ""Mila"", query(IMPORTRANGE(cd_planilha, ""Armas!B3:G""), ""Select Col1 Where Col2 = '""&amp;Personagem!$U$6&amp;""' or Col2 = '"&amp;"""&amp;Personagem!$U$7&amp;""' ""),
if('Time 4'!C6 = ""Minh"", query(IMPORTRANGE(cd_planilha, ""Armas!B3:G""), ""Select Col1 Where Col2 = '""&amp;Personagem!$V$6&amp;""' or Col2 = '""&amp;Personagem!$V$7&amp;""' ""),
if('Time 4'!C6 = ""Mojian"", query(IMPORTRANGE(cd_planilha, """&amp;"Armas!B3:G""), ""Select Col1 Where Col2 = '""&amp;Personagem!$W$6&amp;""' or Col2 = '""&amp;Personagem!$W$7&amp;""'""),
if('Time 4'!C6 = ""Nya"", query(IMPORTRANGE(cd_planilha, ""Armas!B3:G""), ""Select Col1 Where Col2 = '""&amp;Personagem!$X$6&amp;""' or Col2 = '""&amp;Personagem!$"&amp;"X$7&amp;""' ""),
if('Time 4'!C6 = ""Odette"", query(IMPORTRANGE(cd_planilha, ""Armas!B3:G""), ""Select Col1 Where Col2 = '""&amp;Personagem!$Y$6&amp;""' or Col2 = '""&amp;Personagem!$Y$7&amp;""'""),
if('Time 4'!C6 = ""Oneira"", query(IMPORTRANGE(cd_planilha, ""Armas!B3:G""),"&amp;" ""Select Col1 Where Col2 = '""&amp;Personagem!$Z$6&amp;""' or Col2 = '""&amp;Personagem!$Z$7&amp;""' ""),
if('Time 4'!C6 = ""Palash"", query(IMPORTRANGE(cd_planilha, ""Armas!B3:G""), ""Select Col1 Where Col2 = '""&amp;Personagem!$AA$6&amp;""' or Col2 = '""&amp;Personagem!$AA$7&amp;""'"&amp;"""),
if('Time 4'!C6 = ""Theor"", query(IMPORTRANGE(cd_planilha, ""Armas!B3:G""), ""Select Col1 Where Col2 = '""&amp;Personagem!$AB$6&amp;""' or Col2 = '""&amp;Personagem!$AB$7&amp;""' ""),
if('Time 4'!C6 = ""Yue"", query(IMPORTRANGE(cd_planilha, ""Armas!B3:G""), ""Select"&amp;" Col1 Where Col2 = '""&amp;Personagem!$AC$6&amp;""' or Col2 = '""&amp;Personagem!$AC$7&amp;""'""
)))))))))))))))))))))))))))))"),"Armadura Lunar")</f>
        <v>Armadura Lunar</v>
      </c>
      <c r="T1" s="241"/>
      <c r="U1" s="241" t="str">
        <f>IFERROR(__xludf.DUMMYFUNCTION("if('Time 4'!C7 = ""Albert"", query(IMPORTRANGE(cd_planilha, ""Armas!B3:G""), ""Select Col1 Where Col2 = '""&amp;Personagem!$B$6&amp;""' or Col2 = '""&amp;Personagem!$B$7&amp;""'""),     
if('Time 4'!C7 = ""Alicia"", query(IMPORTRANGE(cd_planilha, ""Armas!B3:G""), ""Selec"&amp;"t Col1 Where Col2 = '""&amp;Personagem!$C$6&amp;""' or Col2 = '""&amp;Personagem!$C$7&amp;""'""),
if('Time 4'!C7 = ""Azula"", query(IMPORTRANGE(cd_planilha, ""Armas!B3:G""), ""Select Col1 Where Col2 = '""&amp;Personagem!$D$6&amp;""' or Col2 = '""&amp;Personagem!$D$7&amp;""' ""),
if('Tim"&amp;"e 4'!C7 = ""Charles"", query(IMPORTRANGE(cd_planilha, ""Armas!B3:G""), ""Select Col1 Where Col2 = '""&amp;Personagem!$E$6&amp;""' or Col2 = '""&amp;Personagem!$E$7&amp;""'""),
if('Time 4'!C7 = ""Clovis"", query(IMPORTRANGE(cd_planilha, ""Armas!B3:G""), ""Select Col1 Wher"&amp;"e Col2 = '""&amp;Personagem!$F$6&amp;""' or Col2 = '""&amp;Personagem!$F$7&amp;""' ""),
if('Time 4'!C7 = ""Darthos"", query(IMPORTRANGE(cd_planilha, ""Armas!B3:G""), ""Select Col1 Where Col2 = '""&amp;Personagem!$G$6&amp;""' or Col2 = '""&amp;Personagem!$G$7&amp;""'""),
if('Time 4'!C7 ="&amp;" ""Edward"", query(IMPORTRANGE(cd_planilha, ""Armas!B3:G""), ""Select Col1 Where Col2 = '""&amp;Personagem!$H$6&amp;""' or Col2 = '""&amp;Personagem!$H$7&amp;""' ""),
if('Time 4'!C7 = ""Fiora"", query(IMPORTRANGE(cd_planilha, ""Armas!B3:G""), ""Select Col1 Where Col2 = '"&amp;"""&amp;Personagem!$I$6&amp;""' or Col2 = '""&amp;Personagem!$I$7&amp;""' ""),
if('Time 4'!C7 = ""Francesca"", query(IMPORTRANGE(cd_planilha, ""Armas!B3:G""), ""Select Col1 Where Col2 = '""&amp;Personagem!$J$6&amp;""' or Col2 = '""&amp;Personagem!$J$7&amp;""'""),
if('Time 4'!C7 = ""Garre"&amp;"th"", query(IMPORTRANGE(cd_planilha, ""Armas!B3:G""), ""Select Col1 Where Col2 = '""&amp;Personagem!$K$6&amp;""' or Col2 = '""&amp;Personagem!$K$7&amp;""'""),
if('Time 4'!C7 = ""Gauvin"", query(IMPORTRANGE(cd_planilha, ""Armas!B3:G""), ""Select Col1 Where Col2 = '""&amp;Pers"&amp;"onagem!$L$6&amp;""' or Col2 = '""&amp;Personagem!$L$7&amp;""' ""),
if('Time 4'!C7 = ""Irene"", query(IMPORTRANGE(cd_planilha, ""Armas!B3:G""), ""Select Col1 Where Col2 = '""&amp;Personagem!$M$6&amp;""' or Col2 = '""&amp;Personagem!$M$7&amp;""' ""),
if('Time 4'!C7 = ""Karal"", query("&amp;"IMPORTRANGE(cd_planilha, ""Armas!B3:G""), ""Select Col1 Where Col2 = '""&amp;Personagem!$N$6&amp;""' or Col2 = '""&amp;Personagem!$N$7&amp;""' ""),
if('Time 4'!C7 = ""Kuro Shobi"", query(IMPORTRANGE(cd_planilha, ""Armas!B3:G""), ""Select Col1 Where Col2 = '""&amp;Personagem!"&amp;"$O$6&amp;""' or Col2 = '""&amp;Personagem!$O$7&amp;""'""),
if('Time 4'!C7 = ""Kurul"", query(IMPORTRANGE(cd_planilha, ""Armas!B3:G""), ""Select Col1 Where Col2 = '""&amp;Personagem!$P$6&amp;""' or Col2 = '""&amp;Personagem!$P$7&amp;""' ""),
if('Time 4'!C7 = ""Lancaster"", query(IMPO"&amp;"RTRANGE(cd_planilha, ""Armas!B3:G""), ""Select Col1 Where Col2 = '""&amp;Personagem!$Q$6&amp;""' or Col2 = '""&amp;Personagem!$Q$7&amp;""'""),
if('Time 4'!C7 = ""Lorelei"", query(IMPORTRANGE(cd_planilha, ""Armas!B3:G""), ""Select Col1 Where Col2 = '""&amp;Personagem!$R$6&amp;""'"&amp;" or Col2 = '""&amp;Personagem!$R$7&amp;""' ""),
if('Time 4'!C7 = ""Louca"", query(IMPORTRANGE(cd_planilha, ""Armas!B3:G""), ""Select Col1 Where Col2 = '""&amp;Personagem!$S$6&amp;""' or Col2 = '""&amp;Personagem!$S$7&amp;""' ""),
if('Time 4'!C7 = ""Melina"", query(IMPORTRANGE(cd"&amp;"_planilha, ""Armas!B3:G""), ""Select Col1 Where Col2 = '""&amp;Personagem!$T$6&amp;""' or Col2 = '""&amp;Personagem!$T$7&amp;""'""),
if('Time 4'!C7 = ""Mila"", query(IMPORTRANGE(cd_planilha, ""Armas!B3:G""), ""Select Col1 Where Col2 = '""&amp;Personagem!$U$6&amp;""' or Col2 = '"&amp;"""&amp;Personagem!$U$7&amp;""' ""),
if('Time 4'!C7 = ""Minh"", query(IMPORTRANGE(cd_planilha, ""Armas!B3:G""), ""Select Col1 Where Col2 = '""&amp;Personagem!$V$6&amp;""' or Col2 = '""&amp;Personagem!$V$7&amp;""' ""),
if('Time 4'!C7 = ""Mojian"", query(IMPORTRANGE(cd_planilha, """&amp;"Armas!B3:G""), ""Select Col1 Where Col2 = '""&amp;Personagem!$W$6&amp;""' or Col2 = '""&amp;Personagem!$W$7&amp;""'""),
if('Time 4'!C7 = ""Nya"", query(IMPORTRANGE(cd_planilha, ""Armas!B3:G""), ""Select Col1 Where Col2 = '""&amp;Personagem!$X$6&amp;""' or Col2 = '""&amp;Personagem!$"&amp;"X$7&amp;""' ""),
if('Time 4'!C7 = ""Odette"", query(IMPORTRANGE(cd_planilha, ""Armas!B3:G""), ""Select Col1 Where Col2 = '""&amp;Personagem!$Y$6&amp;""' or Col2 = '""&amp;Personagem!$Y$7&amp;""'""),
if('Time 4'!C7 = ""Oneira"", query(IMPORTRANGE(cd_planilha, ""Armas!B3:G""),"&amp;" ""Select Col1 Where Col2 = '""&amp;Personagem!$Z$6&amp;""' or Col2 = '""&amp;Personagem!$Z$7&amp;""' ""),
if('Time 4'!C7 = ""Palash"", query(IMPORTRANGE(cd_planilha, ""Armas!B3:G""), ""Select Col1 Where Col2 = '""&amp;Personagem!$AA$6&amp;""' or Col2 = '""&amp;Personagem!$AA$7&amp;""'"&amp;"""),
if('Time 4'!C7 = ""Theor"", query(IMPORTRANGE(cd_planilha, ""Armas!B3:G""), ""Select Col1 Where Col2 = '""&amp;Personagem!$AB$6&amp;""' or Col2 = '""&amp;Personagem!$AB$7&amp;""' ""),
if('Time 4'!C7 = ""Yue"", query(IMPORTRANGE(cd_planilha, ""Armas!B3:G""), ""Select"&amp;" Col1 Where Col2 = '""&amp;Personagem!$AC$6&amp;""' or Col2 = '""&amp;Personagem!$AC$7&amp;""'""
)))))))))))))))))))))))))))))"),"Capa do Gelo")</f>
        <v>Capa do Gelo</v>
      </c>
      <c r="V1" s="241"/>
      <c r="W1" s="241" t="b">
        <f>IFERROR(__xludf.DUMMYFUNCTION("if('Time 4'!C8 = ""Albert"", query(IMPORTRANGE(cd_planilha, ""Armas!B3:G""), ""Select Col1 Where Col2 = '""&amp;Personagem!$B$6&amp;""' or Col2 = '""&amp;Personagem!$B$7&amp;""'""),     
if('Time 4'!C8 = ""Alicia"", query(IMPORTRANGE(cd_planilha, ""Armas!B3:G""), ""Selec"&amp;"t Col1 Where Col2 = '""&amp;Personagem!$C$6&amp;""' or Col2 = '""&amp;Personagem!$C$7&amp;""'""),
if('Time 4'!C8 = ""Azula"", query(IMPORTRANGE(cd_planilha, ""Armas!B3:G""), ""Select Col1 Where Col2 = '""&amp;Personagem!$D$6&amp;""' or Col2 = '""&amp;Personagem!$D$7&amp;""' ""),
if('Tim"&amp;"e 4'!C8 = ""Charles"", query(IMPORTRANGE(cd_planilha, ""Armas!B3:G""), ""Select Col1 Where Col2 = '""&amp;Personagem!$E$6&amp;""' or Col2 = '""&amp;Personagem!$E$7&amp;""'""),
if('Time 4'!C8 = ""Clovis"", query(IMPORTRANGE(cd_planilha, ""Armas!B3:G""), ""Select Col1 Wher"&amp;"e Col2 = '""&amp;Personagem!$F$6&amp;""' or Col2 = '""&amp;Personagem!$F$7&amp;""' ""),
if('Time 4'!C8 = ""Darthos"", query(IMPORTRANGE(cd_planilha, ""Armas!B3:G""), ""Select Col1 Where Col2 = '""&amp;Personagem!$G$6&amp;""' or Col2 = '""&amp;Personagem!$G$7&amp;""'""),
if('Time 4'!C8 ="&amp;" ""Edward"", query(IMPORTRANGE(cd_planilha, ""Armas!B3:G""), ""Select Col1 Where Col2 = '""&amp;Personagem!$H$6&amp;""' or Col2 = '""&amp;Personagem!$H$7&amp;""' ""),
if('Time 4'!C8 = ""Fiora"", query(IMPORTRANGE(cd_planilha, ""Armas!B3:G""), ""Select Col1 Where Col2 = '"&amp;"""&amp;Personagem!$I$6&amp;""' or Col2 = '""&amp;Personagem!$I$7&amp;""' ""),
if('Time 4'!C8 = ""Francesca"", query(IMPORTRANGE(cd_planilha, ""Armas!B3:G""), ""Select Col1 Where Col2 = '""&amp;Personagem!$J$6&amp;""' or Col2 = '""&amp;Personagem!$J$7&amp;""'""),
if('Time 4'!C8 = ""Garre"&amp;"th"", query(IMPORTRANGE(cd_planilha, ""Armas!B3:G""), ""Select Col1 Where Col2 = '""&amp;Personagem!$K$6&amp;""' or Col2 = '""&amp;Personagem!$K$7&amp;""'""),
if('Time 4'!C8 = ""Gauvin"", query(IMPORTRANGE(cd_planilha, ""Armas!B3:G""), ""Select Col1 Where Col2 = '""&amp;Pers"&amp;"onagem!$L$6&amp;""' or Col2 = '""&amp;Personagem!$L$7&amp;""' ""),
if('Time 4'!C8 = ""Irene"", query(IMPORTRANGE(cd_planilha, ""Armas!B3:G""), ""Select Col1 Where Col2 = '""&amp;Personagem!$M$6&amp;""' or Col2 = '""&amp;Personagem!$M$7&amp;""' ""),
if('Time 4'!C8 = ""Karal"", query("&amp;"IMPORTRANGE(cd_planilha, ""Armas!B3:G""), ""Select Col1 Where Col2 = '""&amp;Personagem!$N$6&amp;""' or Col2 = '""&amp;Personagem!$N$7&amp;""' ""),
if('Time 4'!C8 = ""Kuro Shobi"", query(IMPORTRANGE(cd_planilha, ""Armas!B3:G""), ""Select Col1 Where Col2 = '""&amp;Personagem!"&amp;"$O$6&amp;""' or Col2 = '""&amp;Personagem!$O$7&amp;""'""),
if('Time 4'!C8 = ""Kurul"", query(IMPORTRANGE(cd_planilha, ""Armas!B3:G""), ""Select Col1 Where Col2 = '""&amp;Personagem!$P$6&amp;""' or Col2 = '""&amp;Personagem!$P$7&amp;""' ""),
if('Time 4'!C8 = ""Lancaster"", query(IMPO"&amp;"RTRANGE(cd_planilha, ""Armas!B3:G""), ""Select Col1 Where Col2 = '""&amp;Personagem!$Q$6&amp;""' or Col2 = '""&amp;Personagem!$Q$7&amp;""'""),
if('Time 4'!C8 = ""Lorelei"", query(IMPORTRANGE(cd_planilha, ""Armas!B3:G""), ""Select Col1 Where Col2 = '""&amp;Personagem!$R$6&amp;""'"&amp;" or Col2 = '""&amp;Personagem!$R$7&amp;""' ""),
if('Time 4'!C8 = ""Louca"", query(IMPORTRANGE(cd_planilha, ""Armas!B3:G""), ""Select Col1 Where Col2 = '""&amp;Personagem!$S$6&amp;""' or Col2 = '""&amp;Personagem!$S$7&amp;""' ""),
if('Time 4'!C8 = ""Melina"", query(IMPORTRANGE(cd"&amp;"_planilha, ""Armas!B3:G""), ""Select Col1 Where Col2 = '""&amp;Personagem!$T$6&amp;""' or Col2 = '""&amp;Personagem!$T$7&amp;""'""),
if('Time 4'!C8 = ""Mila"", query(IMPORTRANGE(cd_planilha, ""Armas!B3:G""), ""Select Col1 Where Col2 = '""&amp;Personagem!$U$6&amp;""' or Col2 = '"&amp;"""&amp;Personagem!$U$7&amp;""' ""),
if('Time 4'!C8 = ""Minh"", query(IMPORTRANGE(cd_planilha, ""Armas!B3:G""), ""Select Col1 Where Col2 = '""&amp;Personagem!$V$6&amp;""' or Col2 = '""&amp;Personagem!$V$7&amp;""' ""),
if('Time 4'!C8 = ""Mojian"", query(IMPORTRANGE(cd_planilha, """&amp;"Armas!B3:G""), ""Select Col1 Where Col2 = '""&amp;Personagem!$W$6&amp;""' or Col2 = '""&amp;Personagem!$W$7&amp;""'""),
if('Time 4'!C8 = ""Nya"", query(IMPORTRANGE(cd_planilha, ""Armas!B3:G""), ""Select Col1 Where Col2 = '""&amp;Personagem!$X$6&amp;""' or Col2 = '""&amp;Personagem!$"&amp;"X$7&amp;""' ""),
if('Time 4'!C8 = ""Odette"", query(IMPORTRANGE(cd_planilha, ""Armas!B3:G""), ""Select Col1 Where Col2 = '""&amp;Personagem!$Y$6&amp;""' or Col2 = '""&amp;Personagem!$Y$7&amp;""'""),
if('Time 4'!C8 = ""Oneira"", query(IMPORTRANGE(cd_planilha, ""Armas!B3:G""),"&amp;" ""Select Col1 Where Col2 = '""&amp;Personagem!$Z$6&amp;""' or Col2 = '""&amp;Personagem!$Z$7&amp;""' ""),
if('Time 4'!C8 = ""Palash"", query(IMPORTRANGE(cd_planilha, ""Armas!B3:G""), ""Select Col1 Where Col2 = '""&amp;Personagem!$AA$6&amp;""' or Col2 = '""&amp;Personagem!$AA$7&amp;""'"&amp;"""),
if('Time 4'!C8 = ""Theor"", query(IMPORTRANGE(cd_planilha, ""Armas!B3:G""), ""Select Col1 Where Col2 = '""&amp;Personagem!$AB$6&amp;""' or Col2 = '""&amp;Personagem!$AB$7&amp;""' ""),
if('Time 4'!C8 = ""Yue"", query(IMPORTRANGE(cd_planilha, ""Armas!B3:G""), ""Select"&amp;" Col1 Where Col2 = '""&amp;Personagem!$AC$6&amp;""' or Col2 = '""&amp;Personagem!$AC$7&amp;""'""
)))))))))))))))))))))))))))))"),FALSE)</f>
        <v>0</v>
      </c>
      <c r="X1" s="242"/>
      <c r="Y1" s="241" t="str">
        <f>IFERROR(__xludf.DUMMYFUNCTION("if('Time 4'!C3 = ""Albert"", query(IMPORTRANGE(cd_planilha, ""Armas!B3:G""), ""Select Col1 Where Col2 = '""&amp;Personagem!$B$8&amp;""' or Col2 = '""&amp;Personagem!$B$9&amp;""'""),     
if('Time 4'!C3 = ""Alicia"", query(IMPORTRANGE(cd_planilha, ""Armas!B3:G""), ""Selec"&amp;"t Col1 Where Col2 = '""&amp;Personagem!$C$8&amp;""' or Col2 = '""&amp;Personagem!$C$9&amp;""'""),
if('Time 4'!C3 = ""Azula"", query(IMPORTRANGE(cd_planilha, ""Armas!B3:G""), ""Select Col1 Where Col2 = '""&amp;Personagem!$D$8&amp;""' or Col2 = '""&amp;Personagem!$D$9&amp;""' ""),
if('Tim"&amp;"e 4'!C3 = ""Charles"", query(IMPORTRANGE(cd_planilha, ""Armas!B3:G""), ""Select Col1 Where Col2 = '""&amp;Personagem!$E$8&amp;""' or Col2 = '""&amp;Personagem!$E$9&amp;""'""),
if('Time 4'!C3 = ""Clovis"", query(IMPORTRANGE(cd_planilha, ""Armas!B3:G""), ""Select Col1 Wher"&amp;"e Col2 = '""&amp;Personagem!$F$8&amp;""' or Col2 = '""&amp;Personagem!$F$9&amp;""' ""),
if('Time 4'!C3 = ""Darthos"", query(IMPORTRANGE(cd_planilha, ""Armas!B3:G""), ""Select Col1 Where Col2 = '""&amp;Personagem!$G$8&amp;""' or Col2 = '""&amp;Personagem!$G$9&amp;""'""),
if('Time 4'!C3 ="&amp;" ""Edward"", query(IMPORTRANGE(cd_planilha, ""Armas!B3:G""), ""Select Col1 Where Col2 = '""&amp;Personagem!$H$8&amp;""' or Col2 = '""&amp;Personagem!$H$9&amp;""' ""),
if('Time 4'!C3 = ""Fiora"", query(IMPORTRANGE(cd_planilha, ""Armas!B3:G""), ""Select Col1 Where Col2 = '"&amp;"""&amp;Personagem!$I$8&amp;""' or Col2 = '""&amp;Personagem!$I$9&amp;""' ""),
if('Time 4'!C3 = ""Francesca"", query(IMPORTRANGE(cd_planilha, ""Armas!B3:G""), ""Select Col1 Where Col2 = '""&amp;Personagem!$J$8&amp;""' or Col2 = '""&amp;Personagem!$J$9&amp;""'""),
if('Time 4'!C3 = ""Garre"&amp;"th"", query(IMPORTRANGE(cd_planilha, ""Armas!B3:G""), ""Select Col1 Where Col2 = '""&amp;Personagem!$K$8&amp;""' or Col2 = '""&amp;Personagem!$K$9&amp;""'""),
if('Time 4'!C3 = ""Gauvin"", query(IMPORTRANGE(cd_planilha, ""Armas!B3:G""), ""Select Col1 Where Col2 = '""&amp;Pers"&amp;"onagem!$L$8&amp;""' or Col2 = '""&amp;Personagem!$L$9&amp;""' ""),
if('Time 4'!C3 = ""Irene"", query(IMPORTRANGE(cd_planilha, ""Armas!B3:G""), ""Select Col1 Where Col2 = '""&amp;Personagem!$M$8&amp;""' or Col2 = '""&amp;Personagem!$M$9&amp;""' ""),
if('Time 4'!C3 = ""Karal"", query("&amp;"IMPORTRANGE(cd_planilha, ""Armas!B3:G""), ""Select Col1 Where Col2 = '""&amp;Personagem!$N$8&amp;""' or Col2 = '""&amp;Personagem!$N$9&amp;""' ""),
if('Time 4'!C3 = ""Kuro Shobi"", query(IMPORTRANGE(cd_planilha, ""Armas!B3:G""), ""Select Col1 Where Col2 = '""&amp;Personagem!"&amp;"$O$8&amp;""' or Col2 = '""&amp;Personagem!$O$9&amp;""'""),
if('Time 4'!C3 = ""Kurul"", query(IMPORTRANGE(cd_planilha, ""Armas!B3:G""), ""Select Col1 Where Col2 = '""&amp;Personagem!$P$8&amp;""' or Col2 = '""&amp;Personagem!$P$9&amp;""' ""),
if('Time 4'!C3 = ""Lancaster"", query(IMPO"&amp;"RTRANGE(cd_planilha, ""Armas!B3:G""), ""Select Col1 Where Col2 = '""&amp;Personagem!$Q$8&amp;""' or Col2 = '""&amp;Personagem!$Q$9&amp;""'""),
if('Time 4'!C3 = ""Lorelei"", query(IMPORTRANGE(cd_planilha, ""Armas!B3:G""), ""Select Col1 Where Col2 = '""&amp;Personagem!$R$8&amp;""'"&amp;" or Col2 = '""&amp;Personagem!$R$9&amp;""' ""),
if('Time 4'!C3 = ""Louca"", query(IMPORTRANGE(cd_planilha, ""Armas!B3:G""), ""Select Col1 Where Col2 = '""&amp;Personagem!$S$8&amp;""' or Col2 = '""&amp;Personagem!$S$9&amp;""' ""),
if('Time 4'!C3 = ""Melina"", query(IMPORTRANGE(cd"&amp;"_planilha, ""Armas!B3:G""), ""Select Col1 Where Col2 = '""&amp;Personagem!$T$8&amp;""' or Col2 = '""&amp;Personagem!$T$9&amp;""'""),
if('Time 4'!C3 = ""Mila"", query(IMPORTRANGE(cd_planilha, ""Armas!B3:G""), ""Select Col1 Where Col2 = '""&amp;Personagem!$U$8&amp;""' or Col2 = '"&amp;"""&amp;Personagem!$U$9&amp;""' ""),
if('Time 4'!C3 = ""Minh"", query(IMPORTRANGE(cd_planilha, ""Armas!B3:G""), ""Select Col1 Where Col2 = '""&amp;Personagem!$V$8&amp;""' or Col2 = '""&amp;Personagem!$V$9&amp;""' ""),
if('Time 4'!C3 = ""Mojian"", query(IMPORTRANGE(cd_planilha, """&amp;"Armas!B3:G""), ""Select Col1 Where Col2 = '""&amp;Personagem!$W$8&amp;""' or Col2 = '""&amp;Personagem!$W$9&amp;""'""),
if('Time 4'!C3 = ""Nya"", query(IMPORTRANGE(cd_planilha, ""Armas!B3:G""), ""Select Col1 Where Col2 = '""&amp;Personagem!$X$8&amp;""' or Col2 = '""&amp;Personagem!$"&amp;"X$9&amp;""' ""),
if('Time 4'!C3 = ""Odette"", query(IMPORTRANGE(cd_planilha, ""Armas!B3:G""), ""Select Col1 Where Col2 = '""&amp;Personagem!$Y$8&amp;""' or Col2 = '""&amp;Personagem!$Y$9&amp;""'""),
if('Time 4'!C3 = ""Oneira"", query(IMPORTRANGE(cd_planilha, ""Armas!B3:G""),"&amp;" ""Select Col1 Where Col2 = '""&amp;Personagem!$Z$8&amp;""' or Col2 = '""&amp;Personagem!$Z$9&amp;""' ""),
if('Time 4'!C3 = ""Palash"", query(IMPORTRANGE(cd_planilha, ""Armas!B3:G""), ""Select Col1 Where Col2 = '""&amp;Personagem!$AA$8&amp;""' or Col2 = '""&amp;Personagem!$AA$9&amp;""'"&amp;"""),
if('Time 4'!C3 = ""Theor"", query(IMPORTRANGE(cd_planilha, ""Armas!B3:G""), ""Select Col1 Where Col2 = '""&amp;Personagem!$AB$8&amp;""' or Col2 = '""&amp;Personagem!$AB$9&amp;""' ""),
if('Time 4'!C3 = ""Yue"", query(IMPORTRANGE(cd_planilha, ""Armas!B3:G""), ""Select"&amp;" Col1 Where Col2 = '""&amp;Personagem!$AC$8&amp;""' or Col2 = '""&amp;Personagem!$AC$9&amp;""'""
)))))))))))))))))))))))))))))"),"Capuz de Robin")</f>
        <v>Capuz de Robin</v>
      </c>
      <c r="Z1" s="241"/>
      <c r="AA1" s="241" t="str">
        <f>IFERROR(__xludf.DUMMYFUNCTION("if('Time 4'!C4 = ""Albert"", query(IMPORTRANGE(cd_planilha, ""Armas!B3:G""), ""Select Col1 Where Col2 = '""&amp;Personagem!$B$8&amp;""' or Col2 = '""&amp;Personagem!$B$9&amp;""'""),     
if('Time 4'!C4 = ""Alicia"", query(IMPORTRANGE(cd_planilha, ""Armas!B3:G""), ""Selec"&amp;"t Col1 Where Col2 = '""&amp;Personagem!$C$8&amp;""' or Col2 = '""&amp;Personagem!$C$9&amp;""'""),
if('Time 4'!C4 = ""Azula"", query(IMPORTRANGE(cd_planilha, ""Armas!B3:G""), ""Select Col1 Where Col2 = '""&amp;Personagem!$D$8&amp;""' or Col2 = '""&amp;Personagem!$D$9&amp;""' ""),
if('Tim"&amp;"e 4'!C4 = ""Charles"", query(IMPORTRANGE(cd_planilha, ""Armas!B3:G""), ""Select Col1 Where Col2 = '""&amp;Personagem!$E$8&amp;""' or Col2 = '""&amp;Personagem!$E$9&amp;""'""),
if('Time 4'!C4 = ""Clovis"", query(IMPORTRANGE(cd_planilha, ""Armas!B3:G""), ""Select Col1 Wher"&amp;"e Col2 = '""&amp;Personagem!$F$8&amp;""' or Col2 = '""&amp;Personagem!$F$9&amp;""' ""),
if('Time 4'!C4 = ""Darthos"", query(IMPORTRANGE(cd_planilha, ""Armas!B3:G""), ""Select Col1 Where Col2 = '""&amp;Personagem!$G$8&amp;""' or Col2 = '""&amp;Personagem!$G$9&amp;""'""),
if('Time 4'!C4 ="&amp;" ""Edward"", query(IMPORTRANGE(cd_planilha, ""Armas!B3:G""), ""Select Col1 Where Col2 = '""&amp;Personagem!$H$8&amp;""' or Col2 = '""&amp;Personagem!$H$9&amp;""' ""),
if('Time 4'!C4 = ""Fiora"", query(IMPORTRANGE(cd_planilha, ""Armas!B3:G""), ""Select Col1 Where Col2 = '"&amp;"""&amp;Personagem!$I$8&amp;""' or Col2 = '""&amp;Personagem!$I$9&amp;""' ""),
if('Time 4'!C4 = ""Francesca"", query(IMPORTRANGE(cd_planilha, ""Armas!B3:G""), ""Select Col1 Where Col2 = '""&amp;Personagem!$J$8&amp;""' or Col2 = '""&amp;Personagem!$J$9&amp;""'""),
if('Time 4'!C4 = ""Garre"&amp;"th"", query(IMPORTRANGE(cd_planilha, ""Armas!B3:G""), ""Select Col1 Where Col2 = '""&amp;Personagem!$K$8&amp;""' or Col2 = '""&amp;Personagem!$K$9&amp;""'""),
if('Time 4'!C4 = ""Gauvin"", query(IMPORTRANGE(cd_planilha, ""Armas!B3:G""), ""Select Col1 Where Col2 = '""&amp;Pers"&amp;"onagem!$L$8&amp;""' or Col2 = '""&amp;Personagem!$L$9&amp;""' ""),
if('Time 4'!C4 = ""Irene"", query(IMPORTRANGE(cd_planilha, ""Armas!B3:G""), ""Select Col1 Where Col2 = '""&amp;Personagem!$M$8&amp;""' or Col2 = '""&amp;Personagem!$M$9&amp;""' ""),
if('Time 4'!C4 = ""Karal"", query("&amp;"IMPORTRANGE(cd_planilha, ""Armas!B3:G""), ""Select Col1 Where Col2 = '""&amp;Personagem!$N$8&amp;""' or Col2 = '""&amp;Personagem!$N$9&amp;""' ""),
if('Time 4'!C4 = ""Kuro Shobi"", query(IMPORTRANGE(cd_planilha, ""Armas!B3:G""), ""Select Col1 Where Col2 = '""&amp;Personagem!"&amp;"$O$8&amp;""' or Col2 = '""&amp;Personagem!$O$9&amp;""'""),
if('Time 4'!C4 = ""Kurul"", query(IMPORTRANGE(cd_planilha, ""Armas!B3:G""), ""Select Col1 Where Col2 = '""&amp;Personagem!$P$8&amp;""' or Col2 = '""&amp;Personagem!$P$9&amp;""' ""),
if('Time 4'!C4 = ""Lancaster"", query(IMPO"&amp;"RTRANGE(cd_planilha, ""Armas!B3:G""), ""Select Col1 Where Col2 = '""&amp;Personagem!$Q$8&amp;""' or Col2 = '""&amp;Personagem!$Q$9&amp;""'""),
if('Time 4'!C4 = ""Lorelei"", query(IMPORTRANGE(cd_planilha, ""Armas!B3:G""), ""Select Col1 Where Col2 = '""&amp;Personagem!$R$8&amp;""'"&amp;" or Col2 = '""&amp;Personagem!$R$9&amp;""' ""),
if('Time 4'!C4 = ""Louca"", query(IMPORTRANGE(cd_planilha, ""Armas!B3:G""), ""Select Col1 Where Col2 = '""&amp;Personagem!$S$8&amp;""' or Col2 = '""&amp;Personagem!$S$9&amp;""' ""),
if('Time 4'!C4 = ""Melina"", query(IMPORTRANGE(cd"&amp;"_planilha, ""Armas!B3:G""), ""Select Col1 Where Col2 = '""&amp;Personagem!$T$8&amp;""' or Col2 = '""&amp;Personagem!$T$9&amp;""'""),
if('Time 4'!C4 = ""Mila"", query(IMPORTRANGE(cd_planilha, ""Armas!B3:G""), ""Select Col1 Where Col2 = '""&amp;Personagem!$U$8&amp;""' or Col2 = '"&amp;"""&amp;Personagem!$U$9&amp;""' ""),
if('Time 4'!C4 = ""Minh"", query(IMPORTRANGE(cd_planilha, ""Armas!B3:G""), ""Select Col1 Where Col2 = '""&amp;Personagem!$V$8&amp;""' or Col2 = '""&amp;Personagem!$V$9&amp;""' ""),
if('Time 4'!C4 = ""Mojian"", query(IMPORTRANGE(cd_planilha, """&amp;"Armas!B3:G""), ""Select Col1 Where Col2 = '""&amp;Personagem!$W$8&amp;""' or Col2 = '""&amp;Personagem!$W$9&amp;""'""),
if('Time 4'!C4 = ""Nya"", query(IMPORTRANGE(cd_planilha, ""Armas!B3:G""), ""Select Col1 Where Col2 = '""&amp;Personagem!$X$8&amp;""' or Col2 = '""&amp;Personagem!$"&amp;"X$9&amp;""' ""),
if('Time 4'!C4 = ""Odette"", query(IMPORTRANGE(cd_planilha, ""Armas!B3:G""), ""Select Col1 Where Col2 = '""&amp;Personagem!$Y$8&amp;""' or Col2 = '""&amp;Personagem!$Y$9&amp;""'""),
if('Time 4'!C4 = ""Oneira"", query(IMPORTRANGE(cd_planilha, ""Armas!B3:G""),"&amp;" ""Select Col1 Where Col2 = '""&amp;Personagem!$Z$8&amp;""' or Col2 = '""&amp;Personagem!$Z$9&amp;""' ""),
if('Time 4'!C4 = ""Palash"", query(IMPORTRANGE(cd_planilha, ""Armas!B3:G""), ""Select Col1 Where Col2 = '""&amp;Personagem!$AA$8&amp;""' or Col2 = '""&amp;Personagem!$AA$9&amp;""'"&amp;"""),
if('Time 4'!C4 = ""Theor"", query(IMPORTRANGE(cd_planilha, ""Armas!B3:G""), ""Select Col1 Where Col2 = '""&amp;Personagem!$AB$8&amp;""' or Col2 = '""&amp;Personagem!$AB$9&amp;""' ""),
if('Time 4'!C4 = ""Yue"", query(IMPORTRANGE(cd_planilha, ""Armas!B3:G""), ""Select"&amp;" Col1 Where Col2 = '""&amp;Personagem!$AC$8&amp;""' or Col2 = '""&amp;Personagem!$AC$9&amp;""'""
)))))))))))))))))))))))))))))"),"Coifa da Lua")</f>
        <v>Coifa da Lua</v>
      </c>
      <c r="AB1" s="241"/>
      <c r="AC1" s="241" t="str">
        <f>IFERROR(__xludf.DUMMYFUNCTION("if('Time 4'!C5 = ""Albert"", query(IMPORTRANGE(cd_planilha, ""Armas!B3:G""), ""Select Col1 Where Col2 = '""&amp;Personagem!$B$8&amp;""' or Col2 = '""&amp;Personagem!$B$9&amp;""'""),     
if('Time 4'!C5 = ""Alicia"", query(IMPORTRANGE(cd_planilha, ""Armas!B3:G""), ""Selec"&amp;"t Col1 Where Col2 = '""&amp;Personagem!$C$8&amp;""' or Col2 = '""&amp;Personagem!$C$9&amp;""'""),
if('Time 4'!C5 = ""Azula"", query(IMPORTRANGE(cd_planilha, ""Armas!B3:G""), ""Select Col1 Where Col2 = '""&amp;Personagem!$D$8&amp;""' or Col2 = '""&amp;Personagem!$D$9&amp;""' ""),
if('Tim"&amp;"e 4'!C5 = ""Charles"", query(IMPORTRANGE(cd_planilha, ""Armas!B3:G""), ""Select Col1 Where Col2 = '""&amp;Personagem!$E$8&amp;""' or Col2 = '""&amp;Personagem!$E$9&amp;""'""),
if('Time 4'!C5 = ""Clovis"", query(IMPORTRANGE(cd_planilha, ""Armas!B3:G""), ""Select Col1 Wher"&amp;"e Col2 = '""&amp;Personagem!$F$8&amp;""' or Col2 = '""&amp;Personagem!$F$9&amp;""' ""),
if('Time 4'!C5 = ""Darthos"", query(IMPORTRANGE(cd_planilha, ""Armas!B3:G""), ""Select Col1 Where Col2 = '""&amp;Personagem!$G$8&amp;""' or Col2 = '""&amp;Personagem!$G$9&amp;""'""),
if('Time 4'!C5 ="&amp;" ""Edward"", query(IMPORTRANGE(cd_planilha, ""Armas!B3:G""), ""Select Col1 Where Col2 = '""&amp;Personagem!$H$8&amp;""' or Col2 = '""&amp;Personagem!$H$9&amp;""' ""),
if('Time 4'!C5 = ""Fiora"", query(IMPORTRANGE(cd_planilha, ""Armas!B3:G""), ""Select Col1 Where Col2 = '"&amp;"""&amp;Personagem!$I$8&amp;""' or Col2 = '""&amp;Personagem!$I$9&amp;""' ""),
if('Time 4'!C5 = ""Francesca"", query(IMPORTRANGE(cd_planilha, ""Armas!B3:G""), ""Select Col1 Where Col2 = '""&amp;Personagem!$J$8&amp;""' or Col2 = '""&amp;Personagem!$J$9&amp;""'""),
if('Time 4'!C5 = ""Garre"&amp;"th"", query(IMPORTRANGE(cd_planilha, ""Armas!B3:G""), ""Select Col1 Where Col2 = '""&amp;Personagem!$K$8&amp;""' or Col2 = '""&amp;Personagem!$K$9&amp;""'""),
if('Time 4'!C5 = ""Gauvin"", query(IMPORTRANGE(cd_planilha, ""Armas!B3:G""), ""Select Col1 Where Col2 = '""&amp;Pers"&amp;"onagem!$L$8&amp;""' or Col2 = '""&amp;Personagem!$L$9&amp;""' ""),
if('Time 4'!C5 = ""Irene"", query(IMPORTRANGE(cd_planilha, ""Armas!B3:G""), ""Select Col1 Where Col2 = '""&amp;Personagem!$M$8&amp;""' or Col2 = '""&amp;Personagem!$M$9&amp;""' ""),
if('Time 4'!C5 = ""Karal"", query("&amp;"IMPORTRANGE(cd_planilha, ""Armas!B3:G""), ""Select Col1 Where Col2 = '""&amp;Personagem!$N$8&amp;""' or Col2 = '""&amp;Personagem!$N$9&amp;""' ""),
if('Time 4'!C5 = ""Kuro Shobi"", query(IMPORTRANGE(cd_planilha, ""Armas!B3:G""), ""Select Col1 Where Col2 = '""&amp;Personagem!"&amp;"$O$8&amp;""' or Col2 = '""&amp;Personagem!$O$9&amp;""'""),
if('Time 4'!C5 = ""Kurul"", query(IMPORTRANGE(cd_planilha, ""Armas!B3:G""), ""Select Col1 Where Col2 = '""&amp;Personagem!$P$8&amp;""' or Col2 = '""&amp;Personagem!$P$9&amp;""' ""),
if('Time 4'!C5 = ""Lancaster"", query(IMPO"&amp;"RTRANGE(cd_planilha, ""Armas!B3:G""), ""Select Col1 Where Col2 = '""&amp;Personagem!$Q$8&amp;""' or Col2 = '""&amp;Personagem!$Q$9&amp;""'""),
if('Time 4'!C5 = ""Lorelei"", query(IMPORTRANGE(cd_planilha, ""Armas!B3:G""), ""Select Col1 Where Col2 = '""&amp;Personagem!$R$8&amp;""'"&amp;" or Col2 = '""&amp;Personagem!$R$9&amp;""' ""),
if('Time 4'!C5 = ""Louca"", query(IMPORTRANGE(cd_planilha, ""Armas!B3:G""), ""Select Col1 Where Col2 = '""&amp;Personagem!$S$8&amp;""' or Col2 = '""&amp;Personagem!$S$9&amp;""' ""),
if('Time 4'!C5 = ""Melina"", query(IMPORTRANGE(cd"&amp;"_planilha, ""Armas!B3:G""), ""Select Col1 Where Col2 = '""&amp;Personagem!$T$8&amp;""' or Col2 = '""&amp;Personagem!$T$9&amp;""'""),
if('Time 4'!C5 = ""Mila"", query(IMPORTRANGE(cd_planilha, ""Armas!B3:G""), ""Select Col1 Where Col2 = '""&amp;Personagem!$U$8&amp;""' or Col2 = '"&amp;"""&amp;Personagem!$U$9&amp;""' ""),
if('Time 4'!C5 = ""Minh"", query(IMPORTRANGE(cd_planilha, ""Armas!B3:G""), ""Select Col1 Where Col2 = '""&amp;Personagem!$V$8&amp;""' or Col2 = '""&amp;Personagem!$V$9&amp;""' ""),
if('Time 4'!C5 = ""Mojian"", query(IMPORTRANGE(cd_planilha, """&amp;"Armas!B3:G""), ""Select Col1 Where Col2 = '""&amp;Personagem!$W$8&amp;""' or Col2 = '""&amp;Personagem!$W$9&amp;""'""),
if('Time 4'!C5 = ""Nya"", query(IMPORTRANGE(cd_planilha, ""Armas!B3:G""), ""Select Col1 Where Col2 = '""&amp;Personagem!$X$8&amp;""' or Col2 = '""&amp;Personagem!$"&amp;"X$9&amp;""' ""),
if('Time 4'!C5 = ""Odette"", query(IMPORTRANGE(cd_planilha, ""Armas!B3:G""), ""Select Col1 Where Col2 = '""&amp;Personagem!$Y$8&amp;""' or Col2 = '""&amp;Personagem!$Y$9&amp;""'""),
if('Time 4'!C5 = ""Oneira"", query(IMPORTRANGE(cd_planilha, ""Armas!B3:G""),"&amp;" ""Select Col1 Where Col2 = '""&amp;Personagem!$Z$8&amp;""' or Col2 = '""&amp;Personagem!$Z$9&amp;""' ""),
if('Time 4'!C5 = ""Palash"", query(IMPORTRANGE(cd_planilha, ""Armas!B3:G""), ""Select Col1 Where Col2 = '""&amp;Personagem!$AA$8&amp;""' or Col2 = '""&amp;Personagem!$AA$9&amp;""'"&amp;"""),
if('Time 4'!C5 = ""Theor"", query(IMPORTRANGE(cd_planilha, ""Armas!B3:G""), ""Select Col1 Where Col2 = '""&amp;Personagem!$AB$8&amp;""' or Col2 = '""&amp;Personagem!$AB$9&amp;""' ""),
if('Time 4'!C5 = ""Yue"", query(IMPORTRANGE(cd_planilha, ""Armas!B3:G""), ""Select"&amp;" Col1 Where Col2 = '""&amp;Personagem!$AC$8&amp;""' or Col2 = '""&amp;Personagem!$AC$9&amp;""'""
)))))))))))))))))))))))))))))"),"Coifa da Lua")</f>
        <v>Coifa da Lua</v>
      </c>
      <c r="AD1" s="241"/>
      <c r="AE1" s="241" t="str">
        <f>IFERROR(__xludf.DUMMYFUNCTION("if('Time 4'!C6 = ""Albert"", query(IMPORTRANGE(cd_planilha, ""Armas!B3:G""), ""Select Col1 Where Col2 = '""&amp;Personagem!$B$8&amp;""' or Col2 = '""&amp;Personagem!$B$9&amp;""'""),     
if('Time 4'!C6 = ""Alicia"", query(IMPORTRANGE(cd_planilha, ""Armas!B3:G""), ""Selec"&amp;"t Col1 Where Col2 = '""&amp;Personagem!$C$8&amp;""' or Col2 = '""&amp;Personagem!$C$9&amp;""'""),
if('Time 4'!C6 = ""Azula"", query(IMPORTRANGE(cd_planilha, ""Armas!B3:G""), ""Select Col1 Where Col2 = '""&amp;Personagem!$D$8&amp;""' or Col2 = '""&amp;Personagem!$D$9&amp;""' ""),
if('Tim"&amp;"e 4'!C6 = ""Charles"", query(IMPORTRANGE(cd_planilha, ""Armas!B3:G""), ""Select Col1 Where Col2 = '""&amp;Personagem!$E$8&amp;""' or Col2 = '""&amp;Personagem!$E$9&amp;""'""),
if('Time 4'!C6 = ""Clovis"", query(IMPORTRANGE(cd_planilha, ""Armas!B3:G""), ""Select Col1 Wher"&amp;"e Col2 = '""&amp;Personagem!$F$8&amp;""' or Col2 = '""&amp;Personagem!$F$9&amp;""' ""),
if('Time 4'!C6 = ""Darthos"", query(IMPORTRANGE(cd_planilha, ""Armas!B3:G""), ""Select Col1 Where Col2 = '""&amp;Personagem!$G$8&amp;""' or Col2 = '""&amp;Personagem!$G$9&amp;""'""),
if('Time 4'!C6 ="&amp;" ""Edward"", query(IMPORTRANGE(cd_planilha, ""Armas!B3:G""), ""Select Col1 Where Col2 = '""&amp;Personagem!$H$8&amp;""' or Col2 = '""&amp;Personagem!$H$9&amp;""' ""),
if('Time 4'!C6 = ""Fiora"", query(IMPORTRANGE(cd_planilha, ""Armas!B3:G""), ""Select Col1 Where Col2 = '"&amp;"""&amp;Personagem!$I$8&amp;""' or Col2 = '""&amp;Personagem!$I$9&amp;""' ""),
if('Time 4'!C6 = ""Francesca"", query(IMPORTRANGE(cd_planilha, ""Armas!B3:G""), ""Select Col1 Where Col2 = '""&amp;Personagem!$J$8&amp;""' or Col2 = '""&amp;Personagem!$J$9&amp;""'""),
if('Time 4'!C6 = ""Garre"&amp;"th"", query(IMPORTRANGE(cd_planilha, ""Armas!B3:G""), ""Select Col1 Where Col2 = '""&amp;Personagem!$K$8&amp;""' or Col2 = '""&amp;Personagem!$K$9&amp;""'""),
if('Time 4'!C6 = ""Gauvin"", query(IMPORTRANGE(cd_planilha, ""Armas!B3:G""), ""Select Col1 Where Col2 = '""&amp;Pers"&amp;"onagem!$L$8&amp;""' or Col2 = '""&amp;Personagem!$L$9&amp;""' ""),
if('Time 4'!C6 = ""Irene"", query(IMPORTRANGE(cd_planilha, ""Armas!B3:G""), ""Select Col1 Where Col2 = '""&amp;Personagem!$M$8&amp;""' or Col2 = '""&amp;Personagem!$M$9&amp;""' ""),
if('Time 4'!C6 = ""Karal"", query("&amp;"IMPORTRANGE(cd_planilha, ""Armas!B3:G""), ""Select Col1 Where Col2 = '""&amp;Personagem!$N$8&amp;""' or Col2 = '""&amp;Personagem!$N$9&amp;""' ""),
if('Time 4'!C6 = ""Kuro Shobi"", query(IMPORTRANGE(cd_planilha, ""Armas!B3:G""), ""Select Col1 Where Col2 = '""&amp;Personagem!"&amp;"$O$8&amp;""' or Col2 = '""&amp;Personagem!$O$9&amp;""'""),
if('Time 4'!C6 = ""Kurul"", query(IMPORTRANGE(cd_planilha, ""Armas!B3:G""), ""Select Col1 Where Col2 = '""&amp;Personagem!$P$8&amp;""' or Col2 = '""&amp;Personagem!$P$9&amp;""' ""),
if('Time 4'!C6 = ""Lancaster"", query(IMPO"&amp;"RTRANGE(cd_planilha, ""Armas!B3:G""), ""Select Col1 Where Col2 = '""&amp;Personagem!$Q$8&amp;""' or Col2 = '""&amp;Personagem!$Q$9&amp;""'""),
if('Time 4'!C6 = ""Lorelei"", query(IMPORTRANGE(cd_planilha, ""Armas!B3:G""), ""Select Col1 Where Col2 = '""&amp;Personagem!$R$8&amp;""'"&amp;" or Col2 = '""&amp;Personagem!$R$9&amp;""' ""),
if('Time 4'!C6 = ""Louca"", query(IMPORTRANGE(cd_planilha, ""Armas!B3:G""), ""Select Col1 Where Col2 = '""&amp;Personagem!$S$8&amp;""' or Col2 = '""&amp;Personagem!$S$9&amp;""' ""),
if('Time 4'!C6 = ""Melina"", query(IMPORTRANGE(cd"&amp;"_planilha, ""Armas!B3:G""), ""Select Col1 Where Col2 = '""&amp;Personagem!$T$8&amp;""' or Col2 = '""&amp;Personagem!$T$9&amp;""'""),
if('Time 4'!C6 = ""Mila"", query(IMPORTRANGE(cd_planilha, ""Armas!B3:G""), ""Select Col1 Where Col2 = '""&amp;Personagem!$U$8&amp;""' or Col2 = '"&amp;"""&amp;Personagem!$U$9&amp;""' ""),
if('Time 4'!C6 = ""Minh"", query(IMPORTRANGE(cd_planilha, ""Armas!B3:G""), ""Select Col1 Where Col2 = '""&amp;Personagem!$V$8&amp;""' or Col2 = '""&amp;Personagem!$V$9&amp;""' ""),
if('Time 4'!C6 = ""Mojian"", query(IMPORTRANGE(cd_planilha, """&amp;"Armas!B3:G""), ""Select Col1 Where Col2 = '""&amp;Personagem!$W$8&amp;""' or Col2 = '""&amp;Personagem!$W$9&amp;""'""),
if('Time 4'!C6 = ""Nya"", query(IMPORTRANGE(cd_planilha, ""Armas!B3:G""), ""Select Col1 Where Col2 = '""&amp;Personagem!$X$8&amp;""' or Col2 = '""&amp;Personagem!$"&amp;"X$9&amp;""' ""),
if('Time 4'!C6 = ""Odette"", query(IMPORTRANGE(cd_planilha, ""Armas!B3:G""), ""Select Col1 Where Col2 = '""&amp;Personagem!$Y$8&amp;""' or Col2 = '""&amp;Personagem!$Y$9&amp;""'""),
if('Time 4'!C6 = ""Oneira"", query(IMPORTRANGE(cd_planilha, ""Armas!B3:G""),"&amp;" ""Select Col1 Where Col2 = '""&amp;Personagem!$Z$8&amp;""' or Col2 = '""&amp;Personagem!$Z$9&amp;""' ""),
if('Time 4'!C6 = ""Palash"", query(IMPORTRANGE(cd_planilha, ""Armas!B3:G""), ""Select Col1 Where Col2 = '""&amp;Personagem!$AA$8&amp;""' or Col2 = '""&amp;Personagem!$AA$9&amp;""'"&amp;"""),
if('Time 4'!C6 = ""Theor"", query(IMPORTRANGE(cd_planilha, ""Armas!B3:G""), ""Select Col1 Where Col2 = '""&amp;Personagem!$AB$8&amp;""' or Col2 = '""&amp;Personagem!$AB$9&amp;""' ""),
if('Time 4'!C6 = ""Yue"", query(IMPORTRANGE(cd_planilha, ""Armas!B3:G""), ""Select"&amp;" Col1 Where Col2 = '""&amp;Personagem!$AC$8&amp;""' or Col2 = '""&amp;Personagem!$AC$9&amp;""'""
)))))))))))))))))))))))))))))"),"Coifa da Lua")</f>
        <v>Coifa da Lua</v>
      </c>
      <c r="AF1" s="241"/>
      <c r="AG1" s="241" t="str">
        <f>IFERROR(__xludf.DUMMYFUNCTION("if('Time 4'!C7 = ""Albert"", query(IMPORTRANGE(cd_planilha, ""Armas!B3:G""), ""Select Col1 Where Col2 = '""&amp;Personagem!$B$8&amp;""' or Col2 = '""&amp;Personagem!$B$9&amp;""'""),     
if('Time 4'!C7 = ""Alicia"", query(IMPORTRANGE(cd_planilha, ""Armas!B3:G""), ""Selec"&amp;"t Col1 Where Col2 = '""&amp;Personagem!$C$8&amp;""' or Col2 = '""&amp;Personagem!$C$9&amp;""'""),
if('Time 4'!C7 = ""Azula"", query(IMPORTRANGE(cd_planilha, ""Armas!B3:G""), ""Select Col1 Where Col2 = '""&amp;Personagem!$D$8&amp;""' or Col2 = '""&amp;Personagem!$D$9&amp;""' ""),
if('Tim"&amp;"e 4'!C7 = ""Charles"", query(IMPORTRANGE(cd_planilha, ""Armas!B3:G""), ""Select Col1 Where Col2 = '""&amp;Personagem!$E$8&amp;""' or Col2 = '""&amp;Personagem!$E$9&amp;""'""),
if('Time 4'!C7 = ""Clovis"", query(IMPORTRANGE(cd_planilha, ""Armas!B3:G""), ""Select Col1 Wher"&amp;"e Col2 = '""&amp;Personagem!$F$8&amp;""' or Col2 = '""&amp;Personagem!$F$9&amp;""' ""),
if('Time 4'!C7 = ""Darthos"", query(IMPORTRANGE(cd_planilha, ""Armas!B3:G""), ""Select Col1 Where Col2 = '""&amp;Personagem!$G$8&amp;""' or Col2 = '""&amp;Personagem!$G$9&amp;""'""),
if('Time 4'!C7 ="&amp;" ""Edward"", query(IMPORTRANGE(cd_planilha, ""Armas!B3:G""), ""Select Col1 Where Col2 = '""&amp;Personagem!$H$8&amp;""' or Col2 = '""&amp;Personagem!$H$9&amp;""' ""),
if('Time 4'!C7 = ""Fiora"", query(IMPORTRANGE(cd_planilha, ""Armas!B3:G""), ""Select Col1 Where Col2 = '"&amp;"""&amp;Personagem!$I$8&amp;""' or Col2 = '""&amp;Personagem!$I$9&amp;""' ""),
if('Time 4'!C7 = ""Francesca"", query(IMPORTRANGE(cd_planilha, ""Armas!B3:G""), ""Select Col1 Where Col2 = '""&amp;Personagem!$J$8&amp;""' or Col2 = '""&amp;Personagem!$J$9&amp;""'""),
if('Time 4'!C7 = ""Garre"&amp;"th"", query(IMPORTRANGE(cd_planilha, ""Armas!B3:G""), ""Select Col1 Where Col2 = '""&amp;Personagem!$K$8&amp;""' or Col2 = '""&amp;Personagem!$K$9&amp;""'""),
if('Time 4'!C7 = ""Gauvin"", query(IMPORTRANGE(cd_planilha, ""Armas!B3:G""), ""Select Col1 Where Col2 = '""&amp;Pers"&amp;"onagem!$L$8&amp;""' or Col2 = '""&amp;Personagem!$L$9&amp;""' ""),
if('Time 4'!C7 = ""Irene"", query(IMPORTRANGE(cd_planilha, ""Armas!B3:G""), ""Select Col1 Where Col2 = '""&amp;Personagem!$M$8&amp;""' or Col2 = '""&amp;Personagem!$M$9&amp;""' ""),
if('Time 4'!C7 = ""Karal"", query("&amp;"IMPORTRANGE(cd_planilha, ""Armas!B3:G""), ""Select Col1 Where Col2 = '""&amp;Personagem!$N$8&amp;""' or Col2 = '""&amp;Personagem!$N$9&amp;""' ""),
if('Time 4'!C7 = ""Kuro Shobi"", query(IMPORTRANGE(cd_planilha, ""Armas!B3:G""), ""Select Col1 Where Col2 = '""&amp;Personagem!"&amp;"$O$8&amp;""' or Col2 = '""&amp;Personagem!$O$9&amp;""'""),
if('Time 4'!C7 = ""Kurul"", query(IMPORTRANGE(cd_planilha, ""Armas!B3:G""), ""Select Col1 Where Col2 = '""&amp;Personagem!$P$8&amp;""' or Col2 = '""&amp;Personagem!$P$9&amp;""' ""),
if('Time 4'!C7 = ""Lancaster"", query(IMPO"&amp;"RTRANGE(cd_planilha, ""Armas!B3:G""), ""Select Col1 Where Col2 = '""&amp;Personagem!$Q$8&amp;""' or Col2 = '""&amp;Personagem!$Q$9&amp;""'""),
if('Time 4'!C7 = ""Lorelei"", query(IMPORTRANGE(cd_planilha, ""Armas!B3:G""), ""Select Col1 Where Col2 = '""&amp;Personagem!$R$8&amp;""'"&amp;" or Col2 = '""&amp;Personagem!$R$9&amp;""' ""),
if('Time 4'!C7 = ""Louca"", query(IMPORTRANGE(cd_planilha, ""Armas!B3:G""), ""Select Col1 Where Col2 = '""&amp;Personagem!$S$8&amp;""' or Col2 = '""&amp;Personagem!$S$9&amp;""' ""),
if('Time 4'!C7 = ""Melina"", query(IMPORTRANGE(cd"&amp;"_planilha, ""Armas!B3:G""), ""Select Col1 Where Col2 = '""&amp;Personagem!$T$8&amp;""' or Col2 = '""&amp;Personagem!$T$9&amp;""'""),
if('Time 4'!C7 = ""Mila"", query(IMPORTRANGE(cd_planilha, ""Armas!B3:G""), ""Select Col1 Where Col2 = '""&amp;Personagem!$U$8&amp;""' or Col2 = '"&amp;"""&amp;Personagem!$U$9&amp;""' ""),
if('Time 4'!C7 = ""Minh"", query(IMPORTRANGE(cd_planilha, ""Armas!B3:G""), ""Select Col1 Where Col2 = '""&amp;Personagem!$V$8&amp;""' or Col2 = '""&amp;Personagem!$V$9&amp;""' ""),
if('Time 4'!C7 = ""Mojian"", query(IMPORTRANGE(cd_planilha, """&amp;"Armas!B3:G""), ""Select Col1 Where Col2 = '""&amp;Personagem!$W$8&amp;""' or Col2 = '""&amp;Personagem!$W$9&amp;""'""),
if('Time 4'!C7 = ""Nya"", query(IMPORTRANGE(cd_planilha, ""Armas!B3:G""), ""Select Col1 Where Col2 = '""&amp;Personagem!$X$8&amp;""' or Col2 = '""&amp;Personagem!$"&amp;"X$9&amp;""' ""),
if('Time 4'!C7 = ""Odette"", query(IMPORTRANGE(cd_planilha, ""Armas!B3:G""), ""Select Col1 Where Col2 = '""&amp;Personagem!$Y$8&amp;""' or Col2 = '""&amp;Personagem!$Y$9&amp;""'""),
if('Time 4'!C7 = ""Oneira"", query(IMPORTRANGE(cd_planilha, ""Armas!B3:G""),"&amp;" ""Select Col1 Where Col2 = '""&amp;Personagem!$Z$8&amp;""' or Col2 = '""&amp;Personagem!$Z$9&amp;""' ""),
if('Time 4'!C7 = ""Palash"", query(IMPORTRANGE(cd_planilha, ""Armas!B3:G""), ""Select Col1 Where Col2 = '""&amp;Personagem!$AA$8&amp;""' or Col2 = '""&amp;Personagem!$AA$9&amp;""'"&amp;"""),
if('Time 4'!C7 = ""Theor"", query(IMPORTRANGE(cd_planilha, ""Armas!B3:G""), ""Select Col1 Where Col2 = '""&amp;Personagem!$AB$8&amp;""' or Col2 = '""&amp;Personagem!$AB$9&amp;""' ""),
if('Time 4'!C7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H1" s="241"/>
      <c r="AI1" s="241" t="b">
        <f>IFERROR(__xludf.DUMMYFUNCTION("if('Time 4'!C8 = ""Albert"", query(IMPORTRANGE(cd_planilha, ""Armas!B3:G""), ""Select Col1 Where Col2 = '""&amp;Personagem!$B$8&amp;""' or Col2 = '""&amp;Personagem!$B$9&amp;""'""),     
if('Time 4'!C8 = ""Alicia"", query(IMPORTRANGE(cd_planilha, ""Armas!B3:G""), ""Selec"&amp;"t Col1 Where Col2 = '""&amp;Personagem!$C$8&amp;""' or Col2 = '""&amp;Personagem!$C$9&amp;""'""),
if('Time 4'!C8 = ""Azula"", query(IMPORTRANGE(cd_planilha, ""Armas!B3:G""), ""Select Col1 Where Col2 = '""&amp;Personagem!$D$8&amp;""' or Col2 = '""&amp;Personagem!$D$9&amp;""' ""),
if('Tim"&amp;"e 4'!C8 = ""Charles"", query(IMPORTRANGE(cd_planilha, ""Armas!B3:G""), ""Select Col1 Where Col2 = '""&amp;Personagem!$E$8&amp;""' or Col2 = '""&amp;Personagem!$E$9&amp;""'""),
if('Time 4'!C8 = ""Clovis"", query(IMPORTRANGE(cd_planilha, ""Armas!B3:G""), ""Select Col1 Wher"&amp;"e Col2 = '""&amp;Personagem!$F$8&amp;""' or Col2 = '""&amp;Personagem!$F$9&amp;""' ""),
if('Time 4'!C8 = ""Darthos"", query(IMPORTRANGE(cd_planilha, ""Armas!B3:G""), ""Select Col1 Where Col2 = '""&amp;Personagem!$G$8&amp;""' or Col2 = '""&amp;Personagem!$G$9&amp;""'""),
if('Time 4'!C8 ="&amp;" ""Edward"", query(IMPORTRANGE(cd_planilha, ""Armas!B3:G""), ""Select Col1 Where Col2 = '""&amp;Personagem!$H$8&amp;""' or Col2 = '""&amp;Personagem!$H$9&amp;""' ""),
if('Time 4'!C8 = ""Fiora"", query(IMPORTRANGE(cd_planilha, ""Armas!B3:G""), ""Select Col1 Where Col2 = '"&amp;"""&amp;Personagem!$I$8&amp;""' or Col2 = '""&amp;Personagem!$I$9&amp;""' ""),
if('Time 4'!C8 = ""Francesca"", query(IMPORTRANGE(cd_planilha, ""Armas!B3:G""), ""Select Col1 Where Col2 = '""&amp;Personagem!$J$8&amp;""' or Col2 = '""&amp;Personagem!$J$9&amp;""'""),
if('Time 4'!C8 = ""Garre"&amp;"th"", query(IMPORTRANGE(cd_planilha, ""Armas!B3:G""), ""Select Col1 Where Col2 = '""&amp;Personagem!$K$8&amp;""' or Col2 = '""&amp;Personagem!$K$9&amp;""'""),
if('Time 4'!C8 = ""Gauvin"", query(IMPORTRANGE(cd_planilha, ""Armas!B3:G""), ""Select Col1 Where Col2 = '""&amp;Pers"&amp;"onagem!$L$8&amp;""' or Col2 = '""&amp;Personagem!$L$9&amp;""' ""),
if('Time 4'!C8 = ""Irene"", query(IMPORTRANGE(cd_planilha, ""Armas!B3:G""), ""Select Col1 Where Col2 = '""&amp;Personagem!$M$8&amp;""' or Col2 = '""&amp;Personagem!$M$9&amp;""' ""),
if('Time 4'!C8 = ""Karal"", query("&amp;"IMPORTRANGE(cd_planilha, ""Armas!B3:G""), ""Select Col1 Where Col2 = '""&amp;Personagem!$N$8&amp;""' or Col2 = '""&amp;Personagem!$N$9&amp;""' ""),
if('Time 4'!C8 = ""Kuro Shobi"", query(IMPORTRANGE(cd_planilha, ""Armas!B3:G""), ""Select Col1 Where Col2 = '""&amp;Personagem!"&amp;"$O$8&amp;""' or Col2 = '""&amp;Personagem!$O$9&amp;""'""),
if('Time 4'!C8 = ""Kurul"", query(IMPORTRANGE(cd_planilha, ""Armas!B3:G""), ""Select Col1 Where Col2 = '""&amp;Personagem!$P$8&amp;""' or Col2 = '""&amp;Personagem!$P$9&amp;""' ""),
if('Time 4'!C8 = ""Lancaster"", query(IMPO"&amp;"RTRANGE(cd_planilha, ""Armas!B3:G""), ""Select Col1 Where Col2 = '""&amp;Personagem!$Q$8&amp;""' or Col2 = '""&amp;Personagem!$Q$9&amp;""'""),
if('Time 4'!C8 = ""Lorelei"", query(IMPORTRANGE(cd_planilha, ""Armas!B3:G""), ""Select Col1 Where Col2 = '""&amp;Personagem!$R$8&amp;""'"&amp;" or Col2 = '""&amp;Personagem!$R$9&amp;""' ""),
if('Time 4'!C8 = ""Louca"", query(IMPORTRANGE(cd_planilha, ""Armas!B3:G""), ""Select Col1 Where Col2 = '""&amp;Personagem!$S$8&amp;""' or Col2 = '""&amp;Personagem!$S$9&amp;""' ""),
if('Time 4'!C8 = ""Melina"", query(IMPORTRANGE(cd"&amp;"_planilha, ""Armas!B3:G""), ""Select Col1 Where Col2 = '""&amp;Personagem!$T$8&amp;""' or Col2 = '""&amp;Personagem!$T$9&amp;""'""),
if('Time 4'!C8 = ""Mila"", query(IMPORTRANGE(cd_planilha, ""Armas!B3:G""), ""Select Col1 Where Col2 = '""&amp;Personagem!$U$8&amp;""' or Col2 = '"&amp;"""&amp;Personagem!$U$9&amp;""' ""),
if('Time 4'!C8 = ""Minh"", query(IMPORTRANGE(cd_planilha, ""Armas!B3:G""), ""Select Col1 Where Col2 = '""&amp;Personagem!$V$8&amp;""' or Col2 = '""&amp;Personagem!$V$9&amp;""' ""),
if('Time 4'!C8 = ""Mojian"", query(IMPORTRANGE(cd_planilha, """&amp;"Armas!B3:G""), ""Select Col1 Where Col2 = '""&amp;Personagem!$W$8&amp;""' or Col2 = '""&amp;Personagem!$W$9&amp;""'""),
if('Time 4'!C8 = ""Nya"", query(IMPORTRANGE(cd_planilha, ""Armas!B3:G""), ""Select Col1 Where Col2 = '""&amp;Personagem!$X$8&amp;""' or Col2 = '""&amp;Personagem!$"&amp;"X$9&amp;""' ""),
if('Time 4'!C8 = ""Odette"", query(IMPORTRANGE(cd_planilha, ""Armas!B3:G""), ""Select Col1 Where Col2 = '""&amp;Personagem!$Y$8&amp;""' or Col2 = '""&amp;Personagem!$Y$9&amp;""'""),
if('Time 4'!C8 = ""Oneira"", query(IMPORTRANGE(cd_planilha, ""Armas!B3:G""),"&amp;" ""Select Col1 Where Col2 = '""&amp;Personagem!$Z$8&amp;""' or Col2 = '""&amp;Personagem!$Z$9&amp;""' ""),
if('Time 4'!C8 = ""Palash"", query(IMPORTRANGE(cd_planilha, ""Armas!B3:G""), ""Select Col1 Where Col2 = '""&amp;Personagem!$AA$8&amp;""' or Col2 = '""&amp;Personagem!$AA$9&amp;""'"&amp;"""),
if('Time 4'!C8 = ""Theor"", query(IMPORTRANGE(cd_planilha, ""Armas!B3:G""), ""Select Col1 Where Col2 = '""&amp;Personagem!$AB$8&amp;""' or Col2 = '""&amp;Personagem!$AB$9&amp;""' ""),
if('Time 4'!C8 = ""Yue"", query(IMPORTRANGE(cd_planilha, ""Armas!B3:G""), ""Select"&amp;" Col1 Where Col2 = '""&amp;Personagem!$AC$8&amp;""' or Col2 = '""&amp;Personagem!$AC$9&amp;""'""
)))))))))))))))))))))))))))))"),FALSE)</f>
        <v>0</v>
      </c>
      <c r="AJ1" s="242"/>
    </row>
    <row r="2">
      <c r="A2" s="224" t="str">
        <f>IFERROR(__xludf.DUMMYFUNCTION("""COMPUTED_VALUE"""),"Olho de falcão")</f>
        <v>Olho de falcão</v>
      </c>
      <c r="B2" s="241"/>
      <c r="C2" s="224" t="str">
        <f>IFERROR(__xludf.DUMMYFUNCTION("""COMPUTED_VALUE"""),"Begala do faraó")</f>
        <v>Begala do faraó</v>
      </c>
      <c r="D2" s="241"/>
      <c r="E2" s="224" t="str">
        <f>IFERROR(__xludf.DUMMYFUNCTION("""COMPUTED_VALUE"""),"Espada Vorpal")</f>
        <v>Espada Vorpal</v>
      </c>
      <c r="F2" s="241"/>
      <c r="G2" s="224" t="str">
        <f>IFERROR(__xludf.DUMMYFUNCTION("""COMPUTED_VALUE"""),"Begala do faraó")</f>
        <v>Begala do faraó</v>
      </c>
      <c r="H2" s="241"/>
      <c r="I2" s="224" t="str">
        <f>IFERROR(__xludf.DUMMYFUNCTION("""COMPUTED_VALUE"""),"Olho de falcão")</f>
        <v>Olho de falcão</v>
      </c>
      <c r="J2" s="241"/>
      <c r="K2" s="241"/>
      <c r="L2" s="242"/>
      <c r="M2" s="224" t="str">
        <f>IFERROR(__xludf.DUMMYFUNCTION("""COMPUTED_VALUE"""),"Toga do Mago")</f>
        <v>Toga do Mago</v>
      </c>
      <c r="N2" s="241"/>
      <c r="O2" s="224" t="str">
        <f>IFERROR(__xludf.DUMMYFUNCTION("""COMPUTED_VALUE"""),"Armadura Nobre")</f>
        <v>Armadura Nobre</v>
      </c>
      <c r="P2" s="241"/>
      <c r="Q2" s="224" t="str">
        <f>IFERROR(__xludf.DUMMYFUNCTION("""COMPUTED_VALUE"""),"Armadura Nobre")</f>
        <v>Armadura Nobre</v>
      </c>
      <c r="R2" s="241"/>
      <c r="S2" s="224" t="str">
        <f>IFERROR(__xludf.DUMMYFUNCTION("""COMPUTED_VALUE"""),"Armadura Nobre")</f>
        <v>Armadura Nobre</v>
      </c>
      <c r="T2" s="241"/>
      <c r="U2" s="224" t="str">
        <f>IFERROR(__xludf.DUMMYFUNCTION("""COMPUTED_VALUE"""),"Toga do Mago")</f>
        <v>Toga do Mago</v>
      </c>
      <c r="V2" s="241"/>
      <c r="W2" s="241"/>
      <c r="X2" s="242"/>
      <c r="Y2" s="224" t="str">
        <f>IFERROR(__xludf.DUMMYFUNCTION("""COMPUTED_VALUE"""),"Coroa Dourada")</f>
        <v>Coroa Dourada</v>
      </c>
      <c r="Z2" s="241"/>
      <c r="AA2" s="224" t="str">
        <f>IFERROR(__xludf.DUMMYFUNCTION("""COMPUTED_VALUE"""),"Elmo do Paladino")</f>
        <v>Elmo do Paladino</v>
      </c>
      <c r="AB2" s="241"/>
      <c r="AC2" s="224" t="str">
        <f>IFERROR(__xludf.DUMMYFUNCTION("""COMPUTED_VALUE"""),"Elmo do Paladino")</f>
        <v>Elmo do Paladino</v>
      </c>
      <c r="AD2" s="241"/>
      <c r="AE2" s="224" t="str">
        <f>IFERROR(__xludf.DUMMYFUNCTION("""COMPUTED_VALUE"""),"Elmo do Paladino")</f>
        <v>Elmo do Paladino</v>
      </c>
      <c r="AF2" s="241"/>
      <c r="AG2" s="224" t="str">
        <f>IFERROR(__xludf.DUMMYFUNCTION("""COMPUTED_VALUE"""),"Coroa Dourada")</f>
        <v>Coroa Dourada</v>
      </c>
      <c r="AH2" s="241"/>
      <c r="AI2" s="241"/>
      <c r="AJ2" s="242"/>
    </row>
    <row r="3" hidden="1">
      <c r="A3" s="241" t="str">
        <f>IFERROR(__xludf.DUMMYFUNCTION("""COMPUTED_VALUE"""),"Autocarregador")</f>
        <v>Autocarregador</v>
      </c>
      <c r="B3" s="241"/>
      <c r="C3" s="241" t="str">
        <f>IFERROR(__xludf.DUMMYFUNCTION("""COMPUTED_VALUE"""),"Cetro Lunar")</f>
        <v>Cetro Lunar</v>
      </c>
      <c r="D3" s="241"/>
      <c r="E3" s="241" t="str">
        <f>IFERROR(__xludf.DUMMYFUNCTION("""COMPUTED_VALUE"""),"Aço frio")</f>
        <v>Aço frio</v>
      </c>
      <c r="F3" s="241"/>
      <c r="G3" s="241" t="str">
        <f>IFERROR(__xludf.DUMMYFUNCTION("""COMPUTED_VALUE"""),"Cetro Lunar")</f>
        <v>Cetro Lunar</v>
      </c>
      <c r="H3" s="241"/>
      <c r="I3" s="241" t="str">
        <f>IFERROR(__xludf.DUMMYFUNCTION("""COMPUTED_VALUE"""),"Autocarregador")</f>
        <v>Autocarregador</v>
      </c>
      <c r="J3" s="241"/>
      <c r="K3" s="241"/>
      <c r="L3" s="242"/>
      <c r="M3" s="241" t="str">
        <f>IFERROR(__xludf.DUMMYFUNCTION("""COMPUTED_VALUE"""),"Poseidon's Toga")</f>
        <v>Poseidon's Toga</v>
      </c>
      <c r="N3" s="241"/>
      <c r="O3" s="241" t="str">
        <f>IFERROR(__xludf.DUMMYFUNCTION("""COMPUTED_VALUE"""),"Correio de Honra")</f>
        <v>Correio de Honra</v>
      </c>
      <c r="P3" s="241"/>
      <c r="Q3" s="241" t="str">
        <f>IFERROR(__xludf.DUMMYFUNCTION("""COMPUTED_VALUE"""),"Correio de Honra")</f>
        <v>Correio de Honra</v>
      </c>
      <c r="R3" s="241"/>
      <c r="S3" s="241" t="str">
        <f>IFERROR(__xludf.DUMMYFUNCTION("""COMPUTED_VALUE"""),"Correio de Honra")</f>
        <v>Correio de Honra</v>
      </c>
      <c r="T3" s="241"/>
      <c r="U3" s="241" t="str">
        <f>IFERROR(__xludf.DUMMYFUNCTION("""COMPUTED_VALUE"""),"Poseidon's Toga")</f>
        <v>Poseidon's Toga</v>
      </c>
      <c r="V3" s="241"/>
      <c r="W3" s="241"/>
      <c r="X3" s="242"/>
      <c r="Y3" s="241" t="str">
        <f>IFERROR(__xludf.DUMMYFUNCTION("""COMPUTED_VALUE"""),"Coifa Sábia ")</f>
        <v>Coifa Sábia </v>
      </c>
      <c r="Z3" s="241"/>
      <c r="AA3" s="241" t="str">
        <f>IFERROR(__xludf.DUMMYFUNCTION("""COMPUTED_VALUE"""),"Elmo Congelado")</f>
        <v>Elmo Congelado</v>
      </c>
      <c r="AB3" s="241"/>
      <c r="AC3" s="241" t="str">
        <f>IFERROR(__xludf.DUMMYFUNCTION("""COMPUTED_VALUE"""),"Elmo Congelado")</f>
        <v>Elmo Congelado</v>
      </c>
      <c r="AD3" s="241"/>
      <c r="AE3" s="241" t="str">
        <f>IFERROR(__xludf.DUMMYFUNCTION("""COMPUTED_VALUE"""),"Elmo Congelado")</f>
        <v>Elmo Congelado</v>
      </c>
      <c r="AF3" s="241"/>
      <c r="AG3" s="241" t="str">
        <f>IFERROR(__xludf.DUMMYFUNCTION("""COMPUTED_VALUE"""),"Coifa Sábia ")</f>
        <v>Coifa Sábia </v>
      </c>
      <c r="AH3" s="241"/>
      <c r="AI3" s="241"/>
      <c r="AJ3" s="242"/>
    </row>
    <row r="4" hidden="1">
      <c r="A4" s="241" t="str">
        <f>IFERROR(__xludf.DUMMYFUNCTION("""COMPUTED_VALUE"""),"Olho de águia")</f>
        <v>Olho de águia</v>
      </c>
      <c r="B4" s="241"/>
      <c r="C4" s="241" t="str">
        <f>IFERROR(__xludf.DUMMYFUNCTION("""COMPUTED_VALUE"""),"Líquido apanhador de inseto")</f>
        <v>Líquido apanhador de inseto</v>
      </c>
      <c r="D4" s="241"/>
      <c r="E4" s="241" t="str">
        <f>IFERROR(__xludf.DUMMYFUNCTION("""COMPUTED_VALUE"""),"Espada de Relíquia")</f>
        <v>Espada de Relíquia</v>
      </c>
      <c r="F4" s="241"/>
      <c r="G4" s="241" t="str">
        <f>IFERROR(__xludf.DUMMYFUNCTION("""COMPUTED_VALUE"""),"Líquido apanhador de inseto")</f>
        <v>Líquido apanhador de inseto</v>
      </c>
      <c r="H4" s="241"/>
      <c r="I4" s="241" t="str">
        <f>IFERROR(__xludf.DUMMYFUNCTION("""COMPUTED_VALUE"""),"Olho de águia")</f>
        <v>Olho de águia</v>
      </c>
      <c r="J4" s="241"/>
      <c r="K4" s="241"/>
      <c r="L4" s="242"/>
      <c r="M4" s="241" t="str">
        <f>IFERROR(__xludf.DUMMYFUNCTION("""COMPUTED_VALUE"""),"Traje de Tempestade")</f>
        <v>Traje de Tempestade</v>
      </c>
      <c r="N4" s="241"/>
      <c r="O4" s="241" t="str">
        <f>IFERROR(__xludf.DUMMYFUNCTION("""COMPUTED_VALUE"""),"Armadura do Caos")</f>
        <v>Armadura do Caos</v>
      </c>
      <c r="P4" s="241"/>
      <c r="Q4" s="241" t="str">
        <f>IFERROR(__xludf.DUMMYFUNCTION("""COMPUTED_VALUE"""),"Armadura do Caos")</f>
        <v>Armadura do Caos</v>
      </c>
      <c r="R4" s="241"/>
      <c r="S4" s="241" t="str">
        <f>IFERROR(__xludf.DUMMYFUNCTION("""COMPUTED_VALUE"""),"Armadura do Caos")</f>
        <v>Armadura do Caos</v>
      </c>
      <c r="T4" s="241"/>
      <c r="U4" s="241" t="str">
        <f>IFERROR(__xludf.DUMMYFUNCTION("""COMPUTED_VALUE"""),"Traje de Tempestade")</f>
        <v>Traje de Tempestade</v>
      </c>
      <c r="V4" s="241"/>
      <c r="W4" s="241"/>
      <c r="X4" s="242"/>
      <c r="Y4" s="241" t="str">
        <f>IFERROR(__xludf.DUMMYFUNCTION("""COMPUTED_VALUE"""),"Tiara Rúnica")</f>
        <v>Tiara Rúnica</v>
      </c>
      <c r="Z4" s="241"/>
      <c r="AA4" s="241" t="str">
        <f>IFERROR(__xludf.DUMMYFUNCTION("""COMPUTED_VALUE"""),"Elmo do Aventureiro")</f>
        <v>Elmo do Aventureiro</v>
      </c>
      <c r="AB4" s="241"/>
      <c r="AC4" s="241" t="str">
        <f>IFERROR(__xludf.DUMMYFUNCTION("""COMPUTED_VALUE"""),"Elmo do Aventureiro")</f>
        <v>Elmo do Aventureiro</v>
      </c>
      <c r="AD4" s="241"/>
      <c r="AE4" s="241" t="str">
        <f>IFERROR(__xludf.DUMMYFUNCTION("""COMPUTED_VALUE"""),"Elmo do Aventureiro")</f>
        <v>Elmo do Aventureiro</v>
      </c>
      <c r="AF4" s="241"/>
      <c r="AG4" s="241" t="str">
        <f>IFERROR(__xludf.DUMMYFUNCTION("""COMPUTED_VALUE"""),"Tiara Rúnica")</f>
        <v>Tiara Rúnica</v>
      </c>
      <c r="AH4" s="241"/>
      <c r="AI4" s="241"/>
      <c r="AJ4" s="242"/>
    </row>
    <row r="5" hidden="1">
      <c r="A5" s="241" t="str">
        <f>IFERROR(__xludf.DUMMYFUNCTION("""COMPUTED_VALUE"""),"Evelyn")</f>
        <v>Evelyn</v>
      </c>
      <c r="B5" s="241"/>
      <c r="C5" s="241" t="str">
        <f>IFERROR(__xludf.DUMMYFUNCTION("""COMPUTED_VALUE"""),"Cetro Sagrado")</f>
        <v>Cetro Sagrado</v>
      </c>
      <c r="D5" s="241"/>
      <c r="E5" s="241" t="str">
        <f>IFERROR(__xludf.DUMMYFUNCTION("""COMPUTED_VALUE"""),"Marca Abissal")</f>
        <v>Marca Abissal</v>
      </c>
      <c r="F5" s="241"/>
      <c r="G5" s="241" t="str">
        <f>IFERROR(__xludf.DUMMYFUNCTION("""COMPUTED_VALUE"""),"Cetro Sagrado")</f>
        <v>Cetro Sagrado</v>
      </c>
      <c r="H5" s="241"/>
      <c r="I5" s="241" t="str">
        <f>IFERROR(__xludf.DUMMYFUNCTION("""COMPUTED_VALUE"""),"Evelyn")</f>
        <v>Evelyn</v>
      </c>
      <c r="J5" s="241"/>
      <c r="K5" s="241"/>
      <c r="L5" s="242"/>
      <c r="M5" s="241" t="str">
        <f>IFERROR(__xludf.DUMMYFUNCTION("""COMPUTED_VALUE"""),"Toga do Bruxo ")</f>
        <v>Toga do Bruxo </v>
      </c>
      <c r="N5" s="241"/>
      <c r="O5" s="241" t="str">
        <f>IFERROR(__xludf.DUMMYFUNCTION("""COMPUTED_VALUE"""),"Malha Eldritch")</f>
        <v>Malha Eldritch</v>
      </c>
      <c r="P5" s="241"/>
      <c r="Q5" s="241" t="str">
        <f>IFERROR(__xludf.DUMMYFUNCTION("""COMPUTED_VALUE"""),"Malha Eldritch")</f>
        <v>Malha Eldritch</v>
      </c>
      <c r="R5" s="241"/>
      <c r="S5" s="241" t="str">
        <f>IFERROR(__xludf.DUMMYFUNCTION("""COMPUTED_VALUE"""),"Malha Eldritch")</f>
        <v>Malha Eldritch</v>
      </c>
      <c r="T5" s="241"/>
      <c r="U5" s="241" t="str">
        <f>IFERROR(__xludf.DUMMYFUNCTION("""COMPUTED_VALUE"""),"Toga do Bruxo ")</f>
        <v>Toga do Bruxo </v>
      </c>
      <c r="V5" s="241"/>
      <c r="W5" s="241"/>
      <c r="X5" s="242"/>
      <c r="Y5" s="241" t="str">
        <f>IFERROR(__xludf.DUMMYFUNCTION("""COMPUTED_VALUE"""),"Coroa do trovão")</f>
        <v>Coroa do trovão</v>
      </c>
      <c r="Z5" s="241"/>
      <c r="AA5" s="241" t="str">
        <f>IFERROR(__xludf.DUMMYFUNCTION("""COMPUTED_VALUE"""),"Elmo da Fênix")</f>
        <v>Elmo da Fênix</v>
      </c>
      <c r="AB5" s="241"/>
      <c r="AC5" s="241" t="str">
        <f>IFERROR(__xludf.DUMMYFUNCTION("""COMPUTED_VALUE"""),"Elmo da Fênix")</f>
        <v>Elmo da Fênix</v>
      </c>
      <c r="AD5" s="241"/>
      <c r="AE5" s="241" t="str">
        <f>IFERROR(__xludf.DUMMYFUNCTION("""COMPUTED_VALUE"""),"Elmo da Fênix")</f>
        <v>Elmo da Fênix</v>
      </c>
      <c r="AF5" s="241"/>
      <c r="AG5" s="241" t="str">
        <f>IFERROR(__xludf.DUMMYFUNCTION("""COMPUTED_VALUE"""),"Coroa do trovão")</f>
        <v>Coroa do trovão</v>
      </c>
      <c r="AH5" s="241"/>
      <c r="AI5" s="241"/>
      <c r="AJ5" s="242"/>
    </row>
    <row r="6" hidden="1">
      <c r="A6" s="241" t="str">
        <f>IFERROR(__xludf.DUMMYFUNCTION("""COMPUTED_VALUE"""),"Olho de dragão")</f>
        <v>Olho de dragão</v>
      </c>
      <c r="B6" s="241"/>
      <c r="C6" s="241" t="str">
        <f>IFERROR(__xludf.DUMMYFUNCTION("""COMPUTED_VALUE"""),"Varinha Estelar")</f>
        <v>Varinha Estelar</v>
      </c>
      <c r="D6" s="241"/>
      <c r="E6" s="241" t="str">
        <f>IFERROR(__xludf.DUMMYFUNCTION("""COMPUTED_VALUE"""),"Tempestuosa")</f>
        <v>Tempestuosa</v>
      </c>
      <c r="F6" s="241"/>
      <c r="G6" s="241" t="str">
        <f>IFERROR(__xludf.DUMMYFUNCTION("""COMPUTED_VALUE"""),"Varinha Estelar")</f>
        <v>Varinha Estelar</v>
      </c>
      <c r="H6" s="241"/>
      <c r="I6" s="241" t="str">
        <f>IFERROR(__xludf.DUMMYFUNCTION("""COMPUTED_VALUE"""),"Olho de dragão")</f>
        <v>Olho de dragão</v>
      </c>
      <c r="J6" s="241"/>
      <c r="K6" s="241"/>
      <c r="L6" s="242"/>
      <c r="M6" s="241" t="str">
        <f>IFERROR(__xludf.DUMMYFUNCTION("""COMPUTED_VALUE"""),"Life Vest")</f>
        <v>Life Vest</v>
      </c>
      <c r="N6" s="241"/>
      <c r="O6" s="241" t="str">
        <f>IFERROR(__xludf.DUMMYFUNCTION("""COMPUTED_VALUE"""),"Fortaleza de Gaia")</f>
        <v>Fortaleza de Gaia</v>
      </c>
      <c r="P6" s="241"/>
      <c r="Q6" s="241" t="str">
        <f>IFERROR(__xludf.DUMMYFUNCTION("""COMPUTED_VALUE"""),"Fortaleza de Gaia")</f>
        <v>Fortaleza de Gaia</v>
      </c>
      <c r="R6" s="241"/>
      <c r="S6" s="241" t="str">
        <f>IFERROR(__xludf.DUMMYFUNCTION("""COMPUTED_VALUE"""),"Fortaleza de Gaia")</f>
        <v>Fortaleza de Gaia</v>
      </c>
      <c r="T6" s="241"/>
      <c r="U6" s="241" t="str">
        <f>IFERROR(__xludf.DUMMYFUNCTION("""COMPUTED_VALUE"""),"Life Vest")</f>
        <v>Life Vest</v>
      </c>
      <c r="V6" s="241"/>
      <c r="W6" s="241"/>
      <c r="X6" s="242"/>
      <c r="Y6" s="241" t="str">
        <f>IFERROR(__xludf.DUMMYFUNCTION("""COMPUTED_VALUE"""),"Acessório cobra")</f>
        <v>Acessório cobra</v>
      </c>
      <c r="Z6" s="241"/>
      <c r="AA6" s="241" t="str">
        <f>IFERROR(__xludf.DUMMYFUNCTION("""COMPUTED_VALUE"""),"Elmo de Guerra de Lu Bu")</f>
        <v>Elmo de Guerra de Lu Bu</v>
      </c>
      <c r="AB6" s="241"/>
      <c r="AC6" s="241" t="str">
        <f>IFERROR(__xludf.DUMMYFUNCTION("""COMPUTED_VALUE"""),"Elmo de Guerra de Lu Bu")</f>
        <v>Elmo de Guerra de Lu Bu</v>
      </c>
      <c r="AD6" s="241"/>
      <c r="AE6" s="241" t="str">
        <f>IFERROR(__xludf.DUMMYFUNCTION("""COMPUTED_VALUE"""),"Elmo de Guerra de Lu Bu")</f>
        <v>Elmo de Guerra de Lu Bu</v>
      </c>
      <c r="AF6" s="241"/>
      <c r="AG6" s="241" t="str">
        <f>IFERROR(__xludf.DUMMYFUNCTION("""COMPUTED_VALUE"""),"Acessório cobra")</f>
        <v>Acessório cobra</v>
      </c>
      <c r="AH6" s="241"/>
      <c r="AI6" s="241"/>
      <c r="AJ6" s="242"/>
    </row>
    <row r="7" hidden="1">
      <c r="A7" s="241" t="str">
        <f>IFERROR(__xludf.DUMMYFUNCTION("""COMPUTED_VALUE"""),"Besta de adamantium")</f>
        <v>Besta de adamantium</v>
      </c>
      <c r="B7" s="241"/>
      <c r="C7" s="241" t="str">
        <f>IFERROR(__xludf.DUMMYFUNCTION("""COMPUTED_VALUE"""),"Varinha Imperial")</f>
        <v>Varinha Imperial</v>
      </c>
      <c r="D7" s="241"/>
      <c r="E7" s="241" t="str">
        <f>IFERROR(__xludf.DUMMYFUNCTION("""COMPUTED_VALUE"""),"Balmung")</f>
        <v>Balmung</v>
      </c>
      <c r="F7" s="241"/>
      <c r="G7" s="241" t="str">
        <f>IFERROR(__xludf.DUMMYFUNCTION("""COMPUTED_VALUE"""),"Varinha Imperial")</f>
        <v>Varinha Imperial</v>
      </c>
      <c r="H7" s="241"/>
      <c r="I7" s="241" t="str">
        <f>IFERROR(__xludf.DUMMYFUNCTION("""COMPUTED_VALUE"""),"Besta de adamantium")</f>
        <v>Besta de adamantium</v>
      </c>
      <c r="J7" s="241"/>
      <c r="K7" s="241"/>
      <c r="L7" s="242"/>
      <c r="M7" s="241" t="str">
        <f>IFERROR(__xludf.DUMMYFUNCTION("""COMPUTED_VALUE"""),"Toga Plásmica")</f>
        <v>Toga Plásmica</v>
      </c>
      <c r="N7" s="241"/>
      <c r="O7" s="241" t="str">
        <f>IFERROR(__xludf.DUMMYFUNCTION("""COMPUTED_VALUE"""),"Armadura Dragônica")</f>
        <v>Armadura Dragônica</v>
      </c>
      <c r="P7" s="241"/>
      <c r="Q7" s="241" t="str">
        <f>IFERROR(__xludf.DUMMYFUNCTION("""COMPUTED_VALUE"""),"Armadura Dragônica")</f>
        <v>Armadura Dragônica</v>
      </c>
      <c r="R7" s="241"/>
      <c r="S7" s="241" t="str">
        <f>IFERROR(__xludf.DUMMYFUNCTION("""COMPUTED_VALUE"""),"Armadura Dragônica")</f>
        <v>Armadura Dragônica</v>
      </c>
      <c r="T7" s="241"/>
      <c r="U7" s="241" t="str">
        <f>IFERROR(__xludf.DUMMYFUNCTION("""COMPUTED_VALUE"""),"Toga Plásmica")</f>
        <v>Toga Plásmica</v>
      </c>
      <c r="V7" s="241"/>
      <c r="W7" s="241"/>
      <c r="X7" s="242"/>
      <c r="Y7" s="241" t="str">
        <f>IFERROR(__xludf.DUMMYFUNCTION("""COMPUTED_VALUE"""),"Face demoníaca")</f>
        <v>Face demoníaca</v>
      </c>
      <c r="Z7" s="241"/>
      <c r="AA7" s="241" t="str">
        <f>IFERROR(__xludf.DUMMYFUNCTION("""COMPUTED_VALUE"""),"Elmo de Escamas de Dragão")</f>
        <v>Elmo de Escamas de Dragão</v>
      </c>
      <c r="AB7" s="241"/>
      <c r="AC7" s="241" t="str">
        <f>IFERROR(__xludf.DUMMYFUNCTION("""COMPUTED_VALUE"""),"Elmo de Escamas de Dragão")</f>
        <v>Elmo de Escamas de Dragão</v>
      </c>
      <c r="AD7" s="241"/>
      <c r="AE7" s="241" t="str">
        <f>IFERROR(__xludf.DUMMYFUNCTION("""COMPUTED_VALUE"""),"Elmo de Escamas de Dragão")</f>
        <v>Elmo de Escamas de Dragão</v>
      </c>
      <c r="AF7" s="241"/>
      <c r="AG7" s="241" t="str">
        <f>IFERROR(__xludf.DUMMYFUNCTION("""COMPUTED_VALUE"""),"Face demoníaca")</f>
        <v>Face demoníaca</v>
      </c>
      <c r="AH7" s="241"/>
      <c r="AI7" s="241"/>
      <c r="AJ7" s="242"/>
    </row>
    <row r="8" hidden="1">
      <c r="A8" s="241" t="str">
        <f>IFERROR(__xludf.DUMMYFUNCTION("""COMPUTED_VALUE"""),"Besta de repetição")</f>
        <v>Besta de repetição</v>
      </c>
      <c r="B8" s="241"/>
      <c r="C8" s="241" t="str">
        <f>IFERROR(__xludf.DUMMYFUNCTION("""COMPUTED_VALUE"""),"Rei-Sol")</f>
        <v>Rei-Sol</v>
      </c>
      <c r="D8" s="241"/>
      <c r="E8" s="241" t="str">
        <f>IFERROR(__xludf.DUMMYFUNCTION("""COMPUTED_VALUE"""),"Mata-Dragão")</f>
        <v>Mata-Dragão</v>
      </c>
      <c r="F8" s="241"/>
      <c r="G8" s="241" t="str">
        <f>IFERROR(__xludf.DUMMYFUNCTION("""COMPUTED_VALUE"""),"Rei-Sol")</f>
        <v>Rei-Sol</v>
      </c>
      <c r="H8" s="241"/>
      <c r="I8" s="241" t="str">
        <f>IFERROR(__xludf.DUMMYFUNCTION("""COMPUTED_VALUE"""),"Besta de repetição")</f>
        <v>Besta de repetição</v>
      </c>
      <c r="J8" s="241"/>
      <c r="K8" s="241"/>
      <c r="L8" s="242"/>
      <c r="M8" s="241" t="str">
        <f>IFERROR(__xludf.DUMMYFUNCTION("""COMPUTED_VALUE"""),"Toga do Arquimago")</f>
        <v>Toga do Arquimago</v>
      </c>
      <c r="N8" s="241"/>
      <c r="O8" s="241" t="str">
        <f>IFERROR(__xludf.DUMMYFUNCTION("""COMPUTED_VALUE"""),"Malha da Terra")</f>
        <v>Malha da Terra</v>
      </c>
      <c r="P8" s="241"/>
      <c r="Q8" s="241" t="str">
        <f>IFERROR(__xludf.DUMMYFUNCTION("""COMPUTED_VALUE"""),"Malha da Terra")</f>
        <v>Malha da Terra</v>
      </c>
      <c r="R8" s="241"/>
      <c r="S8" s="241" t="str">
        <f>IFERROR(__xludf.DUMMYFUNCTION("""COMPUTED_VALUE"""),"Malha da Terra")</f>
        <v>Malha da Terra</v>
      </c>
      <c r="T8" s="241"/>
      <c r="U8" s="241" t="str">
        <f>IFERROR(__xludf.DUMMYFUNCTION("""COMPUTED_VALUE"""),"Toga do Arquimago")</f>
        <v>Toga do Arquimago</v>
      </c>
      <c r="V8" s="241"/>
      <c r="W8" s="241"/>
      <c r="X8" s="242"/>
      <c r="Y8" s="241" t="str">
        <f>IFERROR(__xludf.DUMMYFUNCTION("""COMPUTED_VALUE"""),"Diadema Condenado")</f>
        <v>Diadema Condenado</v>
      </c>
      <c r="Z8" s="241"/>
      <c r="AA8" s="241" t="str">
        <f>IFERROR(__xludf.DUMMYFUNCTION("""COMPUTED_VALUE"""),"Coroa de Korra")</f>
        <v>Coroa de Korra</v>
      </c>
      <c r="AB8" s="241"/>
      <c r="AC8" s="241" t="str">
        <f>IFERROR(__xludf.DUMMYFUNCTION("""COMPUTED_VALUE"""),"Coroa de Korra")</f>
        <v>Coroa de Korra</v>
      </c>
      <c r="AD8" s="241"/>
      <c r="AE8" s="241" t="str">
        <f>IFERROR(__xludf.DUMMYFUNCTION("""COMPUTED_VALUE"""),"Coroa de Korra")</f>
        <v>Coroa de Korra</v>
      </c>
      <c r="AF8" s="241"/>
      <c r="AG8" s="241" t="str">
        <f>IFERROR(__xludf.DUMMYFUNCTION("""COMPUTED_VALUE"""),"Diadema Condenado")</f>
        <v>Diadema Condenado</v>
      </c>
      <c r="AH8" s="241"/>
      <c r="AI8" s="241"/>
      <c r="AJ8" s="242"/>
    </row>
    <row r="9" hidden="1">
      <c r="A9" s="241" t="str">
        <f>IFERROR(__xludf.DUMMYFUNCTION("""COMPUTED_VALUE"""),"Arco dos elfos")</f>
        <v>Arco dos elfos</v>
      </c>
      <c r="B9" s="241"/>
      <c r="C9" s="241" t="str">
        <f>IFERROR(__xludf.DUMMYFUNCTION("""COMPUTED_VALUE"""),"Montagem das fadas")</f>
        <v>Montagem das fadas</v>
      </c>
      <c r="D9" s="241"/>
      <c r="E9" s="241" t="str">
        <f>IFERROR(__xludf.DUMMYFUNCTION("""COMPUTED_VALUE"""),"Lâmina do Fogo-gelo")</f>
        <v>Lâmina do Fogo-gelo</v>
      </c>
      <c r="F9" s="241"/>
      <c r="G9" s="241" t="str">
        <f>IFERROR(__xludf.DUMMYFUNCTION("""COMPUTED_VALUE"""),"Montagem das fadas")</f>
        <v>Montagem das fadas</v>
      </c>
      <c r="H9" s="241"/>
      <c r="I9" s="241" t="str">
        <f>IFERROR(__xludf.DUMMYFUNCTION("""COMPUTED_VALUE"""),"Arco dos elfos")</f>
        <v>Arco dos elfos</v>
      </c>
      <c r="J9" s="241"/>
      <c r="K9" s="241"/>
      <c r="L9" s="242"/>
      <c r="M9" s="241" t="str">
        <f>IFERROR(__xludf.DUMMYFUNCTION("""COMPUTED_VALUE"""),"Veste do Dragão ")</f>
        <v>Veste do Dragão </v>
      </c>
      <c r="N9" s="241"/>
      <c r="O9" s="241" t="str">
        <f>IFERROR(__xludf.DUMMYFUNCTION("""COMPUTED_VALUE"""),"Armadura do Oráculo")</f>
        <v>Armadura do Oráculo</v>
      </c>
      <c r="P9" s="241"/>
      <c r="Q9" s="241" t="str">
        <f>IFERROR(__xludf.DUMMYFUNCTION("""COMPUTED_VALUE"""),"Armadura do Oráculo")</f>
        <v>Armadura do Oráculo</v>
      </c>
      <c r="R9" s="241"/>
      <c r="S9" s="241" t="str">
        <f>IFERROR(__xludf.DUMMYFUNCTION("""COMPUTED_VALUE"""),"Armadura do Oráculo")</f>
        <v>Armadura do Oráculo</v>
      </c>
      <c r="T9" s="241"/>
      <c r="U9" s="241" t="str">
        <f>IFERROR(__xludf.DUMMYFUNCTION("""COMPUTED_VALUE"""),"Veste do Dragão ")</f>
        <v>Veste do Dragão </v>
      </c>
      <c r="V9" s="241"/>
      <c r="W9" s="241"/>
      <c r="X9" s="242"/>
      <c r="Y9" s="241" t="str">
        <f>IFERROR(__xludf.DUMMYFUNCTION("""COMPUTED_VALUE"""),"Medley Floral")</f>
        <v>Medley Floral</v>
      </c>
      <c r="Z9" s="241"/>
      <c r="AA9" s="241" t="str">
        <f>IFERROR(__xludf.DUMMYFUNCTION("""COMPUTED_VALUE"""),"Elmo de Adamantium")</f>
        <v>Elmo de Adamantium</v>
      </c>
      <c r="AB9" s="241"/>
      <c r="AC9" s="241" t="str">
        <f>IFERROR(__xludf.DUMMYFUNCTION("""COMPUTED_VALUE"""),"Elmo de Adamantium")</f>
        <v>Elmo de Adamantium</v>
      </c>
      <c r="AD9" s="241"/>
      <c r="AE9" s="241" t="str">
        <f>IFERROR(__xludf.DUMMYFUNCTION("""COMPUTED_VALUE"""),"Elmo de Adamantium")</f>
        <v>Elmo de Adamantium</v>
      </c>
      <c r="AF9" s="241"/>
      <c r="AG9" s="241" t="str">
        <f>IFERROR(__xludf.DUMMYFUNCTION("""COMPUTED_VALUE"""),"Medley Floral")</f>
        <v>Medley Floral</v>
      </c>
      <c r="AH9" s="241"/>
      <c r="AI9" s="241"/>
      <c r="AJ9" s="242"/>
    </row>
    <row r="10" hidden="1">
      <c r="A10" s="241" t="str">
        <f>IFERROR(__xludf.DUMMYFUNCTION("""COMPUTED_VALUE"""),"Arco do deus do sol")</f>
        <v>Arco do deus do sol</v>
      </c>
      <c r="B10" s="241"/>
      <c r="C10" s="241" t="str">
        <f>IFERROR(__xludf.DUMMYFUNCTION("""COMPUTED_VALUE"""),"Guardião das almas")</f>
        <v>Guardião das almas</v>
      </c>
      <c r="D10" s="241"/>
      <c r="E10" s="241" t="str">
        <f>IFERROR(__xludf.DUMMYFUNCTION("""COMPUTED_VALUE"""),"Durindana")</f>
        <v>Durindana</v>
      </c>
      <c r="F10" s="241"/>
      <c r="G10" s="241" t="str">
        <f>IFERROR(__xludf.DUMMYFUNCTION("""COMPUTED_VALUE"""),"Guardião das almas")</f>
        <v>Guardião das almas</v>
      </c>
      <c r="H10" s="241"/>
      <c r="I10" s="241" t="str">
        <f>IFERROR(__xludf.DUMMYFUNCTION("""COMPUTED_VALUE"""),"Arco do deus do sol")</f>
        <v>Arco do deus do sol</v>
      </c>
      <c r="J10" s="241"/>
      <c r="K10" s="241"/>
      <c r="L10" s="242"/>
      <c r="M10" s="241" t="str">
        <f>IFERROR(__xludf.DUMMYFUNCTION("""COMPUTED_VALUE"""),"Dublê de Mago")</f>
        <v>Dublê de Mago</v>
      </c>
      <c r="N10" s="241"/>
      <c r="O10" s="241" t="str">
        <f>IFERROR(__xludf.DUMMYFUNCTION("""COMPUTED_VALUE"""),"Malha negra")</f>
        <v>Malha negra</v>
      </c>
      <c r="P10" s="241"/>
      <c r="Q10" s="241" t="str">
        <f>IFERROR(__xludf.DUMMYFUNCTION("""COMPUTED_VALUE"""),"Malha negra")</f>
        <v>Malha negra</v>
      </c>
      <c r="R10" s="241"/>
      <c r="S10" s="241" t="str">
        <f>IFERROR(__xludf.DUMMYFUNCTION("""COMPUTED_VALUE"""),"Malha negra")</f>
        <v>Malha negra</v>
      </c>
      <c r="T10" s="241"/>
      <c r="U10" s="241" t="str">
        <f>IFERROR(__xludf.DUMMYFUNCTION("""COMPUTED_VALUE"""),"Dublê de Mago")</f>
        <v>Dublê de Mago</v>
      </c>
      <c r="V10" s="241"/>
      <c r="W10" s="241"/>
      <c r="X10" s="242"/>
      <c r="Y10" s="241" t="str">
        <f>IFERROR(__xludf.DUMMYFUNCTION("""COMPUTED_VALUE"""),"Capuz do cultista")</f>
        <v>Capuz do cultista</v>
      </c>
      <c r="Z10" s="241"/>
      <c r="AA10" s="241" t="str">
        <f>IFERROR(__xludf.DUMMYFUNCTION("""COMPUTED_VALUE"""),"Barbuta de Fogo-Gelo")</f>
        <v>Barbuta de Fogo-Gelo</v>
      </c>
      <c r="AB10" s="241"/>
      <c r="AC10" s="241" t="str">
        <f>IFERROR(__xludf.DUMMYFUNCTION("""COMPUTED_VALUE"""),"Barbuta de Fogo-Gelo")</f>
        <v>Barbuta de Fogo-Gelo</v>
      </c>
      <c r="AD10" s="241"/>
      <c r="AE10" s="241" t="str">
        <f>IFERROR(__xludf.DUMMYFUNCTION("""COMPUTED_VALUE"""),"Barbuta de Fogo-Gelo")</f>
        <v>Barbuta de Fogo-Gelo</v>
      </c>
      <c r="AF10" s="241"/>
      <c r="AG10" s="241" t="str">
        <f>IFERROR(__xludf.DUMMYFUNCTION("""COMPUTED_VALUE"""),"Capuz do cultista")</f>
        <v>Capuz do cultista</v>
      </c>
      <c r="AH10" s="241"/>
      <c r="AI10" s="241"/>
      <c r="AJ10" s="242"/>
    </row>
    <row r="11" hidden="1">
      <c r="A11" s="241" t="str">
        <f>IFERROR(__xludf.DUMMYFUNCTION("""COMPUTED_VALUE"""),"Fura-Vento")</f>
        <v>Fura-Vento</v>
      </c>
      <c r="B11" s="241"/>
      <c r="C11" s="241" t="str">
        <f>IFERROR(__xludf.DUMMYFUNCTION("""COMPUTED_VALUE"""),"Varinha estilhaçada")</f>
        <v>Varinha estilhaçada</v>
      </c>
      <c r="D11" s="241"/>
      <c r="E11" s="241" t="str">
        <f>IFERROR(__xludf.DUMMYFUNCTION("""COMPUTED_VALUE"""),"Cyberblade da Internet")</f>
        <v>Cyberblade da Internet</v>
      </c>
      <c r="F11" s="241"/>
      <c r="G11" s="241" t="str">
        <f>IFERROR(__xludf.DUMMYFUNCTION("""COMPUTED_VALUE"""),"Varinha estilhaçada")</f>
        <v>Varinha estilhaçada</v>
      </c>
      <c r="H11" s="241"/>
      <c r="I11" s="241" t="str">
        <f>IFERROR(__xludf.DUMMYFUNCTION("""COMPUTED_VALUE"""),"Fura-Vento")</f>
        <v>Fura-Vento</v>
      </c>
      <c r="J11" s="241"/>
      <c r="K11" s="241"/>
      <c r="L11" s="242"/>
      <c r="M11" s="241" t="str">
        <f>IFERROR(__xludf.DUMMYFUNCTION("""COMPUTED_VALUE"""),"Holy Tunic")</f>
        <v>Holy Tunic</v>
      </c>
      <c r="N11" s="241"/>
      <c r="O11" s="241" t="str">
        <f>IFERROR(__xludf.DUMMYFUNCTION("""COMPUTED_VALUE"""),"Wyvern Plate")</f>
        <v>Wyvern Plate</v>
      </c>
      <c r="P11" s="241"/>
      <c r="Q11" s="241" t="str">
        <f>IFERROR(__xludf.DUMMYFUNCTION("""COMPUTED_VALUE"""),"Wyvern Plate")</f>
        <v>Wyvern Plate</v>
      </c>
      <c r="R11" s="241"/>
      <c r="S11" s="241" t="str">
        <f>IFERROR(__xludf.DUMMYFUNCTION("""COMPUTED_VALUE"""),"Wyvern Plate")</f>
        <v>Wyvern Plate</v>
      </c>
      <c r="T11" s="241"/>
      <c r="U11" s="241" t="str">
        <f>IFERROR(__xludf.DUMMYFUNCTION("""COMPUTED_VALUE"""),"Holy Tunic")</f>
        <v>Holy Tunic</v>
      </c>
      <c r="V11" s="241"/>
      <c r="W11" s="241"/>
      <c r="X11" s="242"/>
      <c r="Y11" s="241" t="str">
        <f>IFERROR(__xludf.DUMMYFUNCTION("""COMPUTED_VALUE"""),"Chapéu Ártico")</f>
        <v>Chapéu Ártico</v>
      </c>
      <c r="Z11" s="241"/>
      <c r="AA11" s="241" t="str">
        <f>IFERROR(__xludf.DUMMYFUNCTION("""COMPUTED_VALUE"""),"Inteligência Artifical")</f>
        <v>Inteligência Artifical</v>
      </c>
      <c r="AB11" s="241"/>
      <c r="AC11" s="241" t="str">
        <f>IFERROR(__xludf.DUMMYFUNCTION("""COMPUTED_VALUE"""),"Inteligência Artifical")</f>
        <v>Inteligência Artifical</v>
      </c>
      <c r="AD11" s="241"/>
      <c r="AE11" s="241" t="str">
        <f>IFERROR(__xludf.DUMMYFUNCTION("""COMPUTED_VALUE"""),"Inteligência Artifical")</f>
        <v>Inteligência Artifical</v>
      </c>
      <c r="AF11" s="241"/>
      <c r="AG11" s="241" t="str">
        <f>IFERROR(__xludf.DUMMYFUNCTION("""COMPUTED_VALUE"""),"Chapéu Ártico")</f>
        <v>Chapéu Ártico</v>
      </c>
      <c r="AH11" s="241"/>
      <c r="AI11" s="241"/>
      <c r="AJ11" s="242"/>
    </row>
    <row r="12" hidden="1">
      <c r="A12" s="241" t="str">
        <f>IFERROR(__xludf.DUMMYFUNCTION("""COMPUTED_VALUE"""),"Assassino licantropo")</f>
        <v>Assassino licantropo</v>
      </c>
      <c r="B12" s="241"/>
      <c r="C12" s="241" t="str">
        <f>IFERROR(__xludf.DUMMYFUNCTION("""COMPUTED_VALUE"""),"Cajado necormante")</f>
        <v>Cajado necormante</v>
      </c>
      <c r="D12" s="241"/>
      <c r="E12" s="241" t="str">
        <f>IFERROR(__xludf.DUMMYFUNCTION("""COMPUTED_VALUE"""),"Skofnung")</f>
        <v>Skofnung</v>
      </c>
      <c r="F12" s="241"/>
      <c r="G12" s="241" t="str">
        <f>IFERROR(__xludf.DUMMYFUNCTION("""COMPUTED_VALUE"""),"Cajado necormante")</f>
        <v>Cajado necormante</v>
      </c>
      <c r="H12" s="241"/>
      <c r="I12" s="241" t="str">
        <f>IFERROR(__xludf.DUMMYFUNCTION("""COMPUTED_VALUE"""),"Assassino licantropo")</f>
        <v>Assassino licantropo</v>
      </c>
      <c r="J12" s="241"/>
      <c r="K12" s="241"/>
      <c r="L12" s="242"/>
      <c r="M12" s="241" t="str">
        <f>IFERROR(__xludf.DUMMYFUNCTION("""COMPUTED_VALUE"""),"Toga da Alvorada")</f>
        <v>Toga da Alvorada</v>
      </c>
      <c r="N12" s="241"/>
      <c r="O12" s="241" t="str">
        <f>IFERROR(__xludf.DUMMYFUNCTION("""COMPUTED_VALUE"""),"Capa do Gelo")</f>
        <v>Capa do Gelo</v>
      </c>
      <c r="P12" s="241"/>
      <c r="Q12" s="241"/>
      <c r="R12" s="241"/>
      <c r="S12" s="241" t="str">
        <f>IFERROR(__xludf.DUMMYFUNCTION("""COMPUTED_VALUE"""),"Capa do Gelo")</f>
        <v>Capa do Gelo</v>
      </c>
      <c r="T12" s="241"/>
      <c r="U12" s="241" t="str">
        <f>IFERROR(__xludf.DUMMYFUNCTION("""COMPUTED_VALUE"""),"Toga da Alvorada")</f>
        <v>Toga da Alvorada</v>
      </c>
      <c r="V12" s="241"/>
      <c r="W12" s="241"/>
      <c r="X12" s="242"/>
      <c r="Y12" s="241" t="str">
        <f>IFERROR(__xludf.DUMMYFUNCTION("""COMPUTED_VALUE"""),"Tiara real")</f>
        <v>Tiara real</v>
      </c>
      <c r="Z12" s="241"/>
      <c r="AA12" s="241" t="str">
        <f>IFERROR(__xludf.DUMMYFUNCTION("""COMPUTED_VALUE"""),"Elmo de Jade")</f>
        <v>Elmo de Jade</v>
      </c>
      <c r="AB12" s="241"/>
      <c r="AC12" s="241" t="str">
        <f>IFERROR(__xludf.DUMMYFUNCTION("""COMPUTED_VALUE"""),"Elmo de Jade")</f>
        <v>Elmo de Jade</v>
      </c>
      <c r="AD12" s="241"/>
      <c r="AE12" s="241" t="str">
        <f>IFERROR(__xludf.DUMMYFUNCTION("""COMPUTED_VALUE"""),"Elmo de Jade")</f>
        <v>Elmo de Jade</v>
      </c>
      <c r="AF12" s="241"/>
      <c r="AG12" s="241" t="str">
        <f>IFERROR(__xludf.DUMMYFUNCTION("""COMPUTED_VALUE"""),"Tiara real")</f>
        <v>Tiara real</v>
      </c>
      <c r="AH12" s="241"/>
      <c r="AI12" s="241"/>
      <c r="AJ12" s="242"/>
    </row>
    <row r="13" hidden="1">
      <c r="A13" s="241" t="str">
        <f>IFERROR(__xludf.DUMMYFUNCTION("""COMPUTED_VALUE"""),"Arco de Artemisa")</f>
        <v>Arco de Artemisa</v>
      </c>
      <c r="B13" s="241"/>
      <c r="C13" s="241" t="str">
        <f>IFERROR(__xludf.DUMMYFUNCTION("""COMPUTED_VALUE"""),"Luna")</f>
        <v>Luna</v>
      </c>
      <c r="D13" s="241"/>
      <c r="E13" s="241" t="str">
        <f>IFERROR(__xludf.DUMMYFUNCTION("""COMPUTED_VALUE"""),"Olhar Sinistro")</f>
        <v>Olhar Sinistro</v>
      </c>
      <c r="F13" s="241"/>
      <c r="G13" s="241" t="str">
        <f>IFERROR(__xludf.DUMMYFUNCTION("""COMPUTED_VALUE"""),"Luna")</f>
        <v>Luna</v>
      </c>
      <c r="H13" s="241"/>
      <c r="I13" s="241" t="str">
        <f>IFERROR(__xludf.DUMMYFUNCTION("""COMPUTED_VALUE"""),"Arco de Artemisa")</f>
        <v>Arco de Artemisa</v>
      </c>
      <c r="J13" s="241"/>
      <c r="K13" s="241"/>
      <c r="L13" s="242"/>
      <c r="M13" s="241" t="str">
        <f>IFERROR(__xludf.DUMMYFUNCTION("""COMPUTED_VALUE"""),"Celtic Coat")</f>
        <v>Celtic Coat</v>
      </c>
      <c r="N13" s="241"/>
      <c r="O13" s="241" t="str">
        <f>IFERROR(__xludf.DUMMYFUNCTION("""COMPUTED_VALUE"""),"Toga do Mago")</f>
        <v>Toga do Mago</v>
      </c>
      <c r="P13" s="241"/>
      <c r="Q13" s="241"/>
      <c r="R13" s="241"/>
      <c r="S13" s="241" t="str">
        <f>IFERROR(__xludf.DUMMYFUNCTION("""COMPUTED_VALUE"""),"Toga do Mago")</f>
        <v>Toga do Mago</v>
      </c>
      <c r="T13" s="241"/>
      <c r="U13" s="241" t="str">
        <f>IFERROR(__xludf.DUMMYFUNCTION("""COMPUTED_VALUE"""),"Celtic Coat")</f>
        <v>Celtic Coat</v>
      </c>
      <c r="V13" s="241"/>
      <c r="W13" s="241"/>
      <c r="X13" s="242"/>
      <c r="Y13" s="241" t="str">
        <f>IFERROR(__xludf.DUMMYFUNCTION("""COMPUTED_VALUE"""),"Coroa do subterrâneo")</f>
        <v>Coroa do subterrâneo</v>
      </c>
      <c r="Z13" s="241"/>
      <c r="AA13" s="241" t="str">
        <f>IFERROR(__xludf.DUMMYFUNCTION("""COMPUTED_VALUE"""),"Viper Headdress")</f>
        <v>Viper Headdress</v>
      </c>
      <c r="AB13" s="241"/>
      <c r="AC13" s="241" t="str">
        <f>IFERROR(__xludf.DUMMYFUNCTION("""COMPUTED_VALUE"""),"Viper Headdress")</f>
        <v>Viper Headdress</v>
      </c>
      <c r="AD13" s="241"/>
      <c r="AE13" s="241" t="str">
        <f>IFERROR(__xludf.DUMMYFUNCTION("""COMPUTED_VALUE"""),"Viper Headdress")</f>
        <v>Viper Headdress</v>
      </c>
      <c r="AF13" s="241"/>
      <c r="AG13" s="241" t="str">
        <f>IFERROR(__xludf.DUMMYFUNCTION("""COMPUTED_VALUE"""),"Coroa do subterrâneo")</f>
        <v>Coroa do subterrâneo</v>
      </c>
      <c r="AH13" s="241"/>
      <c r="AI13" s="241"/>
      <c r="AJ13" s="242"/>
    </row>
    <row r="14" hidden="1">
      <c r="A14" s="241" t="str">
        <f>IFERROR(__xludf.DUMMYFUNCTION("""COMPUTED_VALUE"""),"Meteoros")</f>
        <v>Meteoros</v>
      </c>
      <c r="B14" s="241"/>
      <c r="C14" s="241" t="str">
        <f>IFERROR(__xludf.DUMMYFUNCTION("""COMPUTED_VALUE"""),"Cetro da Pixie")</f>
        <v>Cetro da Pixie</v>
      </c>
      <c r="D14" s="241"/>
      <c r="E14" s="241" t="str">
        <f>IFERROR(__xludf.DUMMYFUNCTION("""COMPUTED_VALUE"""),"Ponta Perseguidora")</f>
        <v>Ponta Perseguidora</v>
      </c>
      <c r="F14" s="241"/>
      <c r="G14" s="241" t="str">
        <f>IFERROR(__xludf.DUMMYFUNCTION("""COMPUTED_VALUE"""),"Cetro da Pixie")</f>
        <v>Cetro da Pixie</v>
      </c>
      <c r="H14" s="241"/>
      <c r="I14" s="241" t="str">
        <f>IFERROR(__xludf.DUMMYFUNCTION("""COMPUTED_VALUE"""),"Meteoros")</f>
        <v>Meteoros</v>
      </c>
      <c r="J14" s="241"/>
      <c r="K14" s="241"/>
      <c r="L14" s="242"/>
      <c r="M14" s="241" t="str">
        <f>IFERROR(__xludf.DUMMYFUNCTION("""COMPUTED_VALUE"""),"Guaxinim Guardião")</f>
        <v>Guaxinim Guardião</v>
      </c>
      <c r="N14" s="241"/>
      <c r="O14" s="241" t="str">
        <f>IFERROR(__xludf.DUMMYFUNCTION("""COMPUTED_VALUE"""),"Poseidon's Toga")</f>
        <v>Poseidon's Toga</v>
      </c>
      <c r="P14" s="241"/>
      <c r="Q14" s="241"/>
      <c r="R14" s="241"/>
      <c r="S14" s="241" t="str">
        <f>IFERROR(__xludf.DUMMYFUNCTION("""COMPUTED_VALUE"""),"Poseidon's Toga")</f>
        <v>Poseidon's Toga</v>
      </c>
      <c r="T14" s="241"/>
      <c r="U14" s="241"/>
      <c r="V14" s="241"/>
      <c r="W14" s="241"/>
      <c r="X14" s="242"/>
      <c r="Y14" s="241" t="str">
        <f>IFERROR(__xludf.DUMMYFUNCTION("""COMPUTED_VALUE"""),"Chapéu Carangueijo")</f>
        <v>Chapéu Carangueijo</v>
      </c>
      <c r="Z14" s="241"/>
      <c r="AA14" s="241" t="str">
        <f>IFERROR(__xludf.DUMMYFUNCTION("""COMPUTED_VALUE"""),"Coroa Serrilhada")</f>
        <v>Coroa Serrilhada</v>
      </c>
      <c r="AB14" s="241"/>
      <c r="AC14" s="241" t="str">
        <f>IFERROR(__xludf.DUMMYFUNCTION("""COMPUTED_VALUE"""),"Coroa Serrilhada")</f>
        <v>Coroa Serrilhada</v>
      </c>
      <c r="AD14" s="241"/>
      <c r="AE14" s="241" t="str">
        <f>IFERROR(__xludf.DUMMYFUNCTION("""COMPUTED_VALUE"""),"Coroa Serrilhada")</f>
        <v>Coroa Serrilhada</v>
      </c>
      <c r="AF14" s="241"/>
      <c r="AG14" s="241" t="str">
        <f>IFERROR(__xludf.DUMMYFUNCTION("""COMPUTED_VALUE"""),"Chapéu Carangueijo")</f>
        <v>Chapéu Carangueijo</v>
      </c>
      <c r="AH14" s="241"/>
      <c r="AI14" s="241"/>
      <c r="AJ14" s="242"/>
    </row>
    <row r="15" hidden="1">
      <c r="A15" s="241" t="str">
        <f>IFERROR(__xludf.DUMMYFUNCTION("""COMPUTED_VALUE"""),"Fúria da Natureza")</f>
        <v>Fúria da Natureza</v>
      </c>
      <c r="B15" s="241"/>
      <c r="C15" s="241" t="str">
        <f>IFERROR(__xludf.DUMMYFUNCTION("""COMPUTED_VALUE"""),"Lâmina de fogo")</f>
        <v>Lâmina de fogo</v>
      </c>
      <c r="D15" s="241"/>
      <c r="E15" s="241" t="str">
        <f>IFERROR(__xludf.DUMMYFUNCTION("""COMPUTED_VALUE"""),"Ponta de Veneno")</f>
        <v>Ponta de Veneno</v>
      </c>
      <c r="F15" s="241"/>
      <c r="G15" s="241" t="str">
        <f>IFERROR(__xludf.DUMMYFUNCTION("""COMPUTED_VALUE"""),"Lâmina de fogo")</f>
        <v>Lâmina de fogo</v>
      </c>
      <c r="H15" s="241"/>
      <c r="I15" s="241" t="str">
        <f>IFERROR(__xludf.DUMMYFUNCTION("""COMPUTED_VALUE"""),"Fúria da Natureza")</f>
        <v>Fúria da Natureza</v>
      </c>
      <c r="J15" s="241"/>
      <c r="K15" s="241"/>
      <c r="L15" s="242"/>
      <c r="M15" s="241" t="str">
        <f>IFERROR(__xludf.DUMMYFUNCTION("""COMPUTED_VALUE"""),"Veste Revestida")</f>
        <v>Veste Revestida</v>
      </c>
      <c r="N15" s="241"/>
      <c r="O15" s="241" t="str">
        <f>IFERROR(__xludf.DUMMYFUNCTION("""COMPUTED_VALUE"""),"Traje de Tempestade")</f>
        <v>Traje de Tempestade</v>
      </c>
      <c r="P15" s="241"/>
      <c r="Q15" s="241"/>
      <c r="R15" s="241"/>
      <c r="S15" s="241" t="str">
        <f>IFERROR(__xludf.DUMMYFUNCTION("""COMPUTED_VALUE"""),"Traje de Tempestade")</f>
        <v>Traje de Tempestade</v>
      </c>
      <c r="T15" s="241"/>
      <c r="U15" s="241"/>
      <c r="V15" s="241"/>
      <c r="W15" s="241"/>
      <c r="X15" s="242"/>
      <c r="Y15" s="241" t="str">
        <f>IFERROR(__xludf.DUMMYFUNCTION("""COMPUTED_VALUE"""),"Capô de Guerra")</f>
        <v>Capô de Guerra</v>
      </c>
      <c r="Z15" s="241"/>
      <c r="AA15" s="241"/>
      <c r="AB15" s="241"/>
      <c r="AC15" s="241"/>
      <c r="AD15" s="241"/>
      <c r="AE15" s="241"/>
      <c r="AF15" s="241"/>
      <c r="AG15" s="241" t="str">
        <f>IFERROR(__xludf.DUMMYFUNCTION("""COMPUTED_VALUE"""),"Capô de Guerra")</f>
        <v>Capô de Guerra</v>
      </c>
      <c r="AH15" s="241"/>
      <c r="AI15" s="241"/>
      <c r="AJ15" s="242"/>
    </row>
    <row r="16" hidden="1">
      <c r="A16" s="241" t="str">
        <f>IFERROR(__xludf.DUMMYFUNCTION("""COMPUTED_VALUE"""),"Lâmina de fogo")</f>
        <v>Lâmina de fogo</v>
      </c>
      <c r="B16" s="241"/>
      <c r="C16" s="241" t="str">
        <f>IFERROR(__xludf.DUMMYFUNCTION("""COMPUTED_VALUE"""),"Espada Vorpal")</f>
        <v>Espada Vorpal</v>
      </c>
      <c r="D16" s="241"/>
      <c r="E16" s="241" t="str">
        <f>IFERROR(__xludf.DUMMYFUNCTION("""COMPUTED_VALUE"""),"Lança Pesca")</f>
        <v>Lança Pesca</v>
      </c>
      <c r="F16" s="241"/>
      <c r="G16" s="241" t="str">
        <f>IFERROR(__xludf.DUMMYFUNCTION("""COMPUTED_VALUE"""),"Espada Vorpal")</f>
        <v>Espada Vorpal</v>
      </c>
      <c r="H16" s="241"/>
      <c r="I16" s="241" t="str">
        <f>IFERROR(__xludf.DUMMYFUNCTION("""COMPUTED_VALUE"""),"Cajado do bispo")</f>
        <v>Cajado do bispo</v>
      </c>
      <c r="J16" s="241"/>
      <c r="K16" s="241"/>
      <c r="L16" s="242"/>
      <c r="M16" s="241" t="str">
        <f>IFERROR(__xludf.DUMMYFUNCTION("""COMPUTED_VALUE"""),"Couro com óleo")</f>
        <v>Couro com óleo</v>
      </c>
      <c r="N16" s="241"/>
      <c r="O16" s="241" t="str">
        <f>IFERROR(__xludf.DUMMYFUNCTION("""COMPUTED_VALUE"""),"Toga do Bruxo ")</f>
        <v>Toga do Bruxo </v>
      </c>
      <c r="P16" s="241"/>
      <c r="Q16" s="241"/>
      <c r="R16" s="241"/>
      <c r="S16" s="241" t="str">
        <f>IFERROR(__xludf.DUMMYFUNCTION("""COMPUTED_VALUE"""),"Toga do Bruxo ")</f>
        <v>Toga do Bruxo </v>
      </c>
      <c r="T16" s="241"/>
      <c r="U16" s="241"/>
      <c r="V16" s="241"/>
      <c r="W16" s="241"/>
      <c r="X16" s="242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2"/>
    </row>
    <row r="17" hidden="1">
      <c r="A17" s="241" t="str">
        <f>IFERROR(__xludf.DUMMYFUNCTION("""COMPUTED_VALUE"""),"Espada Vorpal")</f>
        <v>Espada Vorpal</v>
      </c>
      <c r="B17" s="241"/>
      <c r="C17" s="241" t="str">
        <f>IFERROR(__xludf.DUMMYFUNCTION("""COMPUTED_VALUE"""),"Aço frio")</f>
        <v>Aço frio</v>
      </c>
      <c r="D17" s="241"/>
      <c r="E17" s="241" t="str">
        <f>IFERROR(__xludf.DUMMYFUNCTION("""COMPUTED_VALUE"""),"Garfo de prata")</f>
        <v>Garfo de prata</v>
      </c>
      <c r="F17" s="241"/>
      <c r="G17" s="241" t="str">
        <f>IFERROR(__xludf.DUMMYFUNCTION("""COMPUTED_VALUE"""),"Aço frio")</f>
        <v>Aço frio</v>
      </c>
      <c r="H17" s="241"/>
      <c r="I17" s="241" t="str">
        <f>IFERROR(__xludf.DUMMYFUNCTION("""COMPUTED_VALUE"""),"Begala do faraó")</f>
        <v>Begala do faraó</v>
      </c>
      <c r="J17" s="241"/>
      <c r="K17" s="241"/>
      <c r="L17" s="242"/>
      <c r="M17" s="241" t="str">
        <f>IFERROR(__xludf.DUMMYFUNCTION("""COMPUTED_VALUE"""),"Pele de Serpente")</f>
        <v>Pele de Serpente</v>
      </c>
      <c r="N17" s="241"/>
      <c r="O17" s="241" t="str">
        <f>IFERROR(__xludf.DUMMYFUNCTION("""COMPUTED_VALUE"""),"Life Vest")</f>
        <v>Life Vest</v>
      </c>
      <c r="P17" s="241"/>
      <c r="Q17" s="241"/>
      <c r="R17" s="241"/>
      <c r="S17" s="241" t="str">
        <f>IFERROR(__xludf.DUMMYFUNCTION("""COMPUTED_VALUE"""),"Life Vest")</f>
        <v>Life Vest</v>
      </c>
      <c r="T17" s="241"/>
      <c r="U17" s="241"/>
      <c r="V17" s="241"/>
      <c r="W17" s="241"/>
      <c r="X17" s="242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2"/>
    </row>
    <row r="18" hidden="1">
      <c r="A18" s="241" t="str">
        <f>IFERROR(__xludf.DUMMYFUNCTION("""COMPUTED_VALUE"""),"Aço frio")</f>
        <v>Aço frio</v>
      </c>
      <c r="B18" s="241"/>
      <c r="C18" s="241" t="str">
        <f>IFERROR(__xludf.DUMMYFUNCTION("""COMPUTED_VALUE"""),"Espada de Relíquia")</f>
        <v>Espada de Relíquia</v>
      </c>
      <c r="D18" s="241"/>
      <c r="E18" s="241" t="str">
        <f>IFERROR(__xludf.DUMMYFUNCTION("""COMPUTED_VALUE"""),"Voulgue da Lua")</f>
        <v>Voulgue da Lua</v>
      </c>
      <c r="F18" s="241"/>
      <c r="G18" s="241" t="str">
        <f>IFERROR(__xludf.DUMMYFUNCTION("""COMPUTED_VALUE"""),"Espada de Relíquia")</f>
        <v>Espada de Relíquia</v>
      </c>
      <c r="H18" s="241"/>
      <c r="I18" s="241" t="str">
        <f>IFERROR(__xludf.DUMMYFUNCTION("""COMPUTED_VALUE"""),"Cetro Lunar")</f>
        <v>Cetro Lunar</v>
      </c>
      <c r="J18" s="241"/>
      <c r="K18" s="241"/>
      <c r="L18" s="242"/>
      <c r="M18" s="241" t="str">
        <f>IFERROR(__xludf.DUMMYFUNCTION("""COMPUTED_VALUE"""),"Platemail de Aquiles")</f>
        <v>Platemail de Aquiles</v>
      </c>
      <c r="N18" s="241"/>
      <c r="O18" s="241" t="str">
        <f>IFERROR(__xludf.DUMMYFUNCTION("""COMPUTED_VALUE"""),"Toga Plásmica")</f>
        <v>Toga Plásmica</v>
      </c>
      <c r="P18" s="241"/>
      <c r="Q18" s="241"/>
      <c r="R18" s="241"/>
      <c r="S18" s="241" t="str">
        <f>IFERROR(__xludf.DUMMYFUNCTION("""COMPUTED_VALUE"""),"Toga Plásmica")</f>
        <v>Toga Plásmica</v>
      </c>
      <c r="T18" s="241"/>
      <c r="U18" s="241"/>
      <c r="V18" s="241"/>
      <c r="W18" s="241"/>
      <c r="X18" s="242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2"/>
    </row>
    <row r="19" hidden="1">
      <c r="A19" s="241" t="str">
        <f>IFERROR(__xludf.DUMMYFUNCTION("""COMPUTED_VALUE"""),"Espada de Relíquia")</f>
        <v>Espada de Relíquia</v>
      </c>
      <c r="B19" s="241"/>
      <c r="C19" s="241" t="str">
        <f>IFERROR(__xludf.DUMMYFUNCTION("""COMPUTED_VALUE"""),"Marca Abissal")</f>
        <v>Marca Abissal</v>
      </c>
      <c r="D19" s="241"/>
      <c r="E19" s="241" t="str">
        <f>IFERROR(__xludf.DUMMYFUNCTION("""COMPUTED_VALUE"""),"Espeto da Noite")</f>
        <v>Espeto da Noite</v>
      </c>
      <c r="F19" s="241"/>
      <c r="G19" s="241" t="str">
        <f>IFERROR(__xludf.DUMMYFUNCTION("""COMPUTED_VALUE"""),"Marca Abissal")</f>
        <v>Marca Abissal</v>
      </c>
      <c r="H19" s="241"/>
      <c r="I19" s="241" t="str">
        <f>IFERROR(__xludf.DUMMYFUNCTION("""COMPUTED_VALUE"""),"Líquido apanhador de inseto")</f>
        <v>Líquido apanhador de inseto</v>
      </c>
      <c r="J19" s="241"/>
      <c r="K19" s="241"/>
      <c r="L19" s="242"/>
      <c r="M19" s="241" t="str">
        <f>IFERROR(__xludf.DUMMYFUNCTION("""COMPUTED_VALUE"""),"Revestimento de Couro Pirata")</f>
        <v>Revestimento de Couro Pirata</v>
      </c>
      <c r="N19" s="241"/>
      <c r="O19" s="241" t="str">
        <f>IFERROR(__xludf.DUMMYFUNCTION("""COMPUTED_VALUE"""),"Toga do Arquimago")</f>
        <v>Toga do Arquimago</v>
      </c>
      <c r="P19" s="241"/>
      <c r="Q19" s="241"/>
      <c r="R19" s="241"/>
      <c r="S19" s="241" t="str">
        <f>IFERROR(__xludf.DUMMYFUNCTION("""COMPUTED_VALUE"""),"Toga do Arquimago")</f>
        <v>Toga do Arquimago</v>
      </c>
      <c r="T19" s="241"/>
      <c r="U19" s="241"/>
      <c r="V19" s="241"/>
      <c r="W19" s="241"/>
      <c r="X19" s="242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2"/>
    </row>
    <row r="20" hidden="1">
      <c r="A20" s="241" t="str">
        <f>IFERROR(__xludf.DUMMYFUNCTION("""COMPUTED_VALUE"""),"Marca Abissal")</f>
        <v>Marca Abissal</v>
      </c>
      <c r="B20" s="241"/>
      <c r="C20" s="241" t="str">
        <f>IFERROR(__xludf.DUMMYFUNCTION("""COMPUTED_VALUE"""),"Tempestuosa")</f>
        <v>Tempestuosa</v>
      </c>
      <c r="D20" s="241"/>
      <c r="E20" s="241" t="str">
        <f>IFERROR(__xludf.DUMMYFUNCTION("""COMPUTED_VALUE"""),"Raio Divino")</f>
        <v>Raio Divino</v>
      </c>
      <c r="F20" s="241"/>
      <c r="G20" s="241" t="str">
        <f>IFERROR(__xludf.DUMMYFUNCTION("""COMPUTED_VALUE"""),"Tempestuosa")</f>
        <v>Tempestuosa</v>
      </c>
      <c r="H20" s="241"/>
      <c r="I20" s="241" t="str">
        <f>IFERROR(__xludf.DUMMYFUNCTION("""COMPUTED_VALUE"""),"Cetro Sagrado")</f>
        <v>Cetro Sagrado</v>
      </c>
      <c r="J20" s="241"/>
      <c r="K20" s="241"/>
      <c r="L20" s="242"/>
      <c r="M20" s="241" t="str">
        <f>IFERROR(__xludf.DUMMYFUNCTION("""COMPUTED_VALUE"""),"Shadow Lurker")</f>
        <v>Shadow Lurker</v>
      </c>
      <c r="N20" s="241"/>
      <c r="O20" s="241" t="str">
        <f>IFERROR(__xludf.DUMMYFUNCTION("""COMPUTED_VALUE"""),"Veste do Dragão ")</f>
        <v>Veste do Dragão </v>
      </c>
      <c r="P20" s="241"/>
      <c r="Q20" s="241"/>
      <c r="R20" s="241"/>
      <c r="S20" s="241" t="str">
        <f>IFERROR(__xludf.DUMMYFUNCTION("""COMPUTED_VALUE"""),"Veste do Dragão ")</f>
        <v>Veste do Dragão </v>
      </c>
      <c r="T20" s="241"/>
      <c r="U20" s="241"/>
      <c r="V20" s="241"/>
      <c r="W20" s="241"/>
      <c r="X20" s="242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2"/>
    </row>
    <row r="21" hidden="1">
      <c r="A21" s="241" t="str">
        <f>IFERROR(__xludf.DUMMYFUNCTION("""COMPUTED_VALUE"""),"Tempestuosa")</f>
        <v>Tempestuosa</v>
      </c>
      <c r="B21" s="241"/>
      <c r="C21" s="241" t="str">
        <f>IFERROR(__xludf.DUMMYFUNCTION("""COMPUTED_VALUE"""),"Balmung")</f>
        <v>Balmung</v>
      </c>
      <c r="D21" s="241"/>
      <c r="E21" s="241" t="str">
        <f>IFERROR(__xludf.DUMMYFUNCTION("""COMPUTED_VALUE"""),"Pique Fangtiano")</f>
        <v>Pique Fangtiano</v>
      </c>
      <c r="F21" s="241"/>
      <c r="G21" s="241" t="str">
        <f>IFERROR(__xludf.DUMMYFUNCTION("""COMPUTED_VALUE"""),"Balmung")</f>
        <v>Balmung</v>
      </c>
      <c r="H21" s="241"/>
      <c r="I21" s="241" t="str">
        <f>IFERROR(__xludf.DUMMYFUNCTION("""COMPUTED_VALUE"""),"Varinha Estelar")</f>
        <v>Varinha Estelar</v>
      </c>
      <c r="J21" s="241"/>
      <c r="K21" s="241"/>
      <c r="L21" s="242"/>
      <c r="M21" s="241" t="str">
        <f>IFERROR(__xludf.DUMMYFUNCTION("""COMPUTED_VALUE"""),"Pele de Dragão")</f>
        <v>Pele de Dragão</v>
      </c>
      <c r="N21" s="241"/>
      <c r="O21" s="241" t="str">
        <f>IFERROR(__xludf.DUMMYFUNCTION("""COMPUTED_VALUE"""),"Dublê de Mago")</f>
        <v>Dublê de Mago</v>
      </c>
      <c r="P21" s="241"/>
      <c r="Q21" s="241"/>
      <c r="R21" s="241"/>
      <c r="S21" s="241" t="str">
        <f>IFERROR(__xludf.DUMMYFUNCTION("""COMPUTED_VALUE"""),"Dublê de Mago")</f>
        <v>Dublê de Mago</v>
      </c>
      <c r="T21" s="241"/>
      <c r="U21" s="241"/>
      <c r="V21" s="241"/>
      <c r="W21" s="241"/>
      <c r="X21" s="242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2"/>
    </row>
    <row r="22" hidden="1">
      <c r="A22" s="241" t="str">
        <f>IFERROR(__xludf.DUMMYFUNCTION("""COMPUTED_VALUE"""),"Balmung")</f>
        <v>Balmung</v>
      </c>
      <c r="B22" s="241"/>
      <c r="C22" s="241" t="str">
        <f>IFERROR(__xludf.DUMMYFUNCTION("""COMPUTED_VALUE"""),"Mata-Dragão")</f>
        <v>Mata-Dragão</v>
      </c>
      <c r="D22" s="241"/>
      <c r="E22" s="241" t="str">
        <f>IFERROR(__xludf.DUMMYFUNCTION("""COMPUTED_VALUE"""),"Alabarda de Obsidiana")</f>
        <v>Alabarda de Obsidiana</v>
      </c>
      <c r="F22" s="241"/>
      <c r="G22" s="241" t="str">
        <f>IFERROR(__xludf.DUMMYFUNCTION("""COMPUTED_VALUE"""),"Mata-Dragão")</f>
        <v>Mata-Dragão</v>
      </c>
      <c r="H22" s="241"/>
      <c r="I22" s="241" t="str">
        <f>IFERROR(__xludf.DUMMYFUNCTION("""COMPUTED_VALUE"""),"Varinha Imperial")</f>
        <v>Varinha Imperial</v>
      </c>
      <c r="J22" s="241"/>
      <c r="K22" s="241"/>
      <c r="L22" s="242"/>
      <c r="M22" s="241" t="str">
        <f>IFERROR(__xludf.DUMMYFUNCTION("""COMPUTED_VALUE"""),"Vampire Hunter")</f>
        <v>Vampire Hunter</v>
      </c>
      <c r="N22" s="241"/>
      <c r="O22" s="241" t="str">
        <f>IFERROR(__xludf.DUMMYFUNCTION("""COMPUTED_VALUE"""),"Holy Tunic")</f>
        <v>Holy Tunic</v>
      </c>
      <c r="P22" s="241"/>
      <c r="Q22" s="241"/>
      <c r="R22" s="241"/>
      <c r="S22" s="241" t="str">
        <f>IFERROR(__xludf.DUMMYFUNCTION("""COMPUTED_VALUE"""),"Holy Tunic")</f>
        <v>Holy Tunic</v>
      </c>
      <c r="T22" s="241"/>
      <c r="U22" s="241"/>
      <c r="V22" s="241"/>
      <c r="W22" s="241"/>
      <c r="X22" s="242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2"/>
    </row>
    <row r="23" hidden="1">
      <c r="A23" s="241" t="str">
        <f>IFERROR(__xludf.DUMMYFUNCTION("""COMPUTED_VALUE"""),"Mata-Dragão")</f>
        <v>Mata-Dragão</v>
      </c>
      <c r="B23" s="241"/>
      <c r="C23" s="241" t="str">
        <f>IFERROR(__xludf.DUMMYFUNCTION("""COMPUTED_VALUE"""),"Lâmina do Fogo-gelo")</f>
        <v>Lâmina do Fogo-gelo</v>
      </c>
      <c r="D23" s="241"/>
      <c r="E23" s="241" t="str">
        <f>IFERROR(__xludf.DUMMYFUNCTION("""COMPUTED_VALUE"""),"Tridente Primordial")</f>
        <v>Tridente Primordial</v>
      </c>
      <c r="F23" s="241"/>
      <c r="G23" s="241" t="str">
        <f>IFERROR(__xludf.DUMMYFUNCTION("""COMPUTED_VALUE"""),"Lâmina do Fogo-gelo")</f>
        <v>Lâmina do Fogo-gelo</v>
      </c>
      <c r="H23" s="241"/>
      <c r="I23" s="241" t="str">
        <f>IFERROR(__xludf.DUMMYFUNCTION("""COMPUTED_VALUE"""),"Rei-Sol")</f>
        <v>Rei-Sol</v>
      </c>
      <c r="J23" s="241"/>
      <c r="K23" s="241"/>
      <c r="L23" s="242"/>
      <c r="M23" s="241" t="str">
        <f>IFERROR(__xludf.DUMMYFUNCTION("""COMPUTED_VALUE"""),"Couro do Oceano")</f>
        <v>Couro do Oceano</v>
      </c>
      <c r="N23" s="241"/>
      <c r="O23" s="241" t="str">
        <f>IFERROR(__xludf.DUMMYFUNCTION("""COMPUTED_VALUE"""),"Toga da Alvorada")</f>
        <v>Toga da Alvorada</v>
      </c>
      <c r="P23" s="241"/>
      <c r="Q23" s="241"/>
      <c r="R23" s="241"/>
      <c r="S23" s="241" t="str">
        <f>IFERROR(__xludf.DUMMYFUNCTION("""COMPUTED_VALUE"""),"Toga da Alvorada")</f>
        <v>Toga da Alvorada</v>
      </c>
      <c r="T23" s="241"/>
      <c r="U23" s="241"/>
      <c r="V23" s="241"/>
      <c r="W23" s="241"/>
      <c r="X23" s="242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2"/>
    </row>
    <row r="24" hidden="1">
      <c r="A24" s="241" t="str">
        <f>IFERROR(__xludf.DUMMYFUNCTION("""COMPUTED_VALUE"""),"Lâmina do Fogo-gelo")</f>
        <v>Lâmina do Fogo-gelo</v>
      </c>
      <c r="B24" s="241"/>
      <c r="C24" s="241" t="str">
        <f>IFERROR(__xludf.DUMMYFUNCTION("""COMPUTED_VALUE"""),"Durindana")</f>
        <v>Durindana</v>
      </c>
      <c r="D24" s="241"/>
      <c r="E24" s="241" t="str">
        <f>IFERROR(__xludf.DUMMYFUNCTION("""COMPUTED_VALUE"""),"Gungnir")</f>
        <v>Gungnir</v>
      </c>
      <c r="F24" s="241"/>
      <c r="G24" s="241" t="str">
        <f>IFERROR(__xludf.DUMMYFUNCTION("""COMPUTED_VALUE"""),"Durindana")</f>
        <v>Durindana</v>
      </c>
      <c r="H24" s="241"/>
      <c r="I24" s="241" t="str">
        <f>IFERROR(__xludf.DUMMYFUNCTION("""COMPUTED_VALUE"""),"Montagem das fadas")</f>
        <v>Montagem das fadas</v>
      </c>
      <c r="J24" s="241"/>
      <c r="K24" s="241"/>
      <c r="L24" s="242"/>
      <c r="M24" s="241" t="str">
        <f>IFERROR(__xludf.DUMMYFUNCTION("""COMPUTED_VALUE"""),"Colete Místico")</f>
        <v>Colete Místico</v>
      </c>
      <c r="N24" s="241"/>
      <c r="O24" s="241" t="str">
        <f>IFERROR(__xludf.DUMMYFUNCTION("""COMPUTED_VALUE"""),"Celtic Coat")</f>
        <v>Celtic Coat</v>
      </c>
      <c r="P24" s="241"/>
      <c r="Q24" s="241"/>
      <c r="R24" s="241"/>
      <c r="S24" s="241" t="str">
        <f>IFERROR(__xludf.DUMMYFUNCTION("""COMPUTED_VALUE"""),"Celtic Coat")</f>
        <v>Celtic Coat</v>
      </c>
      <c r="T24" s="241"/>
      <c r="U24" s="241"/>
      <c r="V24" s="241"/>
      <c r="W24" s="241"/>
      <c r="X24" s="242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2"/>
    </row>
    <row r="25" hidden="1">
      <c r="A25" s="241" t="str">
        <f>IFERROR(__xludf.DUMMYFUNCTION("""COMPUTED_VALUE"""),"Durindana")</f>
        <v>Durindana</v>
      </c>
      <c r="B25" s="241"/>
      <c r="C25" s="241" t="str">
        <f>IFERROR(__xludf.DUMMYFUNCTION("""COMPUTED_VALUE"""),"Cyberblade da Internet")</f>
        <v>Cyberblade da Internet</v>
      </c>
      <c r="D25" s="241"/>
      <c r="E25" s="241" t="str">
        <f>IFERROR(__xludf.DUMMYFUNCTION("""COMPUTED_VALUE"""),"Perfurador Abrasador")</f>
        <v>Perfurador Abrasador</v>
      </c>
      <c r="F25" s="241"/>
      <c r="G25" s="241" t="str">
        <f>IFERROR(__xludf.DUMMYFUNCTION("""COMPUTED_VALUE"""),"Cyberblade da Internet")</f>
        <v>Cyberblade da Internet</v>
      </c>
      <c r="H25" s="241"/>
      <c r="I25" s="241" t="str">
        <f>IFERROR(__xludf.DUMMYFUNCTION("""COMPUTED_VALUE"""),"Guardião das almas")</f>
        <v>Guardião das almas</v>
      </c>
      <c r="J25" s="241"/>
      <c r="K25" s="241"/>
      <c r="L25" s="242"/>
      <c r="M25" s="241" t="str">
        <f>IFERROR(__xludf.DUMMYFUNCTION("""COMPUTED_VALUE"""),"Esmeralda Marcha")</f>
        <v>Esmeralda Marcha</v>
      </c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2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2"/>
    </row>
    <row r="26" hidden="1">
      <c r="A26" s="241" t="str">
        <f>IFERROR(__xludf.DUMMYFUNCTION("""COMPUTED_VALUE"""),"Cyberblade da Internet")</f>
        <v>Cyberblade da Internet</v>
      </c>
      <c r="B26" s="241"/>
      <c r="C26" s="241" t="str">
        <f>IFERROR(__xludf.DUMMYFUNCTION("""COMPUTED_VALUE"""),"Skofnung")</f>
        <v>Skofnung</v>
      </c>
      <c r="D26" s="241"/>
      <c r="E26" s="241" t="str">
        <f>IFERROR(__xludf.DUMMYFUNCTION("""COMPUTED_VALUE"""),"Rebelião")</f>
        <v>Rebelião</v>
      </c>
      <c r="F26" s="241"/>
      <c r="G26" s="241" t="str">
        <f>IFERROR(__xludf.DUMMYFUNCTION("""COMPUTED_VALUE"""),"Skofnung")</f>
        <v>Skofnung</v>
      </c>
      <c r="H26" s="241"/>
      <c r="I26" s="241" t="str">
        <f>IFERROR(__xludf.DUMMYFUNCTION("""COMPUTED_VALUE"""),"Varinha estilhaçada")</f>
        <v>Varinha estilhaçada</v>
      </c>
      <c r="J26" s="241"/>
      <c r="K26" s="241"/>
      <c r="L26" s="242"/>
      <c r="M26" s="241" t="str">
        <f>IFERROR(__xludf.DUMMYFUNCTION("""COMPUTED_VALUE"""),"Corvo Negro")</f>
        <v>Corvo Negro</v>
      </c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2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2"/>
    </row>
    <row r="27" hidden="1">
      <c r="A27" s="241" t="str">
        <f>IFERROR(__xludf.DUMMYFUNCTION("""COMPUTED_VALUE"""),"Skofnung")</f>
        <v>Skofnung</v>
      </c>
      <c r="B27" s="241"/>
      <c r="C27" s="241" t="str">
        <f>IFERROR(__xludf.DUMMYFUNCTION("""COMPUTED_VALUE"""),"Olhar Sinistro")</f>
        <v>Olhar Sinistro</v>
      </c>
      <c r="D27" s="241"/>
      <c r="E27" s="241" t="str">
        <f>IFERROR(__xludf.DUMMYFUNCTION("""COMPUTED_VALUE"""),"Scorpion Tail")</f>
        <v>Scorpion Tail</v>
      </c>
      <c r="F27" s="241"/>
      <c r="G27" s="241" t="str">
        <f>IFERROR(__xludf.DUMMYFUNCTION("""COMPUTED_VALUE"""),"Olhar Sinistro")</f>
        <v>Olhar Sinistro</v>
      </c>
      <c r="H27" s="241"/>
      <c r="I27" s="241" t="str">
        <f>IFERROR(__xludf.DUMMYFUNCTION("""COMPUTED_VALUE"""),"Cajado necormante")</f>
        <v>Cajado necormante</v>
      </c>
      <c r="J27" s="241"/>
      <c r="K27" s="241"/>
      <c r="L27" s="242"/>
      <c r="M27" s="241" t="str">
        <f>IFERROR(__xludf.DUMMYFUNCTION("""COMPUTED_VALUE"""),"Couraça Real")</f>
        <v>Couraça Real</v>
      </c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2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2"/>
    </row>
    <row r="28" hidden="1">
      <c r="A28" s="241" t="str">
        <f>IFERROR(__xludf.DUMMYFUNCTION("""COMPUTED_VALUE"""),"Olhar Sinistro")</f>
        <v>Olhar Sinistro</v>
      </c>
      <c r="B28" s="241"/>
      <c r="C28" s="241" t="str">
        <f>IFERROR(__xludf.DUMMYFUNCTION("""COMPUTED_VALUE"""),"Ponta Perseguidora")</f>
        <v>Ponta Perseguidora</v>
      </c>
      <c r="D28" s="241"/>
      <c r="E28" s="241" t="str">
        <f>IFERROR(__xludf.DUMMYFUNCTION("""COMPUTED_VALUE"""),"Tiamat")</f>
        <v>Tiamat</v>
      </c>
      <c r="F28" s="241"/>
      <c r="G28" s="241" t="str">
        <f>IFERROR(__xludf.DUMMYFUNCTION("""COMPUTED_VALUE"""),"Ponta Perseguidora")</f>
        <v>Ponta Perseguidora</v>
      </c>
      <c r="H28" s="241"/>
      <c r="I28" s="241" t="str">
        <f>IFERROR(__xludf.DUMMYFUNCTION("""COMPUTED_VALUE"""),"Luna")</f>
        <v>Luna</v>
      </c>
      <c r="J28" s="241"/>
      <c r="K28" s="241"/>
      <c r="L28" s="242"/>
      <c r="M28" s="241" t="str">
        <f>IFERROR(__xludf.DUMMYFUNCTION("""COMPUTED_VALUE"""),"Invincible Scales")</f>
        <v>Invincible Scales</v>
      </c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2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2"/>
    </row>
    <row r="29" hidden="1">
      <c r="A29" s="241" t="str">
        <f>IFERROR(__xludf.DUMMYFUNCTION("""COMPUTED_VALUE"""),"Adaga Branca")</f>
        <v>Adaga Branca</v>
      </c>
      <c r="B29" s="241"/>
      <c r="C29" s="241" t="str">
        <f>IFERROR(__xludf.DUMMYFUNCTION("""COMPUTED_VALUE"""),"Ponta de Veneno")</f>
        <v>Ponta de Veneno</v>
      </c>
      <c r="D29" s="241"/>
      <c r="E29" s="241" t="str">
        <f>IFERROR(__xludf.DUMMYFUNCTION("""COMPUTED_VALUE"""),"Machado de Berserker")</f>
        <v>Machado de Berserker</v>
      </c>
      <c r="F29" s="241"/>
      <c r="G29" s="241" t="str">
        <f>IFERROR(__xludf.DUMMYFUNCTION("""COMPUTED_VALUE"""),"Ponta de Veneno")</f>
        <v>Ponta de Veneno</v>
      </c>
      <c r="H29" s="241"/>
      <c r="I29" s="241" t="str">
        <f>IFERROR(__xludf.DUMMYFUNCTION("""COMPUTED_VALUE"""),"Cetro da Pixie")</f>
        <v>Cetro da Pixie</v>
      </c>
      <c r="J29" s="241"/>
      <c r="K29" s="241"/>
      <c r="L29" s="242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2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2"/>
    </row>
    <row r="30" hidden="1">
      <c r="A30" s="241" t="str">
        <f>IFERROR(__xludf.DUMMYFUNCTION("""COMPUTED_VALUE"""),"Coração Rubro")</f>
        <v>Coração Rubro</v>
      </c>
      <c r="B30" s="241"/>
      <c r="C30" s="241" t="str">
        <f>IFERROR(__xludf.DUMMYFUNCTION("""COMPUTED_VALUE"""),"Lança Pesca")</f>
        <v>Lança Pesca</v>
      </c>
      <c r="D30" s="241"/>
      <c r="E30" s="241" t="str">
        <f>IFERROR(__xludf.DUMMYFUNCTION("""COMPUTED_VALUE"""),"Presa Afiada")</f>
        <v>Presa Afiada</v>
      </c>
      <c r="F30" s="241"/>
      <c r="G30" s="241" t="str">
        <f>IFERROR(__xludf.DUMMYFUNCTION("""COMPUTED_VALUE"""),"Lança Pesca")</f>
        <v>Lança Pesca</v>
      </c>
      <c r="H30" s="241"/>
      <c r="I30" s="241" t="str">
        <f>IFERROR(__xludf.DUMMYFUNCTION("""COMPUTED_VALUE"""),"Adaga Branca")</f>
        <v>Adaga Branca</v>
      </c>
      <c r="J30" s="241"/>
      <c r="K30" s="241"/>
      <c r="L30" s="242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2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2"/>
    </row>
    <row r="31" hidden="1">
      <c r="A31" s="241" t="str">
        <f>IFERROR(__xludf.DUMMYFUNCTION("""COMPUTED_VALUE"""),"Katar Fantasma")</f>
        <v>Katar Fantasma</v>
      </c>
      <c r="B31" s="241"/>
      <c r="C31" s="241" t="str">
        <f>IFERROR(__xludf.DUMMYFUNCTION("""COMPUTED_VALUE"""),"Garfo de prata")</f>
        <v>Garfo de prata</v>
      </c>
      <c r="D31" s="241"/>
      <c r="E31" s="241" t="str">
        <f>IFERROR(__xludf.DUMMYFUNCTION("""COMPUTED_VALUE"""),"Faz Viúva")</f>
        <v>Faz Viúva</v>
      </c>
      <c r="F31" s="241"/>
      <c r="G31" s="241" t="str">
        <f>IFERROR(__xludf.DUMMYFUNCTION("""COMPUTED_VALUE"""),"Garfo de prata")</f>
        <v>Garfo de prata</v>
      </c>
      <c r="H31" s="241"/>
      <c r="I31" s="241" t="str">
        <f>IFERROR(__xludf.DUMMYFUNCTION("""COMPUTED_VALUE"""),"Coração Rubro")</f>
        <v>Coração Rubro</v>
      </c>
      <c r="J31" s="241"/>
      <c r="K31" s="241"/>
      <c r="L31" s="242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2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2"/>
    </row>
    <row r="32" hidden="1">
      <c r="A32" s="241" t="str">
        <f>IFERROR(__xludf.DUMMYFUNCTION("""COMPUTED_VALUE"""),"Sweet Surprise")</f>
        <v>Sweet Surprise</v>
      </c>
      <c r="B32" s="241"/>
      <c r="C32" s="241" t="str">
        <f>IFERROR(__xludf.DUMMYFUNCTION("""COMPUTED_VALUE"""),"Voulgue da Lua")</f>
        <v>Voulgue da Lua</v>
      </c>
      <c r="D32" s="241"/>
      <c r="E32" s="241" t="str">
        <f>IFERROR(__xludf.DUMMYFUNCTION("""COMPUTED_VALUE"""),"Ira infernal")</f>
        <v>Ira infernal</v>
      </c>
      <c r="F32" s="241"/>
      <c r="G32" s="241" t="str">
        <f>IFERROR(__xludf.DUMMYFUNCTION("""COMPUTED_VALUE"""),"Voulgue da Lua")</f>
        <v>Voulgue da Lua</v>
      </c>
      <c r="H32" s="241"/>
      <c r="I32" s="241" t="str">
        <f>IFERROR(__xludf.DUMMYFUNCTION("""COMPUTED_VALUE"""),"Katar Fantasma")</f>
        <v>Katar Fantasma</v>
      </c>
      <c r="J32" s="241"/>
      <c r="K32" s="241"/>
      <c r="L32" s="242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2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2"/>
    </row>
    <row r="33" hidden="1">
      <c r="A33" s="241" t="str">
        <f>IFERROR(__xludf.DUMMYFUNCTION("""COMPUTED_VALUE"""),"Traidora")</f>
        <v>Traidora</v>
      </c>
      <c r="B33" s="241"/>
      <c r="C33" s="241" t="str">
        <f>IFERROR(__xludf.DUMMYFUNCTION("""COMPUTED_VALUE"""),"Espeto da Noite")</f>
        <v>Espeto da Noite</v>
      </c>
      <c r="D33" s="241"/>
      <c r="E33" s="241" t="str">
        <f>IFERROR(__xludf.DUMMYFUNCTION("""COMPUTED_VALUE"""),"Lâmina do Ragnarok")</f>
        <v>Lâmina do Ragnarok</v>
      </c>
      <c r="F33" s="241"/>
      <c r="G33" s="241" t="str">
        <f>IFERROR(__xludf.DUMMYFUNCTION("""COMPUTED_VALUE"""),"Espeto da Noite")</f>
        <v>Espeto da Noite</v>
      </c>
      <c r="H33" s="241"/>
      <c r="I33" s="241" t="str">
        <f>IFERROR(__xludf.DUMMYFUNCTION("""COMPUTED_VALUE"""),"Sweet Surprise")</f>
        <v>Sweet Surprise</v>
      </c>
      <c r="J33" s="241"/>
      <c r="K33" s="241"/>
      <c r="L33" s="242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2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2"/>
    </row>
    <row r="34" hidden="1">
      <c r="A34" s="241" t="str">
        <f>IFERROR(__xludf.DUMMYFUNCTION("""COMPUTED_VALUE"""),"Sete Estrelas")</f>
        <v>Sete Estrelas</v>
      </c>
      <c r="B34" s="241"/>
      <c r="C34" s="241" t="str">
        <f>IFERROR(__xludf.DUMMYFUNCTION("""COMPUTED_VALUE"""),"Raio Divino")</f>
        <v>Raio Divino</v>
      </c>
      <c r="D34" s="241"/>
      <c r="E34" s="241" t="str">
        <f>IFERROR(__xludf.DUMMYFUNCTION("""COMPUTED_VALUE"""),"Machado Irado")</f>
        <v>Machado Irado</v>
      </c>
      <c r="F34" s="241"/>
      <c r="G34" s="241" t="str">
        <f>IFERROR(__xludf.DUMMYFUNCTION("""COMPUTED_VALUE"""),"Raio Divino")</f>
        <v>Raio Divino</v>
      </c>
      <c r="H34" s="241"/>
      <c r="I34" s="241" t="str">
        <f>IFERROR(__xludf.DUMMYFUNCTION("""COMPUTED_VALUE"""),"Traidora")</f>
        <v>Traidora</v>
      </c>
      <c r="J34" s="241"/>
      <c r="K34" s="241"/>
      <c r="L34" s="242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2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2"/>
    </row>
    <row r="35" hidden="1">
      <c r="A35" s="241" t="str">
        <f>IFERROR(__xludf.DUMMYFUNCTION("""COMPUTED_VALUE"""),"Presa de Dragão")</f>
        <v>Presa de Dragão</v>
      </c>
      <c r="B35" s="241"/>
      <c r="C35" s="241" t="str">
        <f>IFERROR(__xludf.DUMMYFUNCTION("""COMPUTED_VALUE"""),"Pique Fangtiano")</f>
        <v>Pique Fangtiano</v>
      </c>
      <c r="D35" s="241"/>
      <c r="E35" s="241" t="str">
        <f>IFERROR(__xludf.DUMMYFUNCTION("""COMPUTED_VALUE"""),"Machado da Sombra")</f>
        <v>Machado da Sombra</v>
      </c>
      <c r="F35" s="241"/>
      <c r="G35" s="241" t="str">
        <f>IFERROR(__xludf.DUMMYFUNCTION("""COMPUTED_VALUE"""),"Pique Fangtiano")</f>
        <v>Pique Fangtiano</v>
      </c>
      <c r="H35" s="241"/>
      <c r="I35" s="241" t="str">
        <f>IFERROR(__xludf.DUMMYFUNCTION("""COMPUTED_VALUE"""),"Sete Estrelas")</f>
        <v>Sete Estrelas</v>
      </c>
      <c r="J35" s="241"/>
      <c r="K35" s="241"/>
      <c r="L35" s="242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2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2"/>
    </row>
    <row r="36" hidden="1">
      <c r="A36" s="241" t="str">
        <f>IFERROR(__xludf.DUMMYFUNCTION("""COMPUTED_VALUE"""),"Punhal Indiano")</f>
        <v>Punhal Indiano</v>
      </c>
      <c r="B36" s="241"/>
      <c r="C36" s="241" t="str">
        <f>IFERROR(__xludf.DUMMYFUNCTION("""COMPUTED_VALUE"""),"Alabarda de Obsidiana")</f>
        <v>Alabarda de Obsidiana</v>
      </c>
      <c r="D36" s="241"/>
      <c r="E36" s="241" t="str">
        <f>IFERROR(__xludf.DUMMYFUNCTION("""COMPUTED_VALUE"""),"Labrys de Hefesto")</f>
        <v>Labrys de Hefesto</v>
      </c>
      <c r="F36" s="241"/>
      <c r="G36" s="241" t="str">
        <f>IFERROR(__xludf.DUMMYFUNCTION("""COMPUTED_VALUE"""),"Alabarda de Obsidiana")</f>
        <v>Alabarda de Obsidiana</v>
      </c>
      <c r="H36" s="241"/>
      <c r="I36" s="241" t="str">
        <f>IFERROR(__xludf.DUMMYFUNCTION("""COMPUTED_VALUE"""),"Presa de Dragão")</f>
        <v>Presa de Dragão</v>
      </c>
      <c r="J36" s="241"/>
      <c r="K36" s="241"/>
      <c r="L36" s="242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2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2"/>
    </row>
    <row r="37" hidden="1">
      <c r="A37" s="241" t="str">
        <f>IFERROR(__xludf.DUMMYFUNCTION("""COMPUTED_VALUE"""),"Adaga de Obsidiana")</f>
        <v>Adaga de Obsidiana</v>
      </c>
      <c r="B37" s="241"/>
      <c r="C37" s="241" t="str">
        <f>IFERROR(__xludf.DUMMYFUNCTION("""COMPUTED_VALUE"""),"Tridente Primordial")</f>
        <v>Tridente Primordial</v>
      </c>
      <c r="D37" s="241"/>
      <c r="E37" s="241" t="str">
        <f>IFERROR(__xludf.DUMMYFUNCTION("""COMPUTED_VALUE"""),"Forseti's Axe")</f>
        <v>Forseti's Axe</v>
      </c>
      <c r="F37" s="241"/>
      <c r="G37" s="241" t="str">
        <f>IFERROR(__xludf.DUMMYFUNCTION("""COMPUTED_VALUE"""),"Tridente Primordial")</f>
        <v>Tridente Primordial</v>
      </c>
      <c r="H37" s="241"/>
      <c r="I37" s="241" t="str">
        <f>IFERROR(__xludf.DUMMYFUNCTION("""COMPUTED_VALUE"""),"Punhal Indiano")</f>
        <v>Punhal Indiano</v>
      </c>
      <c r="J37" s="241"/>
      <c r="K37" s="241"/>
      <c r="L37" s="242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2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2"/>
    </row>
    <row r="38" hidden="1">
      <c r="A38" s="241" t="str">
        <f>IFERROR(__xludf.DUMMYFUNCTION("""COMPUTED_VALUE"""),"Canivete Afótico")</f>
        <v>Canivete Afótico</v>
      </c>
      <c r="B38" s="241"/>
      <c r="C38" s="241" t="str">
        <f>IFERROR(__xludf.DUMMYFUNCTION("""COMPUTED_VALUE"""),"Gungnir")</f>
        <v>Gungnir</v>
      </c>
      <c r="D38" s="241"/>
      <c r="E38" s="241" t="str">
        <f>IFERROR(__xludf.DUMMYFUNCTION("""COMPUTED_VALUE"""),"Estrela D'alva")</f>
        <v>Estrela D'alva</v>
      </c>
      <c r="F38" s="241"/>
      <c r="G38" s="241" t="str">
        <f>IFERROR(__xludf.DUMMYFUNCTION("""COMPUTED_VALUE"""),"Gungnir")</f>
        <v>Gungnir</v>
      </c>
      <c r="H38" s="241"/>
      <c r="I38" s="241" t="str">
        <f>IFERROR(__xludf.DUMMYFUNCTION("""COMPUTED_VALUE"""),"Adaga de Obsidiana")</f>
        <v>Adaga de Obsidiana</v>
      </c>
      <c r="J38" s="241"/>
      <c r="K38" s="241"/>
      <c r="L38" s="242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2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2"/>
    </row>
    <row r="39" hidden="1">
      <c r="A39" s="241" t="str">
        <f>IFERROR(__xludf.DUMMYFUNCTION("""COMPUTED_VALUE"""),"Adaga Primordial")</f>
        <v>Adaga Primordial</v>
      </c>
      <c r="B39" s="241"/>
      <c r="C39" s="241" t="str">
        <f>IFERROR(__xludf.DUMMYFUNCTION("""COMPUTED_VALUE"""),"Perfurador Abrasador")</f>
        <v>Perfurador Abrasador</v>
      </c>
      <c r="D39" s="241"/>
      <c r="E39" s="241" t="str">
        <f>IFERROR(__xludf.DUMMYFUNCTION("""COMPUTED_VALUE"""),"Tronco de árvore")</f>
        <v>Tronco de árvore</v>
      </c>
      <c r="F39" s="241"/>
      <c r="G39" s="241" t="str">
        <f>IFERROR(__xludf.DUMMYFUNCTION("""COMPUTED_VALUE"""),"Perfurador Abrasador")</f>
        <v>Perfurador Abrasador</v>
      </c>
      <c r="H39" s="241"/>
      <c r="I39" s="241" t="str">
        <f>IFERROR(__xludf.DUMMYFUNCTION("""COMPUTED_VALUE"""),"Canivete Afótico")</f>
        <v>Canivete Afótico</v>
      </c>
      <c r="J39" s="241"/>
      <c r="K39" s="241"/>
      <c r="L39" s="242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2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2"/>
    </row>
    <row r="40" hidden="1">
      <c r="A40" s="241" t="str">
        <f>IFERROR(__xludf.DUMMYFUNCTION("""COMPUTED_VALUE"""),"Mistilteinn")</f>
        <v>Mistilteinn</v>
      </c>
      <c r="B40" s="241"/>
      <c r="C40" s="241" t="str">
        <f>IFERROR(__xludf.DUMMYFUNCTION("""COMPUTED_VALUE"""),"Rebelião")</f>
        <v>Rebelião</v>
      </c>
      <c r="D40" s="241"/>
      <c r="E40" s="241" t="str">
        <f>IFERROR(__xludf.DUMMYFUNCTION("""COMPUTED_VALUE"""),"Martelo-Punho")</f>
        <v>Martelo-Punho</v>
      </c>
      <c r="F40" s="241"/>
      <c r="G40" s="241" t="str">
        <f>IFERROR(__xludf.DUMMYFUNCTION("""COMPUTED_VALUE"""),"Rebelião")</f>
        <v>Rebelião</v>
      </c>
      <c r="H40" s="241"/>
      <c r="I40" s="241" t="str">
        <f>IFERROR(__xludf.DUMMYFUNCTION("""COMPUTED_VALUE"""),"Adaga Primordial")</f>
        <v>Adaga Primordial</v>
      </c>
      <c r="J40" s="241"/>
      <c r="K40" s="241"/>
      <c r="L40" s="242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2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2"/>
    </row>
    <row r="41" hidden="1">
      <c r="A41" s="241" t="str">
        <f>IFERROR(__xludf.DUMMYFUNCTION("""COMPUTED_VALUE"""),"Rifle")</f>
        <v>Rifle</v>
      </c>
      <c r="B41" s="241"/>
      <c r="C41" s="241" t="str">
        <f>IFERROR(__xludf.DUMMYFUNCTION("""COMPUTED_VALUE"""),"Scorpion Tail")</f>
        <v>Scorpion Tail</v>
      </c>
      <c r="D41" s="241"/>
      <c r="E41" s="241" t="str">
        <f>IFERROR(__xludf.DUMMYFUNCTION("""COMPUTED_VALUE"""),"Cetro Real")</f>
        <v>Cetro Real</v>
      </c>
      <c r="F41" s="241"/>
      <c r="G41" s="241" t="str">
        <f>IFERROR(__xludf.DUMMYFUNCTION("""COMPUTED_VALUE"""),"Scorpion Tail")</f>
        <v>Scorpion Tail</v>
      </c>
      <c r="H41" s="241"/>
      <c r="I41" s="241" t="str">
        <f>IFERROR(__xludf.DUMMYFUNCTION("""COMPUTED_VALUE"""),"Mistilteinn")</f>
        <v>Mistilteinn</v>
      </c>
      <c r="J41" s="241"/>
      <c r="K41" s="241"/>
      <c r="L41" s="242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2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</row>
    <row r="42" hidden="1">
      <c r="A42" s="241" t="str">
        <f>IFERROR(__xludf.DUMMYFUNCTION("""COMPUTED_VALUE"""),"Espingarda Negra")</f>
        <v>Espingarda Negra</v>
      </c>
      <c r="B42" s="241"/>
      <c r="C42" s="241" t="str">
        <f>IFERROR(__xludf.DUMMYFUNCTION("""COMPUTED_VALUE"""),"Rifle")</f>
        <v>Rifle</v>
      </c>
      <c r="D42" s="241"/>
      <c r="E42" s="241" t="str">
        <f>IFERROR(__xludf.DUMMYFUNCTION("""COMPUTED_VALUE"""),"Martelo Relíquia")</f>
        <v>Martelo Relíquia</v>
      </c>
      <c r="F42" s="241"/>
      <c r="G42" s="241" t="str">
        <f>IFERROR(__xludf.DUMMYFUNCTION("""COMPUTED_VALUE"""),"Estrela D'alva")</f>
        <v>Estrela D'alva</v>
      </c>
      <c r="H42" s="241"/>
      <c r="I42" s="241"/>
      <c r="J42" s="241"/>
      <c r="K42" s="241"/>
      <c r="L42" s="242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2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2"/>
    </row>
    <row r="43" hidden="1">
      <c r="A43" s="241" t="str">
        <f>IFERROR(__xludf.DUMMYFUNCTION("""COMPUTED_VALUE"""),"Conquistador")</f>
        <v>Conquistador</v>
      </c>
      <c r="B43" s="241"/>
      <c r="C43" s="241" t="str">
        <f>IFERROR(__xludf.DUMMYFUNCTION("""COMPUTED_VALUE"""),"Espingarda Negra")</f>
        <v>Espingarda Negra</v>
      </c>
      <c r="D43" s="241"/>
      <c r="E43" s="241" t="str">
        <f>IFERROR(__xludf.DUMMYFUNCTION("""COMPUTED_VALUE"""),"Apocalipto")</f>
        <v>Apocalipto</v>
      </c>
      <c r="F43" s="241"/>
      <c r="G43" s="241" t="str">
        <f>IFERROR(__xludf.DUMMYFUNCTION("""COMPUTED_VALUE"""),"Tronco de árvore")</f>
        <v>Tronco de árvore</v>
      </c>
      <c r="H43" s="241"/>
      <c r="I43" s="241"/>
      <c r="J43" s="241"/>
      <c r="K43" s="241"/>
      <c r="L43" s="242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2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2"/>
    </row>
    <row r="44" hidden="1">
      <c r="A44" s="241" t="str">
        <f>IFERROR(__xludf.DUMMYFUNCTION("""COMPUTED_VALUE"""),"A Respiração de Dragão")</f>
        <v>A Respiração de Dragão</v>
      </c>
      <c r="B44" s="241"/>
      <c r="C44" s="241" t="str">
        <f>IFERROR(__xludf.DUMMYFUNCTION("""COMPUTED_VALUE"""),"Conquistador")</f>
        <v>Conquistador</v>
      </c>
      <c r="D44" s="241"/>
      <c r="E44" s="241" t="str">
        <f>IFERROR(__xludf.DUMMYFUNCTION("""COMPUTED_VALUE"""),"Estrela Noturna")</f>
        <v>Estrela Noturna</v>
      </c>
      <c r="F44" s="241"/>
      <c r="G44" s="241" t="str">
        <f>IFERROR(__xludf.DUMMYFUNCTION("""COMPUTED_VALUE"""),"Martelo-Punho")</f>
        <v>Martelo-Punho</v>
      </c>
      <c r="H44" s="241"/>
      <c r="I44" s="241"/>
      <c r="J44" s="241"/>
      <c r="K44" s="241"/>
      <c r="L44" s="242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2"/>
    </row>
    <row r="45" hidden="1">
      <c r="A45" s="241" t="str">
        <f>IFERROR(__xludf.DUMMYFUNCTION("""COMPUTED_VALUE"""),"Arcabuz de relíquia")</f>
        <v>Arcabuz de relíquia</v>
      </c>
      <c r="B45" s="241"/>
      <c r="C45" s="241" t="str">
        <f>IFERROR(__xludf.DUMMYFUNCTION("""COMPUTED_VALUE"""),"A Respiração de Dragão")</f>
        <v>A Respiração de Dragão</v>
      </c>
      <c r="D45" s="241"/>
      <c r="E45" s="241" t="str">
        <f>IFERROR(__xludf.DUMMYFUNCTION("""COMPUTED_VALUE"""),"Cem-Toneladas")</f>
        <v>Cem-Toneladas</v>
      </c>
      <c r="F45" s="241"/>
      <c r="G45" s="241" t="str">
        <f>IFERROR(__xludf.DUMMYFUNCTION("""COMPUTED_VALUE"""),"Cetro Real")</f>
        <v>Cetro Real</v>
      </c>
      <c r="H45" s="241"/>
      <c r="I45" s="241"/>
      <c r="J45" s="241"/>
      <c r="K45" s="241"/>
      <c r="L45" s="242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2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2"/>
    </row>
    <row r="46" hidden="1">
      <c r="A46" s="241" t="str">
        <f>IFERROR(__xludf.DUMMYFUNCTION("""COMPUTED_VALUE"""),"Julgamento")</f>
        <v>Julgamento</v>
      </c>
      <c r="B46" s="241"/>
      <c r="C46" s="241" t="str">
        <f>IFERROR(__xludf.DUMMYFUNCTION("""COMPUTED_VALUE"""),"Arcabuz de relíquia")</f>
        <v>Arcabuz de relíquia</v>
      </c>
      <c r="D46" s="241"/>
      <c r="E46" s="241" t="str">
        <f>IFERROR(__xludf.DUMMYFUNCTION("""COMPUTED_VALUE"""),"Esmagador")</f>
        <v>Esmagador</v>
      </c>
      <c r="F46" s="241"/>
      <c r="G46" s="241" t="str">
        <f>IFERROR(__xludf.DUMMYFUNCTION("""COMPUTED_VALUE"""),"Martelo Relíquia")</f>
        <v>Martelo Relíquia</v>
      </c>
      <c r="H46" s="241"/>
      <c r="I46" s="241"/>
      <c r="J46" s="241"/>
      <c r="K46" s="241"/>
      <c r="L46" s="242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2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2"/>
    </row>
    <row r="47" hidden="1">
      <c r="A47" s="241" t="str">
        <f>IFERROR(__xludf.DUMMYFUNCTION("""COMPUTED_VALUE"""),"Lança Bombas")</f>
        <v>Lança Bombas</v>
      </c>
      <c r="B47" s="241"/>
      <c r="C47" s="241" t="str">
        <f>IFERROR(__xludf.DUMMYFUNCTION("""COMPUTED_VALUE"""),"Julgamento")</f>
        <v>Julgamento</v>
      </c>
      <c r="D47" s="241"/>
      <c r="E47" s="241" t="str">
        <f>IFERROR(__xludf.DUMMYFUNCTION("""COMPUTED_VALUE"""),"Amaciador")</f>
        <v>Amaciador</v>
      </c>
      <c r="F47" s="241"/>
      <c r="G47" s="241" t="str">
        <f>IFERROR(__xludf.DUMMYFUNCTION("""COMPUTED_VALUE"""),"Apocalipto")</f>
        <v>Apocalipto</v>
      </c>
      <c r="H47" s="241"/>
      <c r="I47" s="241"/>
      <c r="J47" s="241"/>
      <c r="K47" s="241"/>
      <c r="L47" s="242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2"/>
    </row>
    <row r="48" hidden="1">
      <c r="A48" s="241" t="str">
        <f>IFERROR(__xludf.DUMMYFUNCTION("""COMPUTED_VALUE"""),"Guerra Nórdica")</f>
        <v>Guerra Nórdica</v>
      </c>
      <c r="B48" s="241"/>
      <c r="C48" s="241" t="str">
        <f>IFERROR(__xludf.DUMMYFUNCTION("""COMPUTED_VALUE"""),"Lança Bombas")</f>
        <v>Lança Bombas</v>
      </c>
      <c r="D48" s="241"/>
      <c r="E48" s="241" t="str">
        <f>IFERROR(__xludf.DUMMYFUNCTION("""COMPUTED_VALUE"""),"Rainmakers")</f>
        <v>Rainmakers</v>
      </c>
      <c r="F48" s="241"/>
      <c r="G48" s="241" t="str">
        <f>IFERROR(__xludf.DUMMYFUNCTION("""COMPUTED_VALUE"""),"Estrela Noturna")</f>
        <v>Estrela Noturna</v>
      </c>
      <c r="H48" s="241"/>
      <c r="I48" s="241"/>
      <c r="J48" s="241"/>
      <c r="K48" s="241"/>
      <c r="L48" s="242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2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2"/>
    </row>
    <row r="49" hidden="1">
      <c r="A49" s="241" t="str">
        <f>IFERROR(__xludf.DUMMYFUNCTION("""COMPUTED_VALUE"""),"Pilgrim Blunderbus")</f>
        <v>Pilgrim Blunderbus</v>
      </c>
      <c r="B49" s="241"/>
      <c r="C49" s="241" t="str">
        <f>IFERROR(__xludf.DUMMYFUNCTION("""COMPUTED_VALUE"""),"Guerra Nórdica")</f>
        <v>Guerra Nórdica</v>
      </c>
      <c r="D49" s="241"/>
      <c r="E49" s="241" t="str">
        <f>IFERROR(__xludf.DUMMYFUNCTION("""COMPUTED_VALUE"""),"Shattering Core")</f>
        <v>Shattering Core</v>
      </c>
      <c r="F49" s="241"/>
      <c r="G49" s="241" t="str">
        <f>IFERROR(__xludf.DUMMYFUNCTION("""COMPUTED_VALUE"""),"Cem-Toneladas")</f>
        <v>Cem-Toneladas</v>
      </c>
      <c r="H49" s="241"/>
      <c r="I49" s="241"/>
      <c r="J49" s="241"/>
      <c r="K49" s="241"/>
      <c r="L49" s="242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2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2"/>
    </row>
    <row r="50" hidden="1">
      <c r="A50" s="241" t="str">
        <f>IFERROR(__xludf.DUMMYFUNCTION("""COMPUTED_VALUE"""),"Pistola de Pirata")</f>
        <v>Pistola de Pirata</v>
      </c>
      <c r="B50" s="241"/>
      <c r="C50" s="241" t="str">
        <f>IFERROR(__xludf.DUMMYFUNCTION("""COMPUTED_VALUE"""),"Pilgrim Blunderbus")</f>
        <v>Pilgrim Blunderbus</v>
      </c>
      <c r="D50" s="241"/>
      <c r="E50" s="241" t="str">
        <f>IFERROR(__xludf.DUMMYFUNCTION("""COMPUTED_VALUE"""),"Pharaoh Flail")</f>
        <v>Pharaoh Flail</v>
      </c>
      <c r="F50" s="241"/>
      <c r="G50" s="241" t="str">
        <f>IFERROR(__xludf.DUMMYFUNCTION("""COMPUTED_VALUE"""),"Esmagador")</f>
        <v>Esmagador</v>
      </c>
      <c r="H50" s="241"/>
      <c r="I50" s="241"/>
      <c r="J50" s="241"/>
      <c r="K50" s="241"/>
      <c r="L50" s="242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2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2"/>
    </row>
    <row r="51" hidden="1">
      <c r="A51" s="241" t="str">
        <f>IFERROR(__xludf.DUMMYFUNCTION("""COMPUTED_VALUE"""),"Arma Grandona")</f>
        <v>Arma Grandona</v>
      </c>
      <c r="B51" s="241"/>
      <c r="C51" s="241" t="str">
        <f>IFERROR(__xludf.DUMMYFUNCTION("""COMPUTED_VALUE"""),"Pistola de Pirata")</f>
        <v>Pistola de Pirata</v>
      </c>
      <c r="D51" s="241"/>
      <c r="E51" s="241"/>
      <c r="F51" s="241"/>
      <c r="G51" s="241" t="str">
        <f>IFERROR(__xludf.DUMMYFUNCTION("""COMPUTED_VALUE"""),"Amaciador")</f>
        <v>Amaciador</v>
      </c>
      <c r="H51" s="241"/>
      <c r="I51" s="241"/>
      <c r="J51" s="241"/>
      <c r="K51" s="241"/>
      <c r="L51" s="242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2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2"/>
    </row>
    <row r="52" hidden="1">
      <c r="A52" s="241" t="str">
        <f>IFERROR(__xludf.DUMMYFUNCTION("""COMPUTED_VALUE"""),"Lança Estacas")</f>
        <v>Lança Estacas</v>
      </c>
      <c r="B52" s="241"/>
      <c r="C52" s="241" t="str">
        <f>IFERROR(__xludf.DUMMYFUNCTION("""COMPUTED_VALUE"""),"Arma Grandona")</f>
        <v>Arma Grandona</v>
      </c>
      <c r="D52" s="241"/>
      <c r="E52" s="241"/>
      <c r="F52" s="241"/>
      <c r="G52" s="241" t="str">
        <f>IFERROR(__xludf.DUMMYFUNCTION("""COMPUTED_VALUE"""),"Rainmakers")</f>
        <v>Rainmakers</v>
      </c>
      <c r="H52" s="241"/>
      <c r="I52" s="241"/>
      <c r="J52" s="241"/>
      <c r="K52" s="241"/>
      <c r="L52" s="242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2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2"/>
    </row>
    <row r="53" hidden="1">
      <c r="A53" s="241" t="str">
        <f>IFERROR(__xludf.DUMMYFUNCTION("""COMPUTED_VALUE"""),"Disparo do Demônio")</f>
        <v>Disparo do Demônio</v>
      </c>
      <c r="B53" s="241"/>
      <c r="C53" s="241" t="str">
        <f>IFERROR(__xludf.DUMMYFUNCTION("""COMPUTED_VALUE"""),"Lança Estacas")</f>
        <v>Lança Estacas</v>
      </c>
      <c r="D53" s="241"/>
      <c r="E53" s="241"/>
      <c r="F53" s="241"/>
      <c r="G53" s="241" t="str">
        <f>IFERROR(__xludf.DUMMYFUNCTION("""COMPUTED_VALUE"""),"Shattering Core")</f>
        <v>Shattering Core</v>
      </c>
      <c r="H53" s="241"/>
      <c r="I53" s="241"/>
      <c r="J53" s="241"/>
      <c r="K53" s="241"/>
      <c r="L53" s="242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2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2"/>
    </row>
    <row r="54" hidden="1">
      <c r="A54" s="241" t="str">
        <f>IFERROR(__xludf.DUMMYFUNCTION("""COMPUTED_VALUE"""),"Dragon Fire")</f>
        <v>Dragon Fire</v>
      </c>
      <c r="B54" s="241"/>
      <c r="C54" s="241" t="str">
        <f>IFERROR(__xludf.DUMMYFUNCTION("""COMPUTED_VALUE"""),"Disparo do Demônio")</f>
        <v>Disparo do Demônio</v>
      </c>
      <c r="D54" s="241"/>
      <c r="E54" s="241"/>
      <c r="F54" s="241"/>
      <c r="G54" s="241" t="str">
        <f>IFERROR(__xludf.DUMMYFUNCTION("""COMPUTED_VALUE"""),"Pharaoh Flail")</f>
        <v>Pharaoh Flail</v>
      </c>
      <c r="H54" s="241"/>
      <c r="I54" s="241"/>
      <c r="J54" s="241"/>
      <c r="K54" s="241"/>
      <c r="L54" s="242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2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2"/>
    </row>
    <row r="55" hidden="1">
      <c r="A55" s="241" t="str">
        <f>IFERROR(__xludf.DUMMYFUNCTION("""COMPUTED_VALUE"""),"Arma Pirata")</f>
        <v>Arma Pirata</v>
      </c>
      <c r="B55" s="241"/>
      <c r="C55" s="241" t="str">
        <f>IFERROR(__xludf.DUMMYFUNCTION("""COMPUTED_VALUE"""),"Dragon Fire")</f>
        <v>Dragon Fire</v>
      </c>
      <c r="D55" s="241"/>
      <c r="E55" s="241"/>
      <c r="F55" s="241"/>
      <c r="G55" s="241"/>
      <c r="H55" s="241"/>
      <c r="I55" s="241"/>
      <c r="J55" s="241"/>
      <c r="K55" s="241"/>
      <c r="L55" s="242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2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2"/>
    </row>
    <row r="56" hidden="1">
      <c r="A56" s="241"/>
      <c r="B56" s="241"/>
      <c r="C56" s="241" t="str">
        <f>IFERROR(__xludf.DUMMYFUNCTION("""COMPUTED_VALUE"""),"Arma Pirata")</f>
        <v>Arma Pirata</v>
      </c>
      <c r="D56" s="241"/>
      <c r="E56" s="241"/>
      <c r="F56" s="241"/>
      <c r="G56" s="241"/>
      <c r="H56" s="241"/>
      <c r="I56" s="241"/>
      <c r="J56" s="241"/>
      <c r="K56" s="241"/>
      <c r="L56" s="242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2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2"/>
    </row>
    <row r="57" hidden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2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2"/>
    </row>
    <row r="58" hidden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2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2"/>
    </row>
    <row r="59" hidden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2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2"/>
    </row>
    <row r="60" hidden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2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2"/>
    </row>
    <row r="61" hidden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2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2"/>
    </row>
    <row r="62" hidden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2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2"/>
    </row>
    <row r="63" hidden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2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2"/>
    </row>
    <row r="64" hidden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2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2"/>
    </row>
    <row r="65" hidden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2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2"/>
    </row>
    <row r="66" hidden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2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2"/>
    </row>
    <row r="67" hidden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2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2"/>
    </row>
    <row r="68" hidden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2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2"/>
    </row>
    <row r="69" hidden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2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2"/>
    </row>
    <row r="70" hidden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2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2"/>
    </row>
    <row r="71" hidden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2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2"/>
    </row>
    <row r="72" hidden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2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2"/>
    </row>
    <row r="73" hidden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2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2"/>
    </row>
    <row r="74" hidden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2"/>
    </row>
    <row r="75" hidden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2"/>
    </row>
    <row r="76" hidden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2"/>
    </row>
    <row r="77" hidden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2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2"/>
    </row>
    <row r="78" hidden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2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2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2"/>
    </row>
    <row r="79" hidden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2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2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2"/>
    </row>
    <row r="80" hidden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2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2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2"/>
    </row>
    <row r="81" hidden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2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2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2"/>
    </row>
    <row r="82" hidden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2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2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2"/>
    </row>
    <row r="83" hidden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2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2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2"/>
    </row>
    <row r="84" hidden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2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2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2"/>
    </row>
    <row r="85" hidden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2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2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2"/>
    </row>
    <row r="86" hidden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2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2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2"/>
    </row>
    <row r="87" hidden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2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2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2"/>
    </row>
    <row r="88" hidden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2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2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2"/>
    </row>
    <row r="89" hidden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2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2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2"/>
    </row>
    <row r="90" hidden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2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2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2"/>
    </row>
    <row r="91" hidden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2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2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2"/>
    </row>
    <row r="92" hidden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2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2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2"/>
    </row>
    <row r="93" hidden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2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2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2"/>
    </row>
    <row r="94" hidden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2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2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2"/>
    </row>
    <row r="95" hidden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2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2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2"/>
    </row>
    <row r="96" hidden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2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2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2"/>
    </row>
    <row r="97" hidden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2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2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2"/>
    </row>
    <row r="98" hidden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2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2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2"/>
    </row>
    <row r="99" hidden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2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2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2"/>
    </row>
    <row r="100" hidden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2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2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2"/>
    </row>
    <row r="101" hidden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2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2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2"/>
    </row>
    <row r="102" hidden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2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2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2"/>
    </row>
    <row r="103" hidden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2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2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2"/>
    </row>
    <row r="104" hidden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2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2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2"/>
    </row>
    <row r="105" hidden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2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2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2"/>
    </row>
    <row r="106" hidden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2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2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2"/>
    </row>
    <row r="107" hidden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2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2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2"/>
    </row>
    <row r="108" hidden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2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2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2"/>
    </row>
    <row r="109" hidden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2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2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2"/>
    </row>
    <row r="110" hidden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2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2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2"/>
    </row>
    <row r="111" hidden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2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2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2"/>
    </row>
    <row r="112" hidden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2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2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2"/>
    </row>
    <row r="113" hidden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2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2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2"/>
    </row>
    <row r="114" hidden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2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2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2"/>
    </row>
    <row r="115" hidden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2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2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2"/>
    </row>
    <row r="116" hidden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2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2"/>
    </row>
    <row r="117" hidden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2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2"/>
    </row>
    <row r="118" hidden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2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2"/>
    </row>
    <row r="119" hidden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2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2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2"/>
    </row>
    <row r="120" hidden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2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2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2"/>
    </row>
    <row r="121" hidden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2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2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2"/>
    </row>
    <row r="122" hidden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2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2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2"/>
    </row>
    <row r="123" hidden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2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2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2"/>
    </row>
    <row r="124" hidden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2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2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2"/>
    </row>
    <row r="125" hidden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2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2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2"/>
    </row>
    <row r="126" hidden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2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2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2"/>
    </row>
    <row r="127" hidden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2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2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2"/>
    </row>
    <row r="128" hidden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2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2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2"/>
    </row>
    <row r="129" hidden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2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2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2"/>
    </row>
    <row r="130" hidden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2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2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2"/>
    </row>
    <row r="131" hidden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2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2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2"/>
    </row>
    <row r="132" hidden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2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2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2"/>
    </row>
    <row r="133" hidden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2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2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2"/>
    </row>
    <row r="134" hidden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2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2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2"/>
    </row>
    <row r="135" hidden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2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2"/>
    </row>
    <row r="136" hidden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2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2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2"/>
    </row>
    <row r="137" hidden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2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2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2"/>
    </row>
    <row r="138" hidden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2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2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2"/>
    </row>
    <row r="139" hidden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2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2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2"/>
    </row>
    <row r="140" hidden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2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2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2"/>
    </row>
    <row r="141" hidden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2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2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2"/>
    </row>
    <row r="142" hidden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2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2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2"/>
    </row>
    <row r="143" hidden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2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2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2"/>
    </row>
    <row r="144" hidden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2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2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2"/>
    </row>
    <row r="145" hidden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2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2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</row>
    <row r="146" hidden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2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2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2"/>
    </row>
    <row r="147" hidden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2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2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2"/>
    </row>
    <row r="148" hidden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2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2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2"/>
    </row>
    <row r="149" hidden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2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2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2"/>
    </row>
    <row r="150" hidden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2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2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2"/>
    </row>
    <row r="151" hidden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2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2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2"/>
    </row>
    <row r="152" hidden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2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2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2"/>
    </row>
    <row r="153" hidden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2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2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2"/>
    </row>
    <row r="154" hidden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2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2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2"/>
    </row>
    <row r="155" hidden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2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2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2"/>
    </row>
    <row r="156" hidden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2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2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2"/>
    </row>
    <row r="157" hidden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2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2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2"/>
    </row>
    <row r="158" hidden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2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2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2"/>
    </row>
    <row r="159" hidden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2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2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2"/>
    </row>
    <row r="160" hidden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2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2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2"/>
    </row>
    <row r="161" hidden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2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2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2"/>
    </row>
    <row r="162" hidden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2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2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2"/>
    </row>
    <row r="163" hidden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2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2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2"/>
    </row>
    <row r="164" hidden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2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2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2"/>
    </row>
    <row r="165" hidden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2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2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2"/>
    </row>
    <row r="166" hidden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2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2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2"/>
    </row>
    <row r="167" hidden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2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2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2"/>
    </row>
    <row r="168" hidden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2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2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2"/>
    </row>
    <row r="169" hidden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2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2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2"/>
    </row>
    <row r="170" hidden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2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2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2"/>
    </row>
    <row r="171" hidden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2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2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2"/>
    </row>
    <row r="172" hidden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2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2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2"/>
    </row>
    <row r="173" hidden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2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2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2"/>
    </row>
    <row r="174" hidden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2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2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2"/>
    </row>
    <row r="175" hidden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2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2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2"/>
    </row>
    <row r="176" hidden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2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2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2"/>
    </row>
    <row r="177" hidden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2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2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2"/>
    </row>
    <row r="178" hidden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2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2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2"/>
    </row>
    <row r="179" hidden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2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2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2"/>
    </row>
    <row r="180" hidden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2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2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2"/>
    </row>
    <row r="181" hidden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2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2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2"/>
    </row>
    <row r="182" hidden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2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2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2"/>
    </row>
    <row r="183" hidden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2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2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2"/>
    </row>
    <row r="184" hidden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2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2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2"/>
    </row>
    <row r="185" hidden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2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2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2"/>
    </row>
    <row r="186" hidden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2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2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2"/>
    </row>
    <row r="187" hidden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2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2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2"/>
    </row>
    <row r="188" hidden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2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2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2"/>
    </row>
    <row r="189" hidden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2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2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2"/>
    </row>
    <row r="190" hidden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2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2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2"/>
    </row>
    <row r="191" hidden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2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2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2"/>
    </row>
    <row r="192" hidden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2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2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2"/>
    </row>
    <row r="193" hidden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2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2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2"/>
    </row>
    <row r="194" hidden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2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2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2"/>
    </row>
    <row r="195" hidden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2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2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2"/>
    </row>
    <row r="196" hidden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2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2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2"/>
    </row>
    <row r="197" hidden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2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2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2"/>
    </row>
    <row r="198" hidden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2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2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2"/>
    </row>
    <row r="199" hidden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2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2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2"/>
    </row>
    <row r="200" hidden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2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2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2"/>
    </row>
    <row r="201" hidden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2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2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2"/>
    </row>
    <row r="202" hidden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2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2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2"/>
    </row>
    <row r="203" hidden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2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2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2"/>
    </row>
    <row r="204" hidden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2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2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2"/>
    </row>
    <row r="205" hidden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2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2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2"/>
    </row>
    <row r="206" hidden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2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2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2"/>
    </row>
    <row r="207" hidden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2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2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2"/>
    </row>
    <row r="208" hidden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2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2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2"/>
    </row>
    <row r="209" hidden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2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2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2"/>
    </row>
    <row r="210" hidden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2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2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2"/>
    </row>
    <row r="211" hidden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2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2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2"/>
    </row>
    <row r="212" hidden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2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2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2"/>
    </row>
    <row r="213" hidden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2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2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2"/>
    </row>
    <row r="214" hidden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2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2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2"/>
    </row>
    <row r="215" hidden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2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2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2"/>
    </row>
    <row r="216" hidden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2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2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2"/>
    </row>
    <row r="217" hidden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2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2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2"/>
    </row>
    <row r="218" hidden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2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2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2"/>
    </row>
    <row r="219" hidden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2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2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2"/>
    </row>
    <row r="220" hidden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2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2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2"/>
    </row>
    <row r="221" hidden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2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2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2"/>
    </row>
    <row r="222" hidden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2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2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2"/>
    </row>
    <row r="223" hidden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2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2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2"/>
    </row>
    <row r="224" hidden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2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2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2"/>
    </row>
    <row r="225" hidden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2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2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2"/>
    </row>
    <row r="226" hidden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2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2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2"/>
    </row>
    <row r="227" hidden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2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2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2"/>
    </row>
    <row r="228" hidden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2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2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2"/>
    </row>
    <row r="229" hidden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2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2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2"/>
    </row>
    <row r="230" hidden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2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2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2"/>
    </row>
    <row r="231" hidden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2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2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2"/>
    </row>
    <row r="232" hidden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2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2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2"/>
    </row>
    <row r="233" hidden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2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2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2"/>
    </row>
    <row r="234" hidden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2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2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2"/>
    </row>
    <row r="235" hidden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2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2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2"/>
    </row>
    <row r="236" hidden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2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2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2"/>
    </row>
    <row r="237" hidden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2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2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2"/>
    </row>
    <row r="238" hidden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2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2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2"/>
    </row>
    <row r="239" hidden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2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2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2"/>
    </row>
    <row r="240" hidden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2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2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2"/>
    </row>
    <row r="241" hidden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2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2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2"/>
    </row>
    <row r="242" hidden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2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2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2"/>
    </row>
    <row r="243" hidden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2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2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2"/>
    </row>
    <row r="244" hidden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2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2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2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2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2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2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2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2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2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2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2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2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2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2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2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2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2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2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2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2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2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2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2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2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2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2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2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2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2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2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2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2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2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2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2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2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2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2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2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2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2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2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2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2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2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2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2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2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2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2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2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2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2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2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2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2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2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2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2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2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2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2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2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2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2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2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2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2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2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2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2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2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2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2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2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2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2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2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2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2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2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2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2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2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2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2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2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2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2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2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2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2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2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2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2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2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2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2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2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2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2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2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2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2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2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2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2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2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2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2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2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2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2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2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2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2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2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2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2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2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2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2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2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2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2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2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2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2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2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2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2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2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2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2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2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2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2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2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2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2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2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2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2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2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2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2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2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2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2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2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2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2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2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2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2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2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2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2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2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2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2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2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2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2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2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2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2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2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2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2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2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2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2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2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2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2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2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2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2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2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2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2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2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2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2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2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2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2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2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2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2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2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2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2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2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2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2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2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2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2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2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2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2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2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2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2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2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2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2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2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2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2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2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2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2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2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2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2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2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2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2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2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2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2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2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2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2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2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2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2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2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2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2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2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2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2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2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2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2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2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2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2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2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2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2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2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2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2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2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2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2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2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2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2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2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2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2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2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2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2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2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2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2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2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2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2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2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2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2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2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2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2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2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2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2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2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2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2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2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2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2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2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2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2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2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2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2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2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2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2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2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2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2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2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2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2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2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2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2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2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2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2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2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2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2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2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2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2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2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2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2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2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2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2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2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2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2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2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2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2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2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2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2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2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2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2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2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2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2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2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2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2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2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2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2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2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2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2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2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2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2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2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2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2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2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2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2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2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2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2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2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2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2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2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2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2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2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2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2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2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2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2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2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2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2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2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2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2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2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2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2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2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2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2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2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2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2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2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2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2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2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2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2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2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2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2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2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2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2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2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2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2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2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2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2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2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2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2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2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2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2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2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2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2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2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2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2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2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2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2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2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2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2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2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2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2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2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2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2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2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2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2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2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2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2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2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2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2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2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2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2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2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2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2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2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2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2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2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2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2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2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2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2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2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2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2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2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2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2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2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2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2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2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2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2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2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2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2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2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2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2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2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2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2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2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2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2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2"/>
    </row>
    <row r="401" hidden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2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2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2"/>
    </row>
    <row r="402" hidden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2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2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2"/>
    </row>
    <row r="403" hidden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2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2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2"/>
    </row>
    <row r="404" hidden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2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2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2"/>
    </row>
    <row r="405" hidden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2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2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2"/>
    </row>
    <row r="406" hidden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2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2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2"/>
    </row>
    <row r="407" hidden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2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2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2"/>
    </row>
    <row r="408" hidden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2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2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2"/>
    </row>
    <row r="409" hidden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2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2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2"/>
    </row>
    <row r="410" hidden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2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2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2"/>
    </row>
    <row r="411" hidden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2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2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2"/>
    </row>
    <row r="412" hidden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2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2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2"/>
    </row>
    <row r="413" hidden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2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2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2"/>
    </row>
    <row r="414" hidden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2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2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2"/>
    </row>
    <row r="415" hidden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2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2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2"/>
    </row>
    <row r="416" hidden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2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2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2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2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2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2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2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2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2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2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2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2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2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2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2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2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2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2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2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2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2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2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2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2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2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2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2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2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2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2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2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2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2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2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2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2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2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2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2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2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2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2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2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2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2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2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2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2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2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2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2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2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2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2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2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2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2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2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2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2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2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2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2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2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2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2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2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2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2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2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2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2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2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2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2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2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2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2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2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2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2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2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2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2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2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2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2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2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2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2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2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2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2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2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2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2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2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2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2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2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2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2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2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2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2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2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2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2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2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2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2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2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2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2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2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2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2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2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2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2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2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2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2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2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2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2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2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2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2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2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2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2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2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2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2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2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2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2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2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2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2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2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2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2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2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2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2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2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2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2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2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2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2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2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2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2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2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2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2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2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2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2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2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2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2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2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2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2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2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2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2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2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2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2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2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2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2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2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2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2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2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2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2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2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2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2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2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2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2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2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2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2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2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2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2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2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2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2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2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2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2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2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2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2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2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2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2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2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2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2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2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2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2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2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2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2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2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2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2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2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2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2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2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2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2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2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2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2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2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2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2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2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2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2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2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2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2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2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2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2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2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2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2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2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2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2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2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2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2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2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2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2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2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2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2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2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2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2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2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2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2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2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2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2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2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2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2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2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2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2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2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2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2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2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2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2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2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2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2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2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2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2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2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2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2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2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2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2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2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2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2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2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2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2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2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2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2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2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2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2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2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2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2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2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2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2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2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2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2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2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2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2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2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2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2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2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2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2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2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2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2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2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2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2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2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2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2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2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2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2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2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2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2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2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2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2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2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2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2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2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2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2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2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2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2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2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2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2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2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2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2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2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2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2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2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2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2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2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2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2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2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2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2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2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2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2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2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2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2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2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2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2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2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2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2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2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2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2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2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2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2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2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2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2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2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2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2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2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2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2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2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2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2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2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2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2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2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2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2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2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2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2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2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2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2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2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2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2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2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2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2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2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2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2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2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2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2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2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2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2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2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2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2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2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2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2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2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2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2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2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2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2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2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2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2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2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2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2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2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2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2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2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2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2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2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2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2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2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2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2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2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2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2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2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2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2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2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2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2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2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2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2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2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2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2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2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2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2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2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2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2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2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2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2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2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2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2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2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2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2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2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2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2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2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2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2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2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2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2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2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2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2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2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2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2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2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2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2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2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2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2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2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2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2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2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2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2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2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2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2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2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2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2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2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2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2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2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2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2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2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2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2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2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2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2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2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2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2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2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2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2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2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2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2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2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2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2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2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2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2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  <c r="AA597" s="242"/>
      <c r="AB597" s="242"/>
      <c r="AC597" s="242"/>
      <c r="AD597" s="242"/>
      <c r="AE597" s="242"/>
      <c r="AF597" s="242"/>
      <c r="AG597" s="242"/>
      <c r="AH597" s="242"/>
      <c r="AI597" s="242"/>
      <c r="AJ597" s="242"/>
    </row>
    <row r="598">
      <c r="A598" s="241" t="str">
        <f>IFERROR(__xludf.DUMMYFUNCTION("if('Time 4'!C3 = ""Albert"", query(IMPORTRANGE(cd_planilha, ""Armas!B3:G""), ""Select Col1 Where Col2 = '""&amp;Personagem!$B$10&amp;""' or Col2 = '""&amp;Personagem!$B$11&amp;""'""),     
if('Time 4'!C3 = ""Alicia"", query(IMPORTRANGE(cd_planilha, ""Armas!B3:G""), ""Sel"&amp;"ect Col1 Where Col2 = '""&amp;Personagem!$C$10&amp;""' or Col2 = '""&amp;Personagem!$C$11&amp;""'""),
if('Time 4'!C3 = ""Azula"", query(IMPORTRANGE(cd_planilha, ""Armas!B3:G""), ""Select Col1 Where Col2 = '""&amp;Personagem!$D$10&amp;""' or Col2 = '""&amp;Personagem!$D$11&amp;""' ""),
i"&amp;"f('Time 4'!C3 = ""Charles"", query(IMPORTRANGE(cd_planilha, ""Armas!B3:G""), ""Select Col1 Where Col2 = '""&amp;Personagem!$E$10&amp;""' or Col2 = '""&amp;Personagem!$E$11&amp;""'""),
if('Time 4'!C3 = ""Clovis"", query(IMPORTRANGE(cd_planilha, ""Armas!B3:G""), ""Select C"&amp;"ol1 Where Col2 = '""&amp;Personagem!$F$10&amp;""' or Col2 = '""&amp;Personagem!$F$11&amp;""' ""),
if('Time 4'!C3 = ""Darthos"", query(IMPORTRANGE(cd_planilha, ""Armas!B3:G""), ""Select Col1 Where Col2 = '""&amp;Personagem!$G$10&amp;""' or Col2 = '""&amp;Personagem!$G$11&amp;""'""),
if('"&amp;"Time 4'!C3 = ""Edward"", query(IMPORTRANGE(cd_planilha, ""Armas!B3:G""), ""Select Col1 Where Col2 = '""&amp;Personagem!$H$10&amp;""' or Col2 = '""&amp;Personagem!$H$11&amp;""' ""),
if('Time 4'!C3 = ""Fiora"", query(IMPORTRANGE(cd_planilha, ""Armas!B3:G""), ""Select Col1 "&amp;"Where Col2 = '""&amp;Personagem!$I$10&amp;""' or Col2 = '""&amp;Personagem!$I$11&amp;""' ""),
if('Time 4'!C3 = ""Francesca"", query(IMPORTRANGE(cd_planilha, ""Armas!B3:G""), ""Select Col1 Where Col2 = '""&amp;Personagem!$J$10&amp;""' or Col2 = '""&amp;Personagem!$J$11&amp;""'""),
if('Ti"&amp;"me 4'!C3 = ""Garreth"", query(IMPORTRANGE(cd_planilha, ""Armas!B3:G""), ""Select Col1 Where Col2 = '""&amp;Personagem!$K$10&amp;""' or Col2 = '""&amp;Personagem!$K$11&amp;""'""),
if('Time 4'!C3 = ""Gauvin"", query(IMPORTRANGE(cd_planilha, ""Armas!B3:G""), ""Select Col1 W"&amp;"here Col2 = '""&amp;Personagem!$L$10&amp;""' or Col2 = '""&amp;Personagem!$L$11&amp;""' ""),
if('Time 4'!C3 = ""Irene"", query(IMPORTRANGE(cd_planilha, ""Armas!B3:G""), ""Select Col1 Where Col2 = '""&amp;Personagem!$M$10&amp;""' or Col2 = '""&amp;Personagem!$M$11&amp;""' ""),
if('Time 4"&amp;"'!C3 = ""Karal"", query(IMPORTRANGE(cd_planilha, ""Armas!B3:G""), ""Select Col1 Where Col2 = '""&amp;Personagem!$N$10&amp;""' or Col2 = '""&amp;Personagem!$N$11&amp;""' ""),
if('Time 4'!C3 = ""Kuro Shobi"", query(IMPORTRANGE(cd_planilha, ""Armas!B3:G""), ""Select Col1 Wh"&amp;"ere Col2 = '""&amp;Personagem!$O$10&amp;""' or Col2 = '""&amp;Personagem!$O$11&amp;""'""),
if('Time 4'!C3 = ""Kurul"", query(IMPORTRANGE(cd_planilha, ""Armas!B3:G""), ""Select Col1 Where Col2 = '""&amp;Personagem!$P$10&amp;""' or Col2 = '""&amp;Personagem!$P$11&amp;""' ""),
if('Time 4'!"&amp;"C3 = ""Lancaster"", query(IMPORTRANGE(cd_planilha, ""Armas!B3:G""), ""Select Col1 Where Col2 = '""&amp;Personagem!$Q$10&amp;""' or Col2 = '""&amp;Personagem!$Q$11&amp;""'""),
if('Time 4'!C3 = ""Lorelei"", query(IMPORTRANGE(cd_planilha, ""Armas!B3:G""), ""Select Col1 Wher"&amp;"e Col2 = '""&amp;Personagem!$R$10&amp;""' or Col2 = '""&amp;Personagem!$R$11&amp;""' ""),
if('Time 4'!C3 = ""Louca"", query(IMPORTRANGE(cd_planilha, ""Armas!B3:G""), ""Select Col1 Where Col2 = '""&amp;Personagem!$S$10&amp;""' or Col2 = '""&amp;Personagem!$S$11&amp;""' ""),
if('Time 4'!C"&amp;"3 = ""Melina"", query(IMPORTRANGE(cd_planilha, ""Armas!B3:G""), ""Select Col1 Where Col2 = '""&amp;Personagem!$T$10&amp;""' or Col2 = '""&amp;Personagem!$T$11&amp;""'""),
if('Time 4'!C3 = ""Mila"", query(IMPORTRANGE(cd_planilha, ""Armas!B3:G""), ""Select Col1 Where Col2 "&amp;"= '""&amp;Personagem!$U$10&amp;""' or Col2 = '""&amp;Personagem!$U$11&amp;""' ""),
if('Time 4'!C3 = ""Minh"", query(IMPORTRANGE(cd_planilha, ""Armas!B3:G""), ""Select Col1 Where Col2 = '""&amp;Personagem!$V$10&amp;""' or Col2 = '""&amp;Personagem!$V$11&amp;""' ""),
if('Time 4'!C3 = ""Mo"&amp;"jian"", query(IMPORTRANGE(cd_planilha, ""Armas!B3:G""), ""Select Col1 Where Col2 = '""&amp;Personagem!$W$10&amp;""' or Col2 = '""&amp;Personagem!$W$11&amp;""'""),
if('Time 4'!C3 = ""Nya"", query(IMPORTRANGE(cd_planilha, ""Armas!B3:G""), ""Select Col1 Where Col2 = '""&amp;Per"&amp;"sonagem!$X$10&amp;""' or Col2 = '""&amp;Personagem!$X$11&amp;""' ""),
if('Time 4'!C3 = ""Odette"", query(IMPORTRANGE(cd_planilha, ""Armas!B3:G""), ""Select Col1 Where Col2 = '""&amp;Personagem!$Y$10&amp;""' or Col2 = '""&amp;Personagem!$Y$11&amp;""'""),
if('Time 4'!C3 = ""Oneira"", "&amp;"query(IMPORTRANGE(cd_planilha, ""Armas!B3:G""), ""Select Col1 Where Col2 = '""&amp;Personagem!$Z$10&amp;""' or Col2 = '""&amp;Personagem!$Z$11&amp;""' ""),
if('Time 4'!C3 = ""Palash"", query(IMPORTRANGE(cd_planilha, ""Armas!B3:G""), ""Select Col1 Where Col2 = '""&amp;Persona"&amp;"gem!$AA$10&amp;""' or Col2 = '""&amp;Personagem!$AA$11&amp;""'""),
if('Time 4'!C3 = ""Theor"", query(IMPORTRANGE(cd_planilha, ""Armas!B3:G""), ""Select Col1 Where Col2 = '""&amp;Personagem!$AB$10&amp;""' or Col2 = '""&amp;Personagem!$AB$11&amp;""' ""),
if('Time 4'!C3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B598" s="241"/>
      <c r="C598" s="241" t="str">
        <f>IFERROR(__xludf.DUMMYFUNCTION("if('Time 4'!C4 = ""Albert"", query(IMPORTRANGE(cd_planilha, ""Armas!B3:G""), ""Select Col1 Where Col2 = '""&amp;Personagem!$B$10&amp;""' or Col2 = '""&amp;Personagem!$B$11&amp;""'""),     
if('Time 4'!C4 = ""Alicia"", query(IMPORTRANGE(cd_planilha, ""Armas!B3:G""), ""Sel"&amp;"ect Col1 Where Col2 = '""&amp;Personagem!$C$10&amp;""' or Col2 = '""&amp;Personagem!$C$11&amp;""'""),
if('Time 4'!C4 = ""Azula"", query(IMPORTRANGE(cd_planilha, ""Armas!B3:G""), ""Select Col1 Where Col2 = '""&amp;Personagem!$D$10&amp;""' or Col2 = '""&amp;Personagem!$D$11&amp;""' ""),
i"&amp;"f('Time 4'!C4 = ""Charles"", query(IMPORTRANGE(cd_planilha, ""Armas!B3:G""), ""Select Col1 Where Col2 = '""&amp;Personagem!$E$10&amp;""' or Col2 = '""&amp;Personagem!$E$11&amp;""'""),
if('Time 4'!C4 = ""Clovis"", query(IMPORTRANGE(cd_planilha, ""Armas!B3:G""), ""Select C"&amp;"ol1 Where Col2 = '""&amp;Personagem!$F$10&amp;""' or Col2 = '""&amp;Personagem!$F$11&amp;""' ""),
if('Time 4'!C4 = ""Darthos"", query(IMPORTRANGE(cd_planilha, ""Armas!B3:G""), ""Select Col1 Where Col2 = '""&amp;Personagem!$G$10&amp;""' or Col2 = '""&amp;Personagem!$G$11&amp;""'""),
if('"&amp;"Time 4'!C4 = ""Edward"", query(IMPORTRANGE(cd_planilha, ""Armas!B3:G""), ""Select Col1 Where Col2 = '""&amp;Personagem!$H$10&amp;""' or Col2 = '""&amp;Personagem!$H$11&amp;""' ""),
if('Time 4'!C4 = ""Fiora"", query(IMPORTRANGE(cd_planilha, ""Armas!B3:G""), ""Select Col1 "&amp;"Where Col2 = '""&amp;Personagem!$I$10&amp;""' or Col2 = '""&amp;Personagem!$I$11&amp;""' ""),
if('Time 4'!C4 = ""Francesca"", query(IMPORTRANGE(cd_planilha, ""Armas!B3:G""), ""Select Col1 Where Col2 = '""&amp;Personagem!$J$10&amp;""' or Col2 = '""&amp;Personagem!$J$11&amp;""'""),
if('Ti"&amp;"me 4'!C4 = ""Garreth"", query(IMPORTRANGE(cd_planilha, ""Armas!B3:G""), ""Select Col1 Where Col2 = '""&amp;Personagem!$K$10&amp;""' or Col2 = '""&amp;Personagem!$K$11&amp;""'""),
if('Time 4'!C4 = ""Gauvin"", query(IMPORTRANGE(cd_planilha, ""Armas!B3:G""), ""Select Col1 W"&amp;"here Col2 = '""&amp;Personagem!$L$10&amp;""' or Col2 = '""&amp;Personagem!$L$11&amp;""' ""),
if('Time 4'!C4 = ""Irene"", query(IMPORTRANGE(cd_planilha, ""Armas!B3:G""), ""Select Col1 Where Col2 = '""&amp;Personagem!$M$10&amp;""' or Col2 = '""&amp;Personagem!$M$11&amp;""' ""),
if('Time 4"&amp;"'!C4 = ""Karal"", query(IMPORTRANGE(cd_planilha, ""Armas!B3:G""), ""Select Col1 Where Col2 = '""&amp;Personagem!$N$10&amp;""' or Col2 = '""&amp;Personagem!$N$11&amp;""' ""),
if('Time 4'!C4 = ""Kuro Shobi"", query(IMPORTRANGE(cd_planilha, ""Armas!B3:G""), ""Select Col1 Wh"&amp;"ere Col2 = '""&amp;Personagem!$O$10&amp;""' or Col2 = '""&amp;Personagem!$O$11&amp;""'""),
if('Time 4'!C4 = ""Kurul"", query(IMPORTRANGE(cd_planilha, ""Armas!B3:G""), ""Select Col1 Where Col2 = '""&amp;Personagem!$P$10&amp;""' or Col2 = '""&amp;Personagem!$P$11&amp;""' ""),
if('Time 4'!"&amp;"C4 = ""Lancaster"", query(IMPORTRANGE(cd_planilha, ""Armas!B3:G""), ""Select Col1 Where Col2 = '""&amp;Personagem!$Q$10&amp;""' or Col2 = '""&amp;Personagem!$Q$11&amp;""'""),
if('Time 4'!C4 = ""Lorelei"", query(IMPORTRANGE(cd_planilha, ""Armas!B3:G""), ""Select Col1 Wher"&amp;"e Col2 = '""&amp;Personagem!$R$10&amp;""' or Col2 = '""&amp;Personagem!$R$11&amp;""' ""),
if('Time 4'!C4 = ""Louca"", query(IMPORTRANGE(cd_planilha, ""Armas!B3:G""), ""Select Col1 Where Col2 = '""&amp;Personagem!$S$10&amp;""' or Col2 = '""&amp;Personagem!$S$11&amp;""' ""),
if('Time 4'!C"&amp;"4 = ""Melina"", query(IMPORTRANGE(cd_planilha, ""Armas!B3:G""), ""Select Col1 Where Col2 = '""&amp;Personagem!$T$10&amp;""' or Col2 = '""&amp;Personagem!$T$11&amp;""'""),
if('Time 4'!C4 = ""Mila"", query(IMPORTRANGE(cd_planilha, ""Armas!B3:G""), ""Select Col1 Where Col2 "&amp;"= '""&amp;Personagem!$U$10&amp;""' or Col2 = '""&amp;Personagem!$U$11&amp;""' ""),
if('Time 4'!C4 = ""Minh"", query(IMPORTRANGE(cd_planilha, ""Armas!B3:G""), ""Select Col1 Where Col2 = '""&amp;Personagem!$V$10&amp;""' or Col2 = '""&amp;Personagem!$V$11&amp;""' ""),
if('Time 4'!C4 = ""Mo"&amp;"jian"", query(IMPORTRANGE(cd_planilha, ""Armas!B3:G""), ""Select Col1 Where Col2 = '""&amp;Personagem!$W$10&amp;""' or Col2 = '""&amp;Personagem!$W$11&amp;""'""),
if('Time 4'!C4 = ""Nya"", query(IMPORTRANGE(cd_planilha, ""Armas!B3:G""), ""Select Col1 Where Col2 = '""&amp;Per"&amp;"sonagem!$X$10&amp;""' or Col2 = '""&amp;Personagem!$X$11&amp;""' ""),
if('Time 4'!C4 = ""Odette"", query(IMPORTRANGE(cd_planilha, ""Armas!B3:G""), ""Select Col1 Where Col2 = '""&amp;Personagem!$Y$10&amp;""' or Col2 = '""&amp;Personagem!$Y$11&amp;""'""),
if('Time 4'!C4 = ""Oneira"", "&amp;"query(IMPORTRANGE(cd_planilha, ""Armas!B3:G""), ""Select Col1 Where Col2 = '""&amp;Personagem!$Z$10&amp;""' or Col2 = '""&amp;Personagem!$Z$11&amp;""' ""),
if('Time 4'!C4 = ""Palash"", query(IMPORTRANGE(cd_planilha, ""Armas!B3:G""), ""Select Col1 Where Col2 = '""&amp;Persona"&amp;"gem!$AA$10&amp;""' or Col2 = '""&amp;Personagem!$AA$11&amp;""'""),
if('Time 4'!C4 = ""Theor"", query(IMPORTRANGE(cd_planilha, ""Armas!B3:G""), ""Select Col1 Where Col2 = '""&amp;Personagem!$AB$10&amp;""' or Col2 = '""&amp;Personagem!$AB$11&amp;""' ""),
if('Time 4'!C4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D598" s="241"/>
      <c r="E598" s="241" t="str">
        <f>IFERROR(__xludf.DUMMYFUNCTION("if('Time 4'!C5 = ""Albert"", query(IMPORTRANGE(cd_planilha, ""Armas!B3:G""), ""Select Col1 Where Col2 = '""&amp;Personagem!$B$10&amp;""' or Col2 = '""&amp;Personagem!$B$11&amp;""'""),     
if('Time 4'!C5 = ""Alicia"", query(IMPORTRANGE(cd_planilha, ""Armas!B3:G""), ""Sel"&amp;"ect Col1 Where Col2 = '""&amp;Personagem!$C$10&amp;""' or Col2 = '""&amp;Personagem!$C$11&amp;""'""),
if('Time 4'!C5 = ""Azula"", query(IMPORTRANGE(cd_planilha, ""Armas!B3:G""), ""Select Col1 Where Col2 = '""&amp;Personagem!$D$10&amp;""' or Col2 = '""&amp;Personagem!$D$11&amp;""' ""),
i"&amp;"f('Time 4'!C5 = ""Charles"", query(IMPORTRANGE(cd_planilha, ""Armas!B3:G""), ""Select Col1 Where Col2 = '""&amp;Personagem!$E$10&amp;""' or Col2 = '""&amp;Personagem!$E$11&amp;""'""),
if('Time 4'!C5 = ""Clovis"", query(IMPORTRANGE(cd_planilha, ""Armas!B3:G""), ""Select C"&amp;"ol1 Where Col2 = '""&amp;Personagem!$F$10&amp;""' or Col2 = '""&amp;Personagem!$F$11&amp;""' ""),
if('Time 4'!C5 = ""Darthos"", query(IMPORTRANGE(cd_planilha, ""Armas!B3:G""), ""Select Col1 Where Col2 = '""&amp;Personagem!$G$10&amp;""' or Col2 = '""&amp;Personagem!$G$11&amp;""'""),
if('"&amp;"Time 4'!C5 = ""Edward"", query(IMPORTRANGE(cd_planilha, ""Armas!B3:G""), ""Select Col1 Where Col2 = '""&amp;Personagem!$H$10&amp;""' or Col2 = '""&amp;Personagem!$H$11&amp;""' ""),
if('Time 4'!C5 = ""Fiora"", query(IMPORTRANGE(cd_planilha, ""Armas!B3:G""), ""Select Col1 "&amp;"Where Col2 = '""&amp;Personagem!$I$10&amp;""' or Col2 = '""&amp;Personagem!$I$11&amp;""' ""),
if('Time 4'!C5 = ""Francesca"", query(IMPORTRANGE(cd_planilha, ""Armas!B3:G""), ""Select Col1 Where Col2 = '""&amp;Personagem!$J$10&amp;""' or Col2 = '""&amp;Personagem!$J$11&amp;""'""),
if('Ti"&amp;"me 4'!C5 = ""Garreth"", query(IMPORTRANGE(cd_planilha, ""Armas!B3:G""), ""Select Col1 Where Col2 = '""&amp;Personagem!$K$10&amp;""' or Col2 = '""&amp;Personagem!$K$11&amp;""'""),
if('Time 4'!C5 = ""Gauvin"", query(IMPORTRANGE(cd_planilha, ""Armas!B3:G""), ""Select Col1 W"&amp;"here Col2 = '""&amp;Personagem!$L$10&amp;""' or Col2 = '""&amp;Personagem!$L$11&amp;""' ""),
if('Time 4'!C5 = ""Irene"", query(IMPORTRANGE(cd_planilha, ""Armas!B3:G""), ""Select Col1 Where Col2 = '""&amp;Personagem!$M$10&amp;""' or Col2 = '""&amp;Personagem!$M$11&amp;""' ""),
if('Time 4"&amp;"'!C5 = ""Karal"", query(IMPORTRANGE(cd_planilha, ""Armas!B3:G""), ""Select Col1 Where Col2 = '""&amp;Personagem!$N$10&amp;""' or Col2 = '""&amp;Personagem!$N$11&amp;""' ""),
if('Time 4'!C5 = ""Kuro Shobi"", query(IMPORTRANGE(cd_planilha, ""Armas!B3:G""), ""Select Col1 Wh"&amp;"ere Col2 = '""&amp;Personagem!$O$10&amp;""' or Col2 = '""&amp;Personagem!$O$11&amp;""'""),
if('Time 4'!C5 = ""Kurul"", query(IMPORTRANGE(cd_planilha, ""Armas!B3:G""), ""Select Col1 Where Col2 = '""&amp;Personagem!$P$10&amp;""' or Col2 = '""&amp;Personagem!$P$11&amp;""' ""),
if('Time 4'!"&amp;"C5 = ""Lancaster"", query(IMPORTRANGE(cd_planilha, ""Armas!B3:G""), ""Select Col1 Where Col2 = '""&amp;Personagem!$Q$10&amp;""' or Col2 = '""&amp;Personagem!$Q$11&amp;""'""),
if('Time 4'!C5 = ""Lorelei"", query(IMPORTRANGE(cd_planilha, ""Armas!B3:G""), ""Select Col1 Wher"&amp;"e Col2 = '""&amp;Personagem!$R$10&amp;""' or Col2 = '""&amp;Personagem!$R$11&amp;""' ""),
if('Time 4'!C5 = ""Louca"", query(IMPORTRANGE(cd_planilha, ""Armas!B3:G""), ""Select Col1 Where Col2 = '""&amp;Personagem!$S$10&amp;""' or Col2 = '""&amp;Personagem!$S$11&amp;""' ""),
if('Time 4'!C"&amp;"5 = ""Melina"", query(IMPORTRANGE(cd_planilha, ""Armas!B3:G""), ""Select Col1 Where Col2 = '""&amp;Personagem!$T$10&amp;""' or Col2 = '""&amp;Personagem!$T$11&amp;""'""),
if('Time 4'!C5 = ""Mila"", query(IMPORTRANGE(cd_planilha, ""Armas!B3:G""), ""Select Col1 Where Col2 "&amp;"= '""&amp;Personagem!$U$10&amp;""' or Col2 = '""&amp;Personagem!$U$11&amp;""' ""),
if('Time 4'!C5 = ""Minh"", query(IMPORTRANGE(cd_planilha, ""Armas!B3:G""), ""Select Col1 Where Col2 = '""&amp;Personagem!$V$10&amp;""' or Col2 = '""&amp;Personagem!$V$11&amp;""' ""),
if('Time 4'!C5 = ""Mo"&amp;"jian"", query(IMPORTRANGE(cd_planilha, ""Armas!B3:G""), ""Select Col1 Where Col2 = '""&amp;Personagem!$W$10&amp;""' or Col2 = '""&amp;Personagem!$W$11&amp;""'""),
if('Time 4'!C5 = ""Nya"", query(IMPORTRANGE(cd_planilha, ""Armas!B3:G""), ""Select Col1 Where Col2 = '""&amp;Per"&amp;"sonagem!$X$10&amp;""' or Col2 = '""&amp;Personagem!$X$11&amp;""' ""),
if('Time 4'!C5 = ""Odette"", query(IMPORTRANGE(cd_planilha, ""Armas!B3:G""), ""Select Col1 Where Col2 = '""&amp;Personagem!$Y$10&amp;""' or Col2 = '""&amp;Personagem!$Y$11&amp;""'""),
if('Time 4'!C5 = ""Oneira"", "&amp;"query(IMPORTRANGE(cd_planilha, ""Armas!B3:G""), ""Select Col1 Where Col2 = '""&amp;Personagem!$Z$10&amp;""' or Col2 = '""&amp;Personagem!$Z$11&amp;""' ""),
if('Time 4'!C5 = ""Palash"", query(IMPORTRANGE(cd_planilha, ""Armas!B3:G""), ""Select Col1 Where Col2 = '""&amp;Persona"&amp;"gem!$AA$10&amp;""' or Col2 = '""&amp;Personagem!$AA$11&amp;""'""),
if('Time 4'!C5 = ""Theor"", query(IMPORTRANGE(cd_planilha, ""Armas!B3:G""), ""Select Col1 Where Col2 = '""&amp;Personagem!$AB$10&amp;""' or Col2 = '""&amp;Personagem!$AB$11&amp;""' ""),
if('Time 4'!C5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F598" s="241"/>
      <c r="G598" s="241" t="str">
        <f>IFERROR(__xludf.DUMMYFUNCTION("if('Time 4'!C6 = ""Albert"", query(IMPORTRANGE(cd_planilha, ""Armas!B3:G""), ""Select Col1 Where Col2 = '""&amp;Personagem!$B$10&amp;""' or Col2 = '""&amp;Personagem!$B$11&amp;""'""),     
if('Time 4'!C6 = ""Alicia"", query(IMPORTRANGE(cd_planilha, ""Armas!B3:G""), ""Sel"&amp;"ect Col1 Where Col2 = '""&amp;Personagem!$C$10&amp;""' or Col2 = '""&amp;Personagem!$C$11&amp;""'""),
if('Time 4'!C6 = ""Azula"", query(IMPORTRANGE(cd_planilha, ""Armas!B3:G""), ""Select Col1 Where Col2 = '""&amp;Personagem!$D$10&amp;""' or Col2 = '""&amp;Personagem!$D$11&amp;""' ""),
i"&amp;"f('Time 4'!C6 = ""Charles"", query(IMPORTRANGE(cd_planilha, ""Armas!B3:G""), ""Select Col1 Where Col2 = '""&amp;Personagem!$E$10&amp;""' or Col2 = '""&amp;Personagem!$E$11&amp;""'""),
if('Time 4'!C6 = ""Clovis"", query(IMPORTRANGE(cd_planilha, ""Armas!B3:G""), ""Select C"&amp;"ol1 Where Col2 = '""&amp;Personagem!$F$10&amp;""' or Col2 = '""&amp;Personagem!$F$11&amp;""' ""),
if('Time 4'!C6 = ""Darthos"", query(IMPORTRANGE(cd_planilha, ""Armas!B3:G""), ""Select Col1 Where Col2 = '""&amp;Personagem!$G$10&amp;""' or Col2 = '""&amp;Personagem!$G$11&amp;""'""),
if('"&amp;"Time 4'!C6 = ""Edward"", query(IMPORTRANGE(cd_planilha, ""Armas!B3:G""), ""Select Col1 Where Col2 = '""&amp;Personagem!$H$10&amp;""' or Col2 = '""&amp;Personagem!$H$11&amp;""' ""),
if('Time 4'!C6 = ""Fiora"", query(IMPORTRANGE(cd_planilha, ""Armas!B3:G""), ""Select Col1 "&amp;"Where Col2 = '""&amp;Personagem!$I$10&amp;""' or Col2 = '""&amp;Personagem!$I$11&amp;""' ""),
if('Time 4'!C6 = ""Francesca"", query(IMPORTRANGE(cd_planilha, ""Armas!B3:G""), ""Select Col1 Where Col2 = '""&amp;Personagem!$J$10&amp;""' or Col2 = '""&amp;Personagem!$J$11&amp;""'""),
if('Ti"&amp;"me 4'!C6 = ""Garreth"", query(IMPORTRANGE(cd_planilha, ""Armas!B3:G""), ""Select Col1 Where Col2 = '""&amp;Personagem!$K$10&amp;""' or Col2 = '""&amp;Personagem!$K$11&amp;""'""),
if('Time 4'!C6 = ""Gauvin"", query(IMPORTRANGE(cd_planilha, ""Armas!B3:G""), ""Select Col1 W"&amp;"here Col2 = '""&amp;Personagem!$L$10&amp;""' or Col2 = '""&amp;Personagem!$L$11&amp;""' ""),
if('Time 4'!C6 = ""Irene"", query(IMPORTRANGE(cd_planilha, ""Armas!B3:G""), ""Select Col1 Where Col2 = '""&amp;Personagem!$M$10&amp;""' or Col2 = '""&amp;Personagem!$M$11&amp;""' ""),
if('Time 4"&amp;"'!C6 = ""Karal"", query(IMPORTRANGE(cd_planilha, ""Armas!B3:G""), ""Select Col1 Where Col2 = '""&amp;Personagem!$N$10&amp;""' or Col2 = '""&amp;Personagem!$N$11&amp;""' ""),
if('Time 4'!C6 = ""Kuro Shobi"", query(IMPORTRANGE(cd_planilha, ""Armas!B3:G""), ""Select Col1 Wh"&amp;"ere Col2 = '""&amp;Personagem!$O$10&amp;""' or Col2 = '""&amp;Personagem!$O$11&amp;""'""),
if('Time 4'!C6 = ""Kurul"", query(IMPORTRANGE(cd_planilha, ""Armas!B3:G""), ""Select Col1 Where Col2 = '""&amp;Personagem!$P$10&amp;""' or Col2 = '""&amp;Personagem!$P$11&amp;""' ""),
if('Time 4'!"&amp;"C6 = ""Lancaster"", query(IMPORTRANGE(cd_planilha, ""Armas!B3:G""), ""Select Col1 Where Col2 = '""&amp;Personagem!$Q$10&amp;""' or Col2 = '""&amp;Personagem!$Q$11&amp;""'""),
if('Time 4'!C6 = ""Lorelei"", query(IMPORTRANGE(cd_planilha, ""Armas!B3:G""), ""Select Col1 Wher"&amp;"e Col2 = '""&amp;Personagem!$R$10&amp;""' or Col2 = '""&amp;Personagem!$R$11&amp;""' ""),
if('Time 4'!C6 = ""Louca"", query(IMPORTRANGE(cd_planilha, ""Armas!B3:G""), ""Select Col1 Where Col2 = '""&amp;Personagem!$S$10&amp;""' or Col2 = '""&amp;Personagem!$S$11&amp;""' ""),
if('Time 4'!C"&amp;"6 = ""Melina"", query(IMPORTRANGE(cd_planilha, ""Armas!B3:G""), ""Select Col1 Where Col2 = '""&amp;Personagem!$T$10&amp;""' or Col2 = '""&amp;Personagem!$T$11&amp;""'""),
if('Time 4'!C6 = ""Mila"", query(IMPORTRANGE(cd_planilha, ""Armas!B3:G""), ""Select Col1 Where Col2 "&amp;"= '""&amp;Personagem!$U$10&amp;""' or Col2 = '""&amp;Personagem!$U$11&amp;""' ""),
if('Time 4'!C6 = ""Minh"", query(IMPORTRANGE(cd_planilha, ""Armas!B3:G""), ""Select Col1 Where Col2 = '""&amp;Personagem!$V$10&amp;""' or Col2 = '""&amp;Personagem!$V$11&amp;""' ""),
if('Time 4'!C6 = ""Mo"&amp;"jian"", query(IMPORTRANGE(cd_planilha, ""Armas!B3:G""), ""Select Col1 Where Col2 = '""&amp;Personagem!$W$10&amp;""' or Col2 = '""&amp;Personagem!$W$11&amp;""'""),
if('Time 4'!C6 = ""Nya"", query(IMPORTRANGE(cd_planilha, ""Armas!B3:G""), ""Select Col1 Where Col2 = '""&amp;Per"&amp;"sonagem!$X$10&amp;""' or Col2 = '""&amp;Personagem!$X$11&amp;""' ""),
if('Time 4'!C6 = ""Odette"", query(IMPORTRANGE(cd_planilha, ""Armas!B3:G""), ""Select Col1 Where Col2 = '""&amp;Personagem!$Y$10&amp;""' or Col2 = '""&amp;Personagem!$Y$11&amp;""'""),
if('Time 4'!C6 = ""Oneira"", "&amp;"query(IMPORTRANGE(cd_planilha, ""Armas!B3:G""), ""Select Col1 Where Col2 = '""&amp;Personagem!$Z$10&amp;""' or Col2 = '""&amp;Personagem!$Z$11&amp;""' ""),
if('Time 4'!C6 = ""Palash"", query(IMPORTRANGE(cd_planilha, ""Armas!B3:G""), ""Select Col1 Where Col2 = '""&amp;Persona"&amp;"gem!$AA$10&amp;""' or Col2 = '""&amp;Personagem!$AA$11&amp;""'""),
if('Time 4'!C6 = ""Theor"", query(IMPORTRANGE(cd_planilha, ""Armas!B3:G""), ""Select Col1 Where Col2 = '""&amp;Personagem!$AB$10&amp;""' or Col2 = '""&amp;Personagem!$AB$11&amp;""' ""),
if('Time 4'!C6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H598" s="241"/>
      <c r="I598" s="241" t="str">
        <f>IFERROR(__xludf.DUMMYFUNCTION("if('Time 4'!C7 = ""Albert"", query(IMPORTRANGE(cd_planilha, ""Armas!B3:G""), ""Select Col1 Where Col2 = '""&amp;Personagem!$B$10&amp;""' or Col2 = '""&amp;Personagem!$B$11&amp;""'""),     
if('Time 4'!C7 = ""Alicia"", query(IMPORTRANGE(cd_planilha, ""Armas!B3:G""), ""Sel"&amp;"ect Col1 Where Col2 = '""&amp;Personagem!$C$10&amp;""' or Col2 = '""&amp;Personagem!$C$11&amp;""'""),
if('Time 4'!C7 = ""Azula"", query(IMPORTRANGE(cd_planilha, ""Armas!B3:G""), ""Select Col1 Where Col2 = '""&amp;Personagem!$D$10&amp;""' or Col2 = '""&amp;Personagem!$D$11&amp;""' ""),
i"&amp;"f('Time 4'!C7 = ""Charles"", query(IMPORTRANGE(cd_planilha, ""Armas!B3:G""), ""Select Col1 Where Col2 = '""&amp;Personagem!$E$10&amp;""' or Col2 = '""&amp;Personagem!$E$11&amp;""'""),
if('Time 4'!C7 = ""Clovis"", query(IMPORTRANGE(cd_planilha, ""Armas!B3:G""), ""Select C"&amp;"ol1 Where Col2 = '""&amp;Personagem!$F$10&amp;""' or Col2 = '""&amp;Personagem!$F$11&amp;""' ""),
if('Time 4'!C7 = ""Darthos"", query(IMPORTRANGE(cd_planilha, ""Armas!B3:G""), ""Select Col1 Where Col2 = '""&amp;Personagem!$G$10&amp;""' or Col2 = '""&amp;Personagem!$G$11&amp;""'""),
if('"&amp;"Time 4'!C7 = ""Edward"", query(IMPORTRANGE(cd_planilha, ""Armas!B3:G""), ""Select Col1 Where Col2 = '""&amp;Personagem!$H$10&amp;""' or Col2 = '""&amp;Personagem!$H$11&amp;""' ""),
if('Time 4'!C7 = ""Fiora"", query(IMPORTRANGE(cd_planilha, ""Armas!B3:G""), ""Select Col1 "&amp;"Where Col2 = '""&amp;Personagem!$I$10&amp;""' or Col2 = '""&amp;Personagem!$I$11&amp;""' ""),
if('Time 4'!C7 = ""Francesca"", query(IMPORTRANGE(cd_planilha, ""Armas!B3:G""), ""Select Col1 Where Col2 = '""&amp;Personagem!$J$10&amp;""' or Col2 = '""&amp;Personagem!$J$11&amp;""'""),
if('Ti"&amp;"me 4'!C7 = ""Garreth"", query(IMPORTRANGE(cd_planilha, ""Armas!B3:G""), ""Select Col1 Where Col2 = '""&amp;Personagem!$K$10&amp;""' or Col2 = '""&amp;Personagem!$K$11&amp;""'""),
if('Time 4'!C7 = ""Gauvin"", query(IMPORTRANGE(cd_planilha, ""Armas!B3:G""), ""Select Col1 W"&amp;"here Col2 = '""&amp;Personagem!$L$10&amp;""' or Col2 = '""&amp;Personagem!$L$11&amp;""' ""),
if('Time 4'!C7 = ""Irene"", query(IMPORTRANGE(cd_planilha, ""Armas!B3:G""), ""Select Col1 Where Col2 = '""&amp;Personagem!$M$10&amp;""' or Col2 = '""&amp;Personagem!$M$11&amp;""' ""),
if('Time 4"&amp;"'!C7 = ""Karal"", query(IMPORTRANGE(cd_planilha, ""Armas!B3:G""), ""Select Col1 Where Col2 = '""&amp;Personagem!$N$10&amp;""' or Col2 = '""&amp;Personagem!$N$11&amp;""' ""),
if('Time 4'!C7 = ""Kuro Shobi"", query(IMPORTRANGE(cd_planilha, ""Armas!B3:G""), ""Select Col1 Wh"&amp;"ere Col2 = '""&amp;Personagem!$O$10&amp;""' or Col2 = '""&amp;Personagem!$O$11&amp;""'""),
if('Time 4'!C7 = ""Kurul"", query(IMPORTRANGE(cd_planilha, ""Armas!B3:G""), ""Select Col1 Where Col2 = '""&amp;Personagem!$P$10&amp;""' or Col2 = '""&amp;Personagem!$P$11&amp;""' ""),
if('Time 4'!"&amp;"C7 = ""Lancaster"", query(IMPORTRANGE(cd_planilha, ""Armas!B3:G""), ""Select Col1 Where Col2 = '""&amp;Personagem!$Q$10&amp;""' or Col2 = '""&amp;Personagem!$Q$11&amp;""'""),
if('Time 4'!C7 = ""Lorelei"", query(IMPORTRANGE(cd_planilha, ""Armas!B3:G""), ""Select Col1 Wher"&amp;"e Col2 = '""&amp;Personagem!$R$10&amp;""' or Col2 = '""&amp;Personagem!$R$11&amp;""' ""),
if('Time 4'!C7 = ""Louca"", query(IMPORTRANGE(cd_planilha, ""Armas!B3:G""), ""Select Col1 Where Col2 = '""&amp;Personagem!$S$10&amp;""' or Col2 = '""&amp;Personagem!$S$11&amp;""' ""),
if('Time 4'!C"&amp;"7 = ""Melina"", query(IMPORTRANGE(cd_planilha, ""Armas!B3:G""), ""Select Col1 Where Col2 = '""&amp;Personagem!$T$10&amp;""' or Col2 = '""&amp;Personagem!$T$11&amp;""'""),
if('Time 4'!C7 = ""Mila"", query(IMPORTRANGE(cd_planilha, ""Armas!B3:G""), ""Select Col1 Where Col2 "&amp;"= '""&amp;Personagem!$U$10&amp;""' or Col2 = '""&amp;Personagem!$U$11&amp;""' ""),
if('Time 4'!C7 = ""Minh"", query(IMPORTRANGE(cd_planilha, ""Armas!B3:G""), ""Select Col1 Where Col2 = '""&amp;Personagem!$V$10&amp;""' or Col2 = '""&amp;Personagem!$V$11&amp;""' ""),
if('Time 4'!C7 = ""Mo"&amp;"jian"", query(IMPORTRANGE(cd_planilha, ""Armas!B3:G""), ""Select Col1 Where Col2 = '""&amp;Personagem!$W$10&amp;""' or Col2 = '""&amp;Personagem!$W$11&amp;""'""),
if('Time 4'!C7 = ""Nya"", query(IMPORTRANGE(cd_planilha, ""Armas!B3:G""), ""Select Col1 Where Col2 = '""&amp;Per"&amp;"sonagem!$X$10&amp;""' or Col2 = '""&amp;Personagem!$X$11&amp;""' ""),
if('Time 4'!C7 = ""Odette"", query(IMPORTRANGE(cd_planilha, ""Armas!B3:G""), ""Select Col1 Where Col2 = '""&amp;Personagem!$Y$10&amp;""' or Col2 = '""&amp;Personagem!$Y$11&amp;""'""),
if('Time 4'!C7 = ""Oneira"", "&amp;"query(IMPORTRANGE(cd_planilha, ""Armas!B3:G""), ""Select Col1 Where Col2 = '""&amp;Personagem!$Z$10&amp;""' or Col2 = '""&amp;Personagem!$Z$11&amp;""' ""),
if('Time 4'!C7 = ""Palash"", query(IMPORTRANGE(cd_planilha, ""Armas!B3:G""), ""Select Col1 Where Col2 = '""&amp;Persona"&amp;"gem!$AA$10&amp;""' or Col2 = '""&amp;Personagem!$AA$11&amp;""'""),
if('Time 4'!C7 = ""Theor"", query(IMPORTRANGE(cd_planilha, ""Armas!B3:G""), ""Select Col1 Where Col2 = '""&amp;Personagem!$AB$10&amp;""' or Col2 = '""&amp;Personagem!$AB$11&amp;""' ""),
if('Time 4'!C7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J598" s="241"/>
      <c r="K598" s="241" t="b">
        <f>IFERROR(__xludf.DUMMYFUNCTION("if('Time 4'!C8 = ""Albert"", query(IMPORTRANGE(cd_planilha, ""Armas!B3:G""), ""Select Col1 Where Col2 = '""&amp;Personagem!$B$10&amp;""' or Col2 = '""&amp;Personagem!$B$11&amp;""'""),     
if('Time 4'!C8 = ""Alicia"", query(IMPORTRANGE(cd_planilha, ""Armas!B3:G""), ""Sel"&amp;"ect Col1 Where Col2 = '""&amp;Personagem!$C$10&amp;""' or Col2 = '""&amp;Personagem!$C$11&amp;""'""),
if('Time 4'!C8 = ""Azula"", query(IMPORTRANGE(cd_planilha, ""Armas!B3:G""), ""Select Col1 Where Col2 = '""&amp;Personagem!$D$10&amp;""' or Col2 = '""&amp;Personagem!$D$11&amp;""' ""),
i"&amp;"f('Time 4'!C8 = ""Charles"", query(IMPORTRANGE(cd_planilha, ""Armas!B3:G""), ""Select Col1 Where Col2 = '""&amp;Personagem!$E$10&amp;""' or Col2 = '""&amp;Personagem!$E$11&amp;""'""),
if('Time 4'!C8 = ""Clovis"", query(IMPORTRANGE(cd_planilha, ""Armas!B3:G""), ""Select C"&amp;"ol1 Where Col2 = '""&amp;Personagem!$F$10&amp;""' or Col2 = '""&amp;Personagem!$F$11&amp;""' ""),
if('Time 4'!C8 = ""Darthos"", query(IMPORTRANGE(cd_planilha, ""Armas!B3:G""), ""Select Col1 Where Col2 = '""&amp;Personagem!$G$10&amp;""' or Col2 = '""&amp;Personagem!$G$11&amp;""'""),
if('"&amp;"Time 4'!C8 = ""Edward"", query(IMPORTRANGE(cd_planilha, ""Armas!B3:G""), ""Select Col1 Where Col2 = '""&amp;Personagem!$H$10&amp;""' or Col2 = '""&amp;Personagem!$H$11&amp;""' ""),
if('Time 4'!C8 = ""Fiora"", query(IMPORTRANGE(cd_planilha, ""Armas!B3:G""), ""Select Col1 "&amp;"Where Col2 = '""&amp;Personagem!$I$10&amp;""' or Col2 = '""&amp;Personagem!$I$11&amp;""' ""),
if('Time 4'!C8 = ""Francesca"", query(IMPORTRANGE(cd_planilha, ""Armas!B3:G""), ""Select Col1 Where Col2 = '""&amp;Personagem!$J$10&amp;""' or Col2 = '""&amp;Personagem!$J$11&amp;""'""),
if('Ti"&amp;"me 4'!C8 = ""Garreth"", query(IMPORTRANGE(cd_planilha, ""Armas!B3:G""), ""Select Col1 Where Col2 = '""&amp;Personagem!$K$10&amp;""' or Col2 = '""&amp;Personagem!$K$11&amp;""'""),
if('Time 4'!C8 = ""Gauvin"", query(IMPORTRANGE(cd_planilha, ""Armas!B3:G""), ""Select Col1 W"&amp;"here Col2 = '""&amp;Personagem!$L$10&amp;""' or Col2 = '""&amp;Personagem!$L$11&amp;""' ""),
if('Time 4'!C8 = ""Irene"", query(IMPORTRANGE(cd_planilha, ""Armas!B3:G""), ""Select Col1 Where Col2 = '""&amp;Personagem!$M$10&amp;""' or Col2 = '""&amp;Personagem!$M$11&amp;""' ""),
if('Time 4"&amp;"'!C8 = ""Karal"", query(IMPORTRANGE(cd_planilha, ""Armas!B3:G""), ""Select Col1 Where Col2 = '""&amp;Personagem!$N$10&amp;""' or Col2 = '""&amp;Personagem!$N$11&amp;""' ""),
if('Time 4'!C8 = ""Kuro Shobi"", query(IMPORTRANGE(cd_planilha, ""Armas!B3:G""), ""Select Col1 Wh"&amp;"ere Col2 = '""&amp;Personagem!$O$10&amp;""' or Col2 = '""&amp;Personagem!$O$11&amp;""'""),
if('Time 4'!C8 = ""Kurul"", query(IMPORTRANGE(cd_planilha, ""Armas!B3:G""), ""Select Col1 Where Col2 = '""&amp;Personagem!$P$10&amp;""' or Col2 = '""&amp;Personagem!$P$11&amp;""' ""),
if('Time 4'!"&amp;"C8 = ""Lancaster"", query(IMPORTRANGE(cd_planilha, ""Armas!B3:G""), ""Select Col1 Where Col2 = '""&amp;Personagem!$Q$10&amp;""' or Col2 = '""&amp;Personagem!$Q$11&amp;""'""),
if('Time 4'!C8 = ""Lorelei"", query(IMPORTRANGE(cd_planilha, ""Armas!B3:G""), ""Select Col1 Wher"&amp;"e Col2 = '""&amp;Personagem!$R$10&amp;""' or Col2 = '""&amp;Personagem!$R$11&amp;""' ""),
if('Time 4'!C8 = ""Louca"", query(IMPORTRANGE(cd_planilha, ""Armas!B3:G""), ""Select Col1 Where Col2 = '""&amp;Personagem!$S$10&amp;""' or Col2 = '""&amp;Personagem!$S$11&amp;""' ""),
if('Time 4'!C"&amp;"8 = ""Melina"", query(IMPORTRANGE(cd_planilha, ""Armas!B3:G""), ""Select Col1 Where Col2 = '""&amp;Personagem!$T$10&amp;""' or Col2 = '""&amp;Personagem!$T$11&amp;""'""),
if('Time 4'!C8 = ""Mila"", query(IMPORTRANGE(cd_planilha, ""Armas!B3:G""), ""Select Col1 Where Col2 "&amp;"= '""&amp;Personagem!$U$10&amp;""' or Col2 = '""&amp;Personagem!$U$11&amp;""' ""),
if('Time 4'!C8 = ""Minh"", query(IMPORTRANGE(cd_planilha, ""Armas!B3:G""), ""Select Col1 Where Col2 = '""&amp;Personagem!$V$10&amp;""' or Col2 = '""&amp;Personagem!$V$11&amp;""' ""),
if('Time 4'!C8 = ""Mo"&amp;"jian"", query(IMPORTRANGE(cd_planilha, ""Armas!B3:G""), ""Select Col1 Where Col2 = '""&amp;Personagem!$W$10&amp;""' or Col2 = '""&amp;Personagem!$W$11&amp;""'""),
if('Time 4'!C8 = ""Nya"", query(IMPORTRANGE(cd_planilha, ""Armas!B3:G""), ""Select Col1 Where Col2 = '""&amp;Per"&amp;"sonagem!$X$10&amp;""' or Col2 = '""&amp;Personagem!$X$11&amp;""' ""),
if('Time 4'!C8 = ""Odette"", query(IMPORTRANGE(cd_planilha, ""Armas!B3:G""), ""Select Col1 Where Col2 = '""&amp;Personagem!$Y$10&amp;""' or Col2 = '""&amp;Personagem!$Y$11&amp;""'""),
if('Time 4'!C8 = ""Oneira"", "&amp;"query(IMPORTRANGE(cd_planilha, ""Armas!B3:G""), ""Select Col1 Where Col2 = '""&amp;Personagem!$Z$10&amp;""' or Col2 = '""&amp;Personagem!$Z$11&amp;""' ""),
if('Time 4'!C8 = ""Palash"", query(IMPORTRANGE(cd_planilha, ""Armas!B3:G""), ""Select Col1 Where Col2 = '""&amp;Persona"&amp;"gem!$AA$10&amp;""' or Col2 = '""&amp;Personagem!$AA$11&amp;""'""),
if('Time 4'!C8 = ""Theor"", query(IMPORTRANGE(cd_planilha, ""Armas!B3:G""), ""Select Col1 Where Col2 = '""&amp;Personagem!$AB$10&amp;""' or Col2 = '""&amp;Personagem!$AB$11&amp;""' ""),
if('Time 4'!C8 = ""Yue"", quer"&amp;"y(IMPORTRANGE(cd_planilha, ""Armas!B3:G""), ""Select Col1 Where Col2 = '""&amp;Personagem!$AC$10&amp;""' or Col2 = '""&amp;Personagem!$AC$11&amp;""'""
)))))))))))))))))))))))))))))"),FALSE)</f>
        <v>0</v>
      </c>
      <c r="L598" s="242"/>
      <c r="M598" s="241" t="str">
        <f>IFERROR(__xludf.DUMMYFUNCTION("if('Time 4'!C3 = ""Albert"", query(IMPORTRANGE(cd_planilha, ""Armas!B3:G""), ""Select Col1 Where Col2 = '""&amp;Personagem!$B$12&amp;""' or Col2 = '""&amp;Personagem!$B$13&amp;""'""),     
if('Time 4'!C3 = ""Alicia"", query(IMPORTRANGE(cd_planilha, ""Armas!B3:G""), ""Sel"&amp;"ect Col1 Where Col2 = '""&amp;Personagem!$C$12&amp;""' or Col2 = '""&amp;Personagem!$C$13&amp;""'""),
if('Time 4'!C3 = ""Azula"", query(IMPORTRANGE(cd_planilha, ""Armas!B3:G""), ""Select Col1 Where Col2 = '""&amp;Personagem!$D$12&amp;""' or Col2 = '""&amp;Personagem!$D$13&amp;""' ""),
i"&amp;"f('Time 4'!C3 = ""Charles"", query(IMPORTRANGE(cd_planilha, ""Armas!B3:G""), ""Select Col1 Where Col2 = '""&amp;Personagem!$E$12&amp;""' or Col2 = '""&amp;Personagem!$E$13&amp;""'""),
if('Time 4'!C3 = ""Clovis"", query(IMPORTRANGE(cd_planilha, ""Armas!B3:G""), ""Select C"&amp;"ol1 Where Col2 = '""&amp;Personagem!$F$12&amp;""' or Col2 = '""&amp;Personagem!$F$13&amp;""' ""),
if('Time 4'!C3 = ""Darthos"", query(IMPORTRANGE(cd_planilha, ""Armas!B3:G""), ""Select Col1 Where Col2 = '""&amp;Personagem!$G$12&amp;""' or Col2 = '""&amp;Personagem!$G$13&amp;""'""),
if('"&amp;"Time 4'!C3 = ""Edward"", query(IMPORTRANGE(cd_planilha, ""Armas!B3:G""), ""Select Col1 Where Col2 = '""&amp;Personagem!$H$12&amp;""' or Col2 = '""&amp;Personagem!$H$13&amp;""' ""),
if('Time 4'!C3 = ""Fiora"", query(IMPORTRANGE(cd_planilha, ""Armas!B3:G""), ""Select Col1 "&amp;"Where Col2 = '""&amp;Personagem!$I$12&amp;""' or Col2 = '""&amp;Personagem!$I$13&amp;""' ""),
if('Time 4'!C3 = ""Francesca"", query(IMPORTRANGE(cd_planilha, ""Armas!B3:G""), ""Select Col1 Where Col2 = '""&amp;Personagem!$J$12&amp;""' or Col2 = '""&amp;Personagem!$J$13&amp;""'""),
if('Ti"&amp;"me 4'!C3 = ""Garreth"", query(IMPORTRANGE(cd_planilha, ""Armas!B3:G""), ""Select Col1 Where Col2 = '""&amp;Personagem!$K$12&amp;""' or Col2 = '""&amp;Personagem!$K$13&amp;""'""),
if('Time 4'!C3 = ""Gauvin"", query(IMPORTRANGE(cd_planilha, ""Armas!B3:G""), ""Select Col1 W"&amp;"here Col2 = '""&amp;Personagem!$L$12&amp;""' or Col2 = '""&amp;Personagem!$L$13&amp;""' ""),
if('Time 4'!C3 = ""Irene"", query(IMPORTRANGE(cd_planilha, ""Armas!B3:G""), ""Select Col1 Where Col2 = '""&amp;Personagem!$M$12&amp;""' or Col2 = '""&amp;Personagem!$M$13&amp;""' ""),
if('Time 4"&amp;"'!C3 = ""Karal"", query(IMPORTRANGE(cd_planilha, ""Armas!B3:G""), ""Select Col1 Where Col2 = '""&amp;Personagem!$N$12&amp;""' or Col2 = '""&amp;Personagem!$N$13&amp;""' ""),
if('Time 4'!C3 = ""Kuro Shobi"", query(IMPORTRANGE(cd_planilha, ""Armas!B3:G""), ""Select Col1 Wh"&amp;"ere Col2 = '""&amp;Personagem!$O$12&amp;""' or Col2 = '""&amp;Personagem!$O$13&amp;""'""),
if('Time 4'!C3 = ""Kurul"", query(IMPORTRANGE(cd_planilha, ""Armas!B3:G""), ""Select Col1 Where Col2 = '""&amp;Personagem!$P$12&amp;""' or Col2 = '""&amp;Personagem!$P$13&amp;""' ""),
if('Time 4'!"&amp;"C3 = ""Lancaster"", query(IMPORTRANGE(cd_planilha, ""Armas!B3:G""), ""Select Col1 Where Col2 = '""&amp;Personagem!$Q$12&amp;""' or Col2 = '""&amp;Personagem!$Q$13&amp;""'""),
if('Time 4'!C3 = ""Lorelei"", query(IMPORTRANGE(cd_planilha, ""Armas!B3:G""), ""Select Col1 Wher"&amp;"e Col2 = '""&amp;Personagem!$R$12&amp;""' or Col2 = '""&amp;Personagem!$R$13&amp;""' ""),
if('Time 4'!C3 = ""Louca"", query(IMPORTRANGE(cd_planilha, ""Armas!B3:G""), ""Select Col1 Where Col2 = '""&amp;Personagem!$S$12&amp;""' or Col2 = '""&amp;Personagem!$S$13&amp;""' ""),
if('Time 4'!C"&amp;"3 = ""Melina"", query(IMPORTRANGE(cd_planilha, ""Armas!B3:G""), ""Select Col1 Where Col2 = '""&amp;Personagem!$T$12&amp;""' or Col2 = '""&amp;Personagem!$T$13&amp;""'""),
if('Time 4'!C3 = ""Mila"", query(IMPORTRANGE(cd_planilha, ""Armas!B3:G""), ""Select Col1 Where Col2 "&amp;"= '""&amp;Personagem!$U$12&amp;""' or Col2 = '""&amp;Personagem!$U$13&amp;""' ""),
if('Time 4'!C3 = ""Minh"", query(IMPORTRANGE(cd_planilha, ""Armas!B3:G""), ""Select Col1 Where Col2 = '""&amp;Personagem!$V$12&amp;""' or Col2 = '""&amp;Personagem!$V$13&amp;""' ""),
if('Time 4'!C3 = ""Mo"&amp;"jian"", query(IMPORTRANGE(cd_planilha, ""Armas!B3:G""), ""Select Col1 Where Col2 = '""&amp;Personagem!$W$12&amp;""' or Col2 = '""&amp;Personagem!$W$13&amp;""'""),
if('Time 4'!C3 = ""Nya"", query(IMPORTRANGE(cd_planilha, ""Armas!B3:G""), ""Select Col1 Where Col2 = '""&amp;Per"&amp;"sonagem!$X$12&amp;""' or Col2 = '""&amp;Personagem!$X$13&amp;""' ""),
if('Time 4'!C3 = ""Odette"", query(IMPORTRANGE(cd_planilha, ""Armas!B3:G""), ""Select Col1 Where Col2 = '""&amp;Personagem!$Y$12&amp;""' or Col2 = '""&amp;Personagem!$Y$13&amp;""'""),
if('Time 4'!C3 = ""Oneira"", "&amp;"query(IMPORTRANGE(cd_planilha, ""Armas!B3:G""), ""Select Col1 Where Col2 = '""&amp;Personagem!$Z$12&amp;""' or Col2 = '""&amp;Personagem!$Z$13&amp;""' ""),
if('Time 4'!C3 = ""Palash"", query(IMPORTRANGE(cd_planilha, ""Armas!B3:G""), ""Select Col1 Where Col2 = '""&amp;Persona"&amp;"gem!$AA$12&amp;""' or Col2 = '""&amp;Personagem!$AA$13&amp;""'""),
if('Time 4'!C3 = ""Theor"", query(IMPORTRANGE(cd_planilha, ""Armas!B3:G""), ""Select Col1 Where Col2 = '""&amp;Personagem!$AB$12&amp;""' or Col2 = '""&amp;Personagem!$AB$13&amp;""' ""),
if('Time 4'!C3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N598" s="241"/>
      <c r="O598" s="241" t="str">
        <f>IFERROR(__xludf.DUMMYFUNCTION("if('Time 4'!C4 = ""Albert"", query(IMPORTRANGE(cd_planilha, ""Armas!B3:G""), ""Select Col1 Where Col2 = '""&amp;Personagem!$B$12&amp;""' or Col2 = '""&amp;Personagem!$B$13&amp;""'""),     
if('Time 4'!C4 = ""Alicia"", query(IMPORTRANGE(cd_planilha, ""Armas!B3:G""), ""Sel"&amp;"ect Col1 Where Col2 = '""&amp;Personagem!$C$12&amp;""' or Col2 = '""&amp;Personagem!$C$13&amp;""'""),
if('Time 4'!C4 = ""Azula"", query(IMPORTRANGE(cd_planilha, ""Armas!B3:G""), ""Select Col1 Where Col2 = '""&amp;Personagem!$D$12&amp;""' or Col2 = '""&amp;Personagem!$D$13&amp;""' ""),
i"&amp;"f('Time 4'!C4 = ""Charles"", query(IMPORTRANGE(cd_planilha, ""Armas!B3:G""), ""Select Col1 Where Col2 = '""&amp;Personagem!$E$12&amp;""' or Col2 = '""&amp;Personagem!$E$13&amp;""'""),
if('Time 4'!C4 = ""Clovis"", query(IMPORTRANGE(cd_planilha, ""Armas!B3:G""), ""Select C"&amp;"ol1 Where Col2 = '""&amp;Personagem!$F$12&amp;""' or Col2 = '""&amp;Personagem!$F$13&amp;""' ""),
if('Time 4'!C4 = ""Darthos"", query(IMPORTRANGE(cd_planilha, ""Armas!B3:G""), ""Select Col1 Where Col2 = '""&amp;Personagem!$G$12&amp;""' or Col2 = '""&amp;Personagem!$G$13&amp;""'""),
if('"&amp;"Time 4'!C4 = ""Edward"", query(IMPORTRANGE(cd_planilha, ""Armas!B3:G""), ""Select Col1 Where Col2 = '""&amp;Personagem!$H$12&amp;""' or Col2 = '""&amp;Personagem!$H$13&amp;""' ""),
if('Time 4'!C4 = ""Fiora"", query(IMPORTRANGE(cd_planilha, ""Armas!B3:G""), ""Select Col1 "&amp;"Where Col2 = '""&amp;Personagem!$I$12&amp;""' or Col2 = '""&amp;Personagem!$I$13&amp;""' ""),
if('Time 4'!C4 = ""Francesca"", query(IMPORTRANGE(cd_planilha, ""Armas!B3:G""), ""Select Col1 Where Col2 = '""&amp;Personagem!$J$12&amp;""' or Col2 = '""&amp;Personagem!$J$13&amp;""'""),
if('Ti"&amp;"me 4'!C4 = ""Garreth"", query(IMPORTRANGE(cd_planilha, ""Armas!B3:G""), ""Select Col1 Where Col2 = '""&amp;Personagem!$K$12&amp;""' or Col2 = '""&amp;Personagem!$K$13&amp;""'""),
if('Time 4'!C4 = ""Gauvin"", query(IMPORTRANGE(cd_planilha, ""Armas!B3:G""), ""Select Col1 W"&amp;"here Col2 = '""&amp;Personagem!$L$12&amp;""' or Col2 = '""&amp;Personagem!$L$13&amp;""' ""),
if('Time 4'!C4 = ""Irene"", query(IMPORTRANGE(cd_planilha, ""Armas!B3:G""), ""Select Col1 Where Col2 = '""&amp;Personagem!$M$12&amp;""' or Col2 = '""&amp;Personagem!$M$13&amp;""' ""),
if('Time 4"&amp;"'!C4 = ""Karal"", query(IMPORTRANGE(cd_planilha, ""Armas!B3:G""), ""Select Col1 Where Col2 = '""&amp;Personagem!$N$12&amp;""' or Col2 = '""&amp;Personagem!$N$13&amp;""' ""),
if('Time 4'!C4 = ""Kuro Shobi"", query(IMPORTRANGE(cd_planilha, ""Armas!B3:G""), ""Select Col1 Wh"&amp;"ere Col2 = '""&amp;Personagem!$O$12&amp;""' or Col2 = '""&amp;Personagem!$O$13&amp;""'""),
if('Time 4'!C4 = ""Kurul"", query(IMPORTRANGE(cd_planilha, ""Armas!B3:G""), ""Select Col1 Where Col2 = '""&amp;Personagem!$P$12&amp;""' or Col2 = '""&amp;Personagem!$P$13&amp;""' ""),
if('Time 4'!"&amp;"C4 = ""Lancaster"", query(IMPORTRANGE(cd_planilha, ""Armas!B3:G""), ""Select Col1 Where Col2 = '""&amp;Personagem!$Q$12&amp;""' or Col2 = '""&amp;Personagem!$Q$13&amp;""'""),
if('Time 4'!C4 = ""Lorelei"", query(IMPORTRANGE(cd_planilha, ""Armas!B3:G""), ""Select Col1 Wher"&amp;"e Col2 = '""&amp;Personagem!$R$12&amp;""' or Col2 = '""&amp;Personagem!$R$13&amp;""' ""),
if('Time 4'!C4 = ""Louca"", query(IMPORTRANGE(cd_planilha, ""Armas!B3:G""), ""Select Col1 Where Col2 = '""&amp;Personagem!$S$12&amp;""' or Col2 = '""&amp;Personagem!$S$13&amp;""' ""),
if('Time 4'!C"&amp;"4 = ""Melina"", query(IMPORTRANGE(cd_planilha, ""Armas!B3:G""), ""Select Col1 Where Col2 = '""&amp;Personagem!$T$12&amp;""' or Col2 = '""&amp;Personagem!$T$13&amp;""'""),
if('Time 4'!C4 = ""Mila"", query(IMPORTRANGE(cd_planilha, ""Armas!B3:G""), ""Select Col1 Where Col2 "&amp;"= '""&amp;Personagem!$U$12&amp;""' or Col2 = '""&amp;Personagem!$U$13&amp;""' ""),
if('Time 4'!C4 = ""Minh"", query(IMPORTRANGE(cd_planilha, ""Armas!B3:G""), ""Select Col1 Where Col2 = '""&amp;Personagem!$V$12&amp;""' or Col2 = '""&amp;Personagem!$V$13&amp;""' ""),
if('Time 4'!C4 = ""Mo"&amp;"jian"", query(IMPORTRANGE(cd_planilha, ""Armas!B3:G""), ""Select Col1 Where Col2 = '""&amp;Personagem!$W$12&amp;""' or Col2 = '""&amp;Personagem!$W$13&amp;""'""),
if('Time 4'!C4 = ""Nya"", query(IMPORTRANGE(cd_planilha, ""Armas!B3:G""), ""Select Col1 Where Col2 = '""&amp;Per"&amp;"sonagem!$X$12&amp;""' or Col2 = '""&amp;Personagem!$X$13&amp;""' ""),
if('Time 4'!C4 = ""Odette"", query(IMPORTRANGE(cd_planilha, ""Armas!B3:G""), ""Select Col1 Where Col2 = '""&amp;Personagem!$Y$12&amp;""' or Col2 = '""&amp;Personagem!$Y$13&amp;""'""),
if('Time 4'!C4 = ""Oneira"", "&amp;"query(IMPORTRANGE(cd_planilha, ""Armas!B3:G""), ""Select Col1 Where Col2 = '""&amp;Personagem!$Z$12&amp;""' or Col2 = '""&amp;Personagem!$Z$13&amp;""' ""),
if('Time 4'!C4 = ""Palash"", query(IMPORTRANGE(cd_planilha, ""Armas!B3:G""), ""Select Col1 Where Col2 = '""&amp;Persona"&amp;"gem!$AA$12&amp;""' or Col2 = '""&amp;Personagem!$AA$13&amp;""'""),
if('Time 4'!C4 = ""Theor"", query(IMPORTRANGE(cd_planilha, ""Armas!B3:G""), ""Select Col1 Where Col2 = '""&amp;Personagem!$AB$12&amp;""' or Col2 = '""&amp;Personagem!$AB$13&amp;""' ""),
if('Time 4'!C4 = ""Yue"", quer"&amp;"y(IMPORTRANGE(cd_planilha, ""Armas!B3:G""), ""Select Col1 Where Col2 = '""&amp;Personagem!$AC$12&amp;""' or Col2 = '""&amp;Personagem!$AC$13&amp;""'""
)))))))))))))))))))))))))))))"),"Botas da Lua")</f>
        <v>Botas da Lua</v>
      </c>
      <c r="P598" s="241"/>
      <c r="Q598" s="241" t="str">
        <f>IFERROR(__xludf.DUMMYFUNCTION("if('Time 4'!C5 = ""Albert"", query(IMPORTRANGE(cd_planilha, ""Armas!B3:G""), ""Select Col1 Where Col2 = '""&amp;Personagem!$B$12&amp;""' or Col2 = '""&amp;Personagem!$B$13&amp;""'""),     
if('Time 4'!C5 = ""Alicia"", query(IMPORTRANGE(cd_planilha, ""Armas!B3:G""), ""Sel"&amp;"ect Col1 Where Col2 = '""&amp;Personagem!$C$12&amp;""' or Col2 = '""&amp;Personagem!$C$13&amp;""'""),
if('Time 4'!C5 = ""Azula"", query(IMPORTRANGE(cd_planilha, ""Armas!B3:G""), ""Select Col1 Where Col2 = '""&amp;Personagem!$D$12&amp;""' or Col2 = '""&amp;Personagem!$D$13&amp;""' ""),
i"&amp;"f('Time 4'!C5 = ""Charles"", query(IMPORTRANGE(cd_planilha, ""Armas!B3:G""), ""Select Col1 Where Col2 = '""&amp;Personagem!$E$12&amp;""' or Col2 = '""&amp;Personagem!$E$13&amp;""'""),
if('Time 4'!C5 = ""Clovis"", query(IMPORTRANGE(cd_planilha, ""Armas!B3:G""), ""Select C"&amp;"ol1 Where Col2 = '""&amp;Personagem!$F$12&amp;""' or Col2 = '""&amp;Personagem!$F$13&amp;""' ""),
if('Time 4'!C5 = ""Darthos"", query(IMPORTRANGE(cd_planilha, ""Armas!B3:G""), ""Select Col1 Where Col2 = '""&amp;Personagem!$G$12&amp;""' or Col2 = '""&amp;Personagem!$G$13&amp;""'""),
if('"&amp;"Time 4'!C5 = ""Edward"", query(IMPORTRANGE(cd_planilha, ""Armas!B3:G""), ""Select Col1 Where Col2 = '""&amp;Personagem!$H$12&amp;""' or Col2 = '""&amp;Personagem!$H$13&amp;""' ""),
if('Time 4'!C5 = ""Fiora"", query(IMPORTRANGE(cd_planilha, ""Armas!B3:G""), ""Select Col1 "&amp;"Where Col2 = '""&amp;Personagem!$I$12&amp;""' or Col2 = '""&amp;Personagem!$I$13&amp;""' ""),
if('Time 4'!C5 = ""Francesca"", query(IMPORTRANGE(cd_planilha, ""Armas!B3:G""), ""Select Col1 Where Col2 = '""&amp;Personagem!$J$12&amp;""' or Col2 = '""&amp;Personagem!$J$13&amp;""'""),
if('Ti"&amp;"me 4'!C5 = ""Garreth"", query(IMPORTRANGE(cd_planilha, ""Armas!B3:G""), ""Select Col1 Where Col2 = '""&amp;Personagem!$K$12&amp;""' or Col2 = '""&amp;Personagem!$K$13&amp;""'""),
if('Time 4'!C5 = ""Gauvin"", query(IMPORTRANGE(cd_planilha, ""Armas!B3:G""), ""Select Col1 W"&amp;"here Col2 = '""&amp;Personagem!$L$12&amp;""' or Col2 = '""&amp;Personagem!$L$13&amp;""' ""),
if('Time 4'!C5 = ""Irene"", query(IMPORTRANGE(cd_planilha, ""Armas!B3:G""), ""Select Col1 Where Col2 = '""&amp;Personagem!$M$12&amp;""' or Col2 = '""&amp;Personagem!$M$13&amp;""' ""),
if('Time 4"&amp;"'!C5 = ""Karal"", query(IMPORTRANGE(cd_planilha, ""Armas!B3:G""), ""Select Col1 Where Col2 = '""&amp;Personagem!$N$12&amp;""' or Col2 = '""&amp;Personagem!$N$13&amp;""' ""),
if('Time 4'!C5 = ""Kuro Shobi"", query(IMPORTRANGE(cd_planilha, ""Armas!B3:G""), ""Select Col1 Wh"&amp;"ere Col2 = '""&amp;Personagem!$O$12&amp;""' or Col2 = '""&amp;Personagem!$O$13&amp;""'""),
if('Time 4'!C5 = ""Kurul"", query(IMPORTRANGE(cd_planilha, ""Armas!B3:G""), ""Select Col1 Where Col2 = '""&amp;Personagem!$P$12&amp;""' or Col2 = '""&amp;Personagem!$P$13&amp;""' ""),
if('Time 4'!"&amp;"C5 = ""Lancaster"", query(IMPORTRANGE(cd_planilha, ""Armas!B3:G""), ""Select Col1 Where Col2 = '""&amp;Personagem!$Q$12&amp;""' or Col2 = '""&amp;Personagem!$Q$13&amp;""'""),
if('Time 4'!C5 = ""Lorelei"", query(IMPORTRANGE(cd_planilha, ""Armas!B3:G""), ""Select Col1 Wher"&amp;"e Col2 = '""&amp;Personagem!$R$12&amp;""' or Col2 = '""&amp;Personagem!$R$13&amp;""' ""),
if('Time 4'!C5 = ""Louca"", query(IMPORTRANGE(cd_planilha, ""Armas!B3:G""), ""Select Col1 Where Col2 = '""&amp;Personagem!$S$12&amp;""' or Col2 = '""&amp;Personagem!$S$13&amp;""' ""),
if('Time 4'!C"&amp;"5 = ""Melina"", query(IMPORTRANGE(cd_planilha, ""Armas!B3:G""), ""Select Col1 Where Col2 = '""&amp;Personagem!$T$12&amp;""' or Col2 = '""&amp;Personagem!$T$13&amp;""'""),
if('Time 4'!C5 = ""Mila"", query(IMPORTRANGE(cd_planilha, ""Armas!B3:G""), ""Select Col1 Where Col2 "&amp;"= '""&amp;Personagem!$U$12&amp;""' or Col2 = '""&amp;Personagem!$U$13&amp;""' ""),
if('Time 4'!C5 = ""Minh"", query(IMPORTRANGE(cd_planilha, ""Armas!B3:G""), ""Select Col1 Where Col2 = '""&amp;Personagem!$V$12&amp;""' or Col2 = '""&amp;Personagem!$V$13&amp;""' ""),
if('Time 4'!C5 = ""Mo"&amp;"jian"", query(IMPORTRANGE(cd_planilha, ""Armas!B3:G""), ""Select Col1 Where Col2 = '""&amp;Personagem!$W$12&amp;""' or Col2 = '""&amp;Personagem!$W$13&amp;""'""),
if('Time 4'!C5 = ""Nya"", query(IMPORTRANGE(cd_planilha, ""Armas!B3:G""), ""Select Col1 Where Col2 = '""&amp;Per"&amp;"sonagem!$X$12&amp;""' or Col2 = '""&amp;Personagem!$X$13&amp;""' ""),
if('Time 4'!C5 = ""Odette"", query(IMPORTRANGE(cd_planilha, ""Armas!B3:G""), ""Select Col1 Where Col2 = '""&amp;Personagem!$Y$12&amp;""' or Col2 = '""&amp;Personagem!$Y$13&amp;""'""),
if('Time 4'!C5 = ""Oneira"", "&amp;"query(IMPORTRANGE(cd_planilha, ""Armas!B3:G""), ""Select Col1 Where Col2 = '""&amp;Personagem!$Z$12&amp;""' or Col2 = '""&amp;Personagem!$Z$13&amp;""' ""),
if('Time 4'!C5 = ""Palash"", query(IMPORTRANGE(cd_planilha, ""Armas!B3:G""), ""Select Col1 Where Col2 = '""&amp;Persona"&amp;"gem!$AA$12&amp;""' or Col2 = '""&amp;Personagem!$AA$13&amp;""'""),
if('Time 4'!C5 = ""Theor"", query(IMPORTRANGE(cd_planilha, ""Armas!B3:G""), ""Select Col1 Where Col2 = '""&amp;Personagem!$AB$12&amp;""' or Col2 = '""&amp;Personagem!$AB$13&amp;""' ""),
if('Time 4'!C5 = ""Yue"", quer"&amp;"y(IMPORTRANGE(cd_planilha, ""Armas!B3:G""), ""Select Col1 Where Col2 = '""&amp;Personagem!$AC$12&amp;""' or Col2 = '""&amp;Personagem!$AC$13&amp;""'""
)))))))))))))))))))))))))))))"),"Botas da Lua")</f>
        <v>Botas da Lua</v>
      </c>
      <c r="R598" s="241"/>
      <c r="S598" s="241" t="str">
        <f>IFERROR(__xludf.DUMMYFUNCTION("if('Time 4'!C6 = ""Albert"", query(IMPORTRANGE(cd_planilha, ""Armas!B3:G""), ""Select Col1 Where Col2 = '""&amp;Personagem!$B$12&amp;""' or Col2 = '""&amp;Personagem!$B$13&amp;""'""),     
if('Time 4'!C6 = ""Alicia"", query(IMPORTRANGE(cd_planilha, ""Armas!B3:G""), ""Sel"&amp;"ect Col1 Where Col2 = '""&amp;Personagem!$C$12&amp;""' or Col2 = '""&amp;Personagem!$C$13&amp;""'""),
if('Time 4'!C6 = ""Azula"", query(IMPORTRANGE(cd_planilha, ""Armas!B3:G""), ""Select Col1 Where Col2 = '""&amp;Personagem!$D$12&amp;""' or Col2 = '""&amp;Personagem!$D$13&amp;""' ""),
i"&amp;"f('Time 4'!C6 = ""Charles"", query(IMPORTRANGE(cd_planilha, ""Armas!B3:G""), ""Select Col1 Where Col2 = '""&amp;Personagem!$E$12&amp;""' or Col2 = '""&amp;Personagem!$E$13&amp;""'""),
if('Time 4'!C6 = ""Clovis"", query(IMPORTRANGE(cd_planilha, ""Armas!B3:G""), ""Select C"&amp;"ol1 Where Col2 = '""&amp;Personagem!$F$12&amp;""' or Col2 = '""&amp;Personagem!$F$13&amp;""' ""),
if('Time 4'!C6 = ""Darthos"", query(IMPORTRANGE(cd_planilha, ""Armas!B3:G""), ""Select Col1 Where Col2 = '""&amp;Personagem!$G$12&amp;""' or Col2 = '""&amp;Personagem!$G$13&amp;""'""),
if('"&amp;"Time 4'!C6 = ""Edward"", query(IMPORTRANGE(cd_planilha, ""Armas!B3:G""), ""Select Col1 Where Col2 = '""&amp;Personagem!$H$12&amp;""' or Col2 = '""&amp;Personagem!$H$13&amp;""' ""),
if('Time 4'!C6 = ""Fiora"", query(IMPORTRANGE(cd_planilha, ""Armas!B3:G""), ""Select Col1 "&amp;"Where Col2 = '""&amp;Personagem!$I$12&amp;""' or Col2 = '""&amp;Personagem!$I$13&amp;""' ""),
if('Time 4'!C6 = ""Francesca"", query(IMPORTRANGE(cd_planilha, ""Armas!B3:G""), ""Select Col1 Where Col2 = '""&amp;Personagem!$J$12&amp;""' or Col2 = '""&amp;Personagem!$J$13&amp;""'""),
if('Ti"&amp;"me 4'!C6 = ""Garreth"", query(IMPORTRANGE(cd_planilha, ""Armas!B3:G""), ""Select Col1 Where Col2 = '""&amp;Personagem!$K$12&amp;""' or Col2 = '""&amp;Personagem!$K$13&amp;""'""),
if('Time 4'!C6 = ""Gauvin"", query(IMPORTRANGE(cd_planilha, ""Armas!B3:G""), ""Select Col1 W"&amp;"here Col2 = '""&amp;Personagem!$L$12&amp;""' or Col2 = '""&amp;Personagem!$L$13&amp;""' ""),
if('Time 4'!C6 = ""Irene"", query(IMPORTRANGE(cd_planilha, ""Armas!B3:G""), ""Select Col1 Where Col2 = '""&amp;Personagem!$M$12&amp;""' or Col2 = '""&amp;Personagem!$M$13&amp;""' ""),
if('Time 4"&amp;"'!C6 = ""Karal"", query(IMPORTRANGE(cd_planilha, ""Armas!B3:G""), ""Select Col1 Where Col2 = '""&amp;Personagem!$N$12&amp;""' or Col2 = '""&amp;Personagem!$N$13&amp;""' ""),
if('Time 4'!C6 = ""Kuro Shobi"", query(IMPORTRANGE(cd_planilha, ""Armas!B3:G""), ""Select Col1 Wh"&amp;"ere Col2 = '""&amp;Personagem!$O$12&amp;""' or Col2 = '""&amp;Personagem!$O$13&amp;""'""),
if('Time 4'!C6 = ""Kurul"", query(IMPORTRANGE(cd_planilha, ""Armas!B3:G""), ""Select Col1 Where Col2 = '""&amp;Personagem!$P$12&amp;""' or Col2 = '""&amp;Personagem!$P$13&amp;""' ""),
if('Time 4'!"&amp;"C6 = ""Lancaster"", query(IMPORTRANGE(cd_planilha, ""Armas!B3:G""), ""Select Col1 Where Col2 = '""&amp;Personagem!$Q$12&amp;""' or Col2 = '""&amp;Personagem!$Q$13&amp;""'""),
if('Time 4'!C6 = ""Lorelei"", query(IMPORTRANGE(cd_planilha, ""Armas!B3:G""), ""Select Col1 Wher"&amp;"e Col2 = '""&amp;Personagem!$R$12&amp;""' or Col2 = '""&amp;Personagem!$R$13&amp;""' ""),
if('Time 4'!C6 = ""Louca"", query(IMPORTRANGE(cd_planilha, ""Armas!B3:G""), ""Select Col1 Where Col2 = '""&amp;Personagem!$S$12&amp;""' or Col2 = '""&amp;Personagem!$S$13&amp;""' ""),
if('Time 4'!C"&amp;"6 = ""Melina"", query(IMPORTRANGE(cd_planilha, ""Armas!B3:G""), ""Select Col1 Where Col2 = '""&amp;Personagem!$T$12&amp;""' or Col2 = '""&amp;Personagem!$T$13&amp;""'""),
if('Time 4'!C6 = ""Mila"", query(IMPORTRANGE(cd_planilha, ""Armas!B3:G""), ""Select Col1 Where Col2 "&amp;"= '""&amp;Personagem!$U$12&amp;""' or Col2 = '""&amp;Personagem!$U$13&amp;""' ""),
if('Time 4'!C6 = ""Minh"", query(IMPORTRANGE(cd_planilha, ""Armas!B3:G""), ""Select Col1 Where Col2 = '""&amp;Personagem!$V$12&amp;""' or Col2 = '""&amp;Personagem!$V$13&amp;""' ""),
if('Time 4'!C6 = ""Mo"&amp;"jian"", query(IMPORTRANGE(cd_planilha, ""Armas!B3:G""), ""Select Col1 Where Col2 = '""&amp;Personagem!$W$12&amp;""' or Col2 = '""&amp;Personagem!$W$13&amp;""'""),
if('Time 4'!C6 = ""Nya"", query(IMPORTRANGE(cd_planilha, ""Armas!B3:G""), ""Select Col1 Where Col2 = '""&amp;Per"&amp;"sonagem!$X$12&amp;""' or Col2 = '""&amp;Personagem!$X$13&amp;""' ""),
if('Time 4'!C6 = ""Odette"", query(IMPORTRANGE(cd_planilha, ""Armas!B3:G""), ""Select Col1 Where Col2 = '""&amp;Personagem!$Y$12&amp;""' or Col2 = '""&amp;Personagem!$Y$13&amp;""'""),
if('Time 4'!C6 = ""Oneira"", "&amp;"query(IMPORTRANGE(cd_planilha, ""Armas!B3:G""), ""Select Col1 Where Col2 = '""&amp;Personagem!$Z$12&amp;""' or Col2 = '""&amp;Personagem!$Z$13&amp;""' ""),
if('Time 4'!C6 = ""Palash"", query(IMPORTRANGE(cd_planilha, ""Armas!B3:G""), ""Select Col1 Where Col2 = '""&amp;Persona"&amp;"gem!$AA$12&amp;""' or Col2 = '""&amp;Personagem!$AA$13&amp;""'""),
if('Time 4'!C6 = ""Theor"", query(IMPORTRANGE(cd_planilha, ""Armas!B3:G""), ""Select Col1 Where Col2 = '""&amp;Personagem!$AB$12&amp;""' or Col2 = '""&amp;Personagem!$AB$13&amp;""' ""),
if('Time 4'!C6 = ""Yue"", quer"&amp;"y(IMPORTRANGE(cd_planilha, ""Armas!B3:G""), ""Select Col1 Where Col2 = '""&amp;Personagem!$AC$12&amp;""' or Col2 = '""&amp;Personagem!$AC$13&amp;""'""
)))))))))))))))))))))))))))))"),"Botas da Lua")</f>
        <v>Botas da Lua</v>
      </c>
      <c r="T598" s="241"/>
      <c r="U598" s="241" t="str">
        <f>IFERROR(__xludf.DUMMYFUNCTION("if('Time 4'!C7 = ""Albert"", query(IMPORTRANGE(cd_planilha, ""Armas!B3:G""), ""Select Col1 Where Col2 = '""&amp;Personagem!$B$12&amp;""' or Col2 = '""&amp;Personagem!$B$13&amp;""'""),     
if('Time 4'!C7 = ""Alicia"", query(IMPORTRANGE(cd_planilha, ""Armas!B3:G""), ""Sel"&amp;"ect Col1 Where Col2 = '""&amp;Personagem!$C$12&amp;""' or Col2 = '""&amp;Personagem!$C$13&amp;""'""),
if('Time 4'!C7 = ""Azula"", query(IMPORTRANGE(cd_planilha, ""Armas!B3:G""), ""Select Col1 Where Col2 = '""&amp;Personagem!$D$12&amp;""' or Col2 = '""&amp;Personagem!$D$13&amp;""' ""),
i"&amp;"f('Time 4'!C7 = ""Charles"", query(IMPORTRANGE(cd_planilha, ""Armas!B3:G""), ""Select Col1 Where Col2 = '""&amp;Personagem!$E$12&amp;""' or Col2 = '""&amp;Personagem!$E$13&amp;""'""),
if('Time 4'!C7 = ""Clovis"", query(IMPORTRANGE(cd_planilha, ""Armas!B3:G""), ""Select C"&amp;"ol1 Where Col2 = '""&amp;Personagem!$F$12&amp;""' or Col2 = '""&amp;Personagem!$F$13&amp;""' ""),
if('Time 4'!C7 = ""Darthos"", query(IMPORTRANGE(cd_planilha, ""Armas!B3:G""), ""Select Col1 Where Col2 = '""&amp;Personagem!$G$12&amp;""' or Col2 = '""&amp;Personagem!$G$13&amp;""'""),
if('"&amp;"Time 4'!C7 = ""Edward"", query(IMPORTRANGE(cd_planilha, ""Armas!B3:G""), ""Select Col1 Where Col2 = '""&amp;Personagem!$H$12&amp;""' or Col2 = '""&amp;Personagem!$H$13&amp;""' ""),
if('Time 4'!C7 = ""Fiora"", query(IMPORTRANGE(cd_planilha, ""Armas!B3:G""), ""Select Col1 "&amp;"Where Col2 = '""&amp;Personagem!$I$12&amp;""' or Col2 = '""&amp;Personagem!$I$13&amp;""' ""),
if('Time 4'!C7 = ""Francesca"", query(IMPORTRANGE(cd_planilha, ""Armas!B3:G""), ""Select Col1 Where Col2 = '""&amp;Personagem!$J$12&amp;""' or Col2 = '""&amp;Personagem!$J$13&amp;""'""),
if('Ti"&amp;"me 4'!C7 = ""Garreth"", query(IMPORTRANGE(cd_planilha, ""Armas!B3:G""), ""Select Col1 Where Col2 = '""&amp;Personagem!$K$12&amp;""' or Col2 = '""&amp;Personagem!$K$13&amp;""'""),
if('Time 4'!C7 = ""Gauvin"", query(IMPORTRANGE(cd_planilha, ""Armas!B3:G""), ""Select Col1 W"&amp;"here Col2 = '""&amp;Personagem!$L$12&amp;""' or Col2 = '""&amp;Personagem!$L$13&amp;""' ""),
if('Time 4'!C7 = ""Irene"", query(IMPORTRANGE(cd_planilha, ""Armas!B3:G""), ""Select Col1 Where Col2 = '""&amp;Personagem!$M$12&amp;""' or Col2 = '""&amp;Personagem!$M$13&amp;""' ""),
if('Time 4"&amp;"'!C7 = ""Karal"", query(IMPORTRANGE(cd_planilha, ""Armas!B3:G""), ""Select Col1 Where Col2 = '""&amp;Personagem!$N$12&amp;""' or Col2 = '""&amp;Personagem!$N$13&amp;""' ""),
if('Time 4'!C7 = ""Kuro Shobi"", query(IMPORTRANGE(cd_planilha, ""Armas!B3:G""), ""Select Col1 Wh"&amp;"ere Col2 = '""&amp;Personagem!$O$12&amp;""' or Col2 = '""&amp;Personagem!$O$13&amp;""'""),
if('Time 4'!C7 = ""Kurul"", query(IMPORTRANGE(cd_planilha, ""Armas!B3:G""), ""Select Col1 Where Col2 = '""&amp;Personagem!$P$12&amp;""' or Col2 = '""&amp;Personagem!$P$13&amp;""' ""),
if('Time 4'!"&amp;"C7 = ""Lancaster"", query(IMPORTRANGE(cd_planilha, ""Armas!B3:G""), ""Select Col1 Where Col2 = '""&amp;Personagem!$Q$12&amp;""' or Col2 = '""&amp;Personagem!$Q$13&amp;""'""),
if('Time 4'!C7 = ""Lorelei"", query(IMPORTRANGE(cd_planilha, ""Armas!B3:G""), ""Select Col1 Wher"&amp;"e Col2 = '""&amp;Personagem!$R$12&amp;""' or Col2 = '""&amp;Personagem!$R$13&amp;""' ""),
if('Time 4'!C7 = ""Louca"", query(IMPORTRANGE(cd_planilha, ""Armas!B3:G""), ""Select Col1 Where Col2 = '""&amp;Personagem!$S$12&amp;""' or Col2 = '""&amp;Personagem!$S$13&amp;""' ""),
if('Time 4'!C"&amp;"7 = ""Melina"", query(IMPORTRANGE(cd_planilha, ""Armas!B3:G""), ""Select Col1 Where Col2 = '""&amp;Personagem!$T$12&amp;""' or Col2 = '""&amp;Personagem!$T$13&amp;""'""),
if('Time 4'!C7 = ""Mila"", query(IMPORTRANGE(cd_planilha, ""Armas!B3:G""), ""Select Col1 Where Col2 "&amp;"= '""&amp;Personagem!$U$12&amp;""' or Col2 = '""&amp;Personagem!$U$13&amp;""' ""),
if('Time 4'!C7 = ""Minh"", query(IMPORTRANGE(cd_planilha, ""Armas!B3:G""), ""Select Col1 Where Col2 = '""&amp;Personagem!$V$12&amp;""' or Col2 = '""&amp;Personagem!$V$13&amp;""' ""),
if('Time 4'!C7 = ""Mo"&amp;"jian"", query(IMPORTRANGE(cd_planilha, ""Armas!B3:G""), ""Select Col1 Where Col2 = '""&amp;Personagem!$W$12&amp;""' or Col2 = '""&amp;Personagem!$W$13&amp;""'""),
if('Time 4'!C7 = ""Nya"", query(IMPORTRANGE(cd_planilha, ""Armas!B3:G""), ""Select Col1 Where Col2 = '""&amp;Per"&amp;"sonagem!$X$12&amp;""' or Col2 = '""&amp;Personagem!$X$13&amp;""' ""),
if('Time 4'!C7 = ""Odette"", query(IMPORTRANGE(cd_planilha, ""Armas!B3:G""), ""Select Col1 Where Col2 = '""&amp;Personagem!$Y$12&amp;""' or Col2 = '""&amp;Personagem!$Y$13&amp;""'""),
if('Time 4'!C7 = ""Oneira"", "&amp;"query(IMPORTRANGE(cd_planilha, ""Armas!B3:G""), ""Select Col1 Where Col2 = '""&amp;Personagem!$Z$12&amp;""' or Col2 = '""&amp;Personagem!$Z$13&amp;""' ""),
if('Time 4'!C7 = ""Palash"", query(IMPORTRANGE(cd_planilha, ""Armas!B3:G""), ""Select Col1 Where Col2 = '""&amp;Persona"&amp;"gem!$AA$12&amp;""' or Col2 = '""&amp;Personagem!$AA$13&amp;""'""),
if('Time 4'!C7 = ""Theor"", query(IMPORTRANGE(cd_planilha, ""Armas!B3:G""), ""Select Col1 Where Col2 = '""&amp;Personagem!$AB$12&amp;""' or Col2 = '""&amp;Personagem!$AB$13&amp;""' ""),
if('Time 4'!C7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V598" s="241"/>
      <c r="W598" s="241" t="b">
        <f>IFERROR(__xludf.DUMMYFUNCTION("if('Time 4'!C8 = ""Albert"", query(IMPORTRANGE(cd_planilha, ""Armas!B3:G""), ""Select Col1 Where Col2 = '""&amp;Personagem!$B$12&amp;""' or Col2 = '""&amp;Personagem!$B$13&amp;""'""),     
if('Time 4'!C8 = ""Alicia"", query(IMPORTRANGE(cd_planilha, ""Armas!B3:G""), ""Sel"&amp;"ect Col1 Where Col2 = '""&amp;Personagem!$C$12&amp;""' or Col2 = '""&amp;Personagem!$C$13&amp;""'""),
if('Time 4'!C8 = ""Azula"", query(IMPORTRANGE(cd_planilha, ""Armas!B3:G""), ""Select Col1 Where Col2 = '""&amp;Personagem!$D$12&amp;""' or Col2 = '""&amp;Personagem!$D$13&amp;""' ""),
i"&amp;"f('Time 4'!C8 = ""Charles"", query(IMPORTRANGE(cd_planilha, ""Armas!B3:G""), ""Select Col1 Where Col2 = '""&amp;Personagem!$E$12&amp;""' or Col2 = '""&amp;Personagem!$E$13&amp;""'""),
if('Time 4'!C8 = ""Clovis"", query(IMPORTRANGE(cd_planilha, ""Armas!B3:G""), ""Select C"&amp;"ol1 Where Col2 = '""&amp;Personagem!$F$12&amp;""' or Col2 = '""&amp;Personagem!$F$13&amp;""' ""),
if('Time 4'!C8 = ""Darthos"", query(IMPORTRANGE(cd_planilha, ""Armas!B3:G""), ""Select Col1 Where Col2 = '""&amp;Personagem!$G$12&amp;""' or Col2 = '""&amp;Personagem!$G$13&amp;""'""),
if('"&amp;"Time 4'!C8 = ""Edward"", query(IMPORTRANGE(cd_planilha, ""Armas!B3:G""), ""Select Col1 Where Col2 = '""&amp;Personagem!$H$12&amp;""' or Col2 = '""&amp;Personagem!$H$13&amp;""' ""),
if('Time 4'!C8 = ""Fiora"", query(IMPORTRANGE(cd_planilha, ""Armas!B3:G""), ""Select Col1 "&amp;"Where Col2 = '""&amp;Personagem!$I$12&amp;""' or Col2 = '""&amp;Personagem!$I$13&amp;""' ""),
if('Time 4'!C8 = ""Francesca"", query(IMPORTRANGE(cd_planilha, ""Armas!B3:G""), ""Select Col1 Where Col2 = '""&amp;Personagem!$J$12&amp;""' or Col2 = '""&amp;Personagem!$J$13&amp;""'""),
if('Ti"&amp;"me 4'!C8 = ""Garreth"", query(IMPORTRANGE(cd_planilha, ""Armas!B3:G""), ""Select Col1 Where Col2 = '""&amp;Personagem!$K$12&amp;""' or Col2 = '""&amp;Personagem!$K$13&amp;""'""),
if('Time 4'!C8 = ""Gauvin"", query(IMPORTRANGE(cd_planilha, ""Armas!B3:G""), ""Select Col1 W"&amp;"here Col2 = '""&amp;Personagem!$L$12&amp;""' or Col2 = '""&amp;Personagem!$L$13&amp;""' ""),
if('Time 4'!C8 = ""Irene"", query(IMPORTRANGE(cd_planilha, ""Armas!B3:G""), ""Select Col1 Where Col2 = '""&amp;Personagem!$M$12&amp;""' or Col2 = '""&amp;Personagem!$M$13&amp;""' ""),
if('Time 4"&amp;"'!C8 = ""Karal"", query(IMPORTRANGE(cd_planilha, ""Armas!B3:G""), ""Select Col1 Where Col2 = '""&amp;Personagem!$N$12&amp;""' or Col2 = '""&amp;Personagem!$N$13&amp;""' ""),
if('Time 4'!C8 = ""Kuro Shobi"", query(IMPORTRANGE(cd_planilha, ""Armas!B3:G""), ""Select Col1 Wh"&amp;"ere Col2 = '""&amp;Personagem!$O$12&amp;""' or Col2 = '""&amp;Personagem!$O$13&amp;""'""),
if('Time 4'!C8 = ""Kurul"", query(IMPORTRANGE(cd_planilha, ""Armas!B3:G""), ""Select Col1 Where Col2 = '""&amp;Personagem!$P$12&amp;""' or Col2 = '""&amp;Personagem!$P$13&amp;""' ""),
if('Time 4'!"&amp;"C8 = ""Lancaster"", query(IMPORTRANGE(cd_planilha, ""Armas!B3:G""), ""Select Col1 Where Col2 = '""&amp;Personagem!$Q$12&amp;""' or Col2 = '""&amp;Personagem!$Q$13&amp;""'""),
if('Time 4'!C8 = ""Lorelei"", query(IMPORTRANGE(cd_planilha, ""Armas!B3:G""), ""Select Col1 Wher"&amp;"e Col2 = '""&amp;Personagem!$R$12&amp;""' or Col2 = '""&amp;Personagem!$R$13&amp;""' ""),
if('Time 4'!C8 = ""Louca"", query(IMPORTRANGE(cd_planilha, ""Armas!B3:G""), ""Select Col1 Where Col2 = '""&amp;Personagem!$S$12&amp;""' or Col2 = '""&amp;Personagem!$S$13&amp;""' ""),
if('Time 4'!C"&amp;"8 = ""Melina"", query(IMPORTRANGE(cd_planilha, ""Armas!B3:G""), ""Select Col1 Where Col2 = '""&amp;Personagem!$T$12&amp;""' or Col2 = '""&amp;Personagem!$T$13&amp;""'""),
if('Time 4'!C8 = ""Mila"", query(IMPORTRANGE(cd_planilha, ""Armas!B3:G""), ""Select Col1 Where Col2 "&amp;"= '""&amp;Personagem!$U$12&amp;""' or Col2 = '""&amp;Personagem!$U$13&amp;""' ""),
if('Time 4'!C8 = ""Minh"", query(IMPORTRANGE(cd_planilha, ""Armas!B3:G""), ""Select Col1 Where Col2 = '""&amp;Personagem!$V$12&amp;""' or Col2 = '""&amp;Personagem!$V$13&amp;""' ""),
if('Time 4'!C8 = ""Mo"&amp;"jian"", query(IMPORTRANGE(cd_planilha, ""Armas!B3:G""), ""Select Col1 Where Col2 = '""&amp;Personagem!$W$12&amp;""' or Col2 = '""&amp;Personagem!$W$13&amp;""'""),
if('Time 4'!C8 = ""Nya"", query(IMPORTRANGE(cd_planilha, ""Armas!B3:G""), ""Select Col1 Where Col2 = '""&amp;Per"&amp;"sonagem!$X$12&amp;""' or Col2 = '""&amp;Personagem!$X$13&amp;""' ""),
if('Time 4'!C8 = ""Odette"", query(IMPORTRANGE(cd_planilha, ""Armas!B3:G""), ""Select Col1 Where Col2 = '""&amp;Personagem!$Y$12&amp;""' or Col2 = '""&amp;Personagem!$Y$13&amp;""'""),
if('Time 4'!C8 = ""Oneira"", "&amp;"query(IMPORTRANGE(cd_planilha, ""Armas!B3:G""), ""Select Col1 Where Col2 = '""&amp;Personagem!$Z$12&amp;""' or Col2 = '""&amp;Personagem!$Z$13&amp;""' ""),
if('Time 4'!C8 = ""Palash"", query(IMPORTRANGE(cd_planilha, ""Armas!B3:G""), ""Select Col1 Where Col2 = '""&amp;Persona"&amp;"gem!$AA$12&amp;""' or Col2 = '""&amp;Personagem!$AA$13&amp;""'""),
if('Time 4'!C8 = ""Theor"", query(IMPORTRANGE(cd_planilha, ""Armas!B3:G""), ""Select Col1 Where Col2 = '""&amp;Personagem!$AB$12&amp;""' or Col2 = '""&amp;Personagem!$AB$13&amp;""' ""),
if('Time 4'!C8 = ""Yue"", quer"&amp;"y(IMPORTRANGE(cd_planilha, ""Armas!B3:G""), ""Select Col1 Where Col2 = '""&amp;Personagem!$AC$12&amp;""' or Col2 = '""&amp;Personagem!$AC$13&amp;""'""
)))))))))))))))))))))))))))))"),FALSE)</f>
        <v>0</v>
      </c>
      <c r="X598" s="242"/>
      <c r="Y598" s="241" t="str">
        <f>IFERROR(__xludf.DUMMYFUNCTION("if('Time 4'!C3 = ""Albert"", query(IMPORTRANGE(cd_planilha, ""Armas!B3:G""), ""Select Col1 Where Col2 = '""&amp;Personagem!$B$14&amp;""' or Col2 = '""&amp;Personagem!$B$15&amp;""' or Col2 = '""&amp;Personagem!$B$16&amp;""'""),     
if('Time 4'!C3 = ""Alicia"", query(IMPORTRANGE("&amp;"cd_planilha, ""Armas!B3:G""), ""Select Col1 Where Col2 = '""&amp;Personagem!$C$14&amp;""'  or Col2 = '""&amp;Personagem!$C$16&amp;""'""),     
if('Time 4'!C3 = ""Azula"", query(IMPORTRANGE(cd_planilha, ""Armas!B3:G""), ""Select Col1 Where Col2 = '""&amp;Personagem!$D$14&amp;""' "&amp;"or Col2 = '""&amp;Personagem!$D$15&amp;""' or Col2 = '""&amp;Personagem!$D$16&amp;""'""),
if('Time 4'!C3 = ""Charles"", query(IMPORTRANGE(cd_planilha, ""Armas!B3:G""), ""Select Col1 Where Col2 = '""&amp;Personagem!$E$14&amp;""' or Col2 = '""&amp;Personagem!$E$15&amp;""'or Col2 = '""&amp;Per"&amp;"sonagem!$E$16&amp;""'""),
if('Time 4'!C3 = ""Clovis"", query(IMPORTRANGE(cd_planilha, ""Armas!B3:G""), ""Select Col1 Where Col2 = '""&amp;Personagem!$F$14&amp;""' or Col2 = '""&amp;Personagem!$F$15&amp;""' or Col2 = '""&amp;Personagem!$F$16&amp;""'""),
if('Time 4'!C3 = ""Darthos"", "&amp;"query(IMPORTRANGE(cd_planilha, ""Armas!B3:G""), ""Select Col1 Where Col2 = '""&amp;Personagem!$G$14&amp;""' or Col2 = '""&amp;Personagem!$G$15&amp;""'or Col2 = '""&amp;Personagem!$G$16&amp;""'""),
if('Time 4'!C3 = ""Edward"", query(IMPORTRANGE(cd_planilha, ""Armas!B3:G""), ""Sel"&amp;"ect Col1 Where Col2 = '""&amp;Personagem!$H$14&amp;""' or Col2 = '""&amp;Personagem!$H$15&amp;""' or Col2 = '""&amp;Personagem!$H$16&amp;""'""),
if('Time 4'!C3 = ""Fiora"", query(IMPORTRANGE(cd_planilha, ""Armas!B3:G""), ""Select Col1 Where Col2 = '""&amp;Personagem!$I$14&amp;""' or Col"&amp;"2 = '""&amp;Personagem!$I$15&amp;""' or Col2 = '""&amp;Personagem!$I$16&amp;""'""),
if('Time 4'!C3 = ""Francesca"", query(IMPORTRANGE(cd_planilha, ""Armas!B3:G""), ""Select Col1 Where Col2 = '""&amp;Personagem!$J$14&amp;""' or Col2 = '""&amp;Personagem!$J$15&amp;""'or Col2 = '""&amp;Persona"&amp;"gem!$J$16&amp;""'""),
if('Time 4'!C3 = ""Garreth"", query(IMPORTRANGE(cd_planilha, ""Armas!B3:G""), ""Select Col1 Where Col2 = '""&amp;Personagem!$K$14&amp;""' or Col2 = '""&amp;Personagem!$K$15&amp;""'or Col2 = '""&amp;Personagem!$K$16&amp;""'""),
if('Time 4'!C3 = ""Gauvin"", query"&amp;"(IMPORTRANGE(cd_planilha, ""Armas!B3:G""), ""Select Col1 Where Col2 = '""&amp;Personagem!$L$14&amp;""' or Col2 = '""&amp;Personagem!$L$15&amp;""'or Col2 = '""&amp;Personagem!$L$16&amp;""' ""),
if('Time 4'!C3 = ""Irene"", query(IMPORTRANGE(cd_planilha, ""Armas!B3:G""), ""Select C"&amp;"ol1 Where Col2 = '""&amp;Personagem!$M$14&amp;""' or Col2 = '""&amp;Personagem!$M$15&amp;""'or Col2 = '""&amp;Personagem!$M$16&amp;""' ""),
if('Time 4'!C3 = ""Karal"", query(IMPORTRANGE(cd_planilha, ""Armas!B3:G""), ""Select Col1 Where Col2 = '""&amp;Personagem!$N$14&amp;""' or Col2 = '"&amp;"""&amp;Personagem!$N$15&amp;""' or Col2 = '""&amp;Personagem!$N$16&amp;""'""),
if('Time 4'!C3 = ""Kuro Shobi"", query(IMPORTRANGE(cd_planilha, ""Armas!B3:G""), ""Select Col1 Where Col2 = '""&amp;Personagem!$O$14&amp;""' or Col2 = '""&amp;Personagem!$O$15&amp;""'or Col2 = '""&amp;Personagem!"&amp;"$O$16&amp;""'""),
if('Time 4'!C3 = ""Kurul"", query(IMPORTRANGE(cd_planilha, ""Armas!B3:G""), ""Select Col1 Where Col2 = '""&amp;Personagem!$P$14&amp;""' or Col2 = '""&amp;Personagem!$P$15&amp;""' or Col2 = '""&amp;Personagem!$P$16&amp;""'""),
if('Time 4'!C3 = ""Lancaster"", query(I"&amp;"MPORTRANGE(cd_planilha, ""Armas!B3:G""), ""Select Col1 Where Col2 = '""&amp;Personagem!$Q$14&amp;""' or Col2 = '""&amp;Personagem!$Q$15&amp;""'or Col2 = '""&amp;Personagem!$Q$16&amp;""'""),
if('Time 4'!C3 = ""Lorelei"", query(IMPORTRANGE(cd_planilha, ""Armas!B3:G""), ""Select Co"&amp;"l1 Where Col2 = '""&amp;Personagem!$R$14&amp;""' or Col2 = '""&amp;Personagem!$R$15&amp;""' or Col2 = '""&amp;Personagem!$R$16&amp;""'""),
if('Time 4'!C3 = ""Louca"", query(IMPORTRANGE(cd_planilha, ""Armas!B3:G""), ""Select Col1 Where Col2 = '""&amp;Personagem!$S$14&amp;""' or Col2 = '"&amp;"""&amp;Personagem!$S$15&amp;""'or Col2 = '""&amp;Personagem!$S$16&amp;""' ""),
if('Time 4'!C3 = ""Melina"", query(IMPORTRANGE(cd_planilha, ""Armas!B3:G""), ""Select Col1 Where Col2 = '""&amp;Personagem!$T$14&amp;""' or Col2 = '""&amp;Personagem!$T$15&amp;""'or Col2 = '""&amp;Personagem!$T$1"&amp;"6&amp;""'""),
if('Time 4'!C3 = ""Mila"", query(IMPORTRANGE(cd_planilha, ""Armas!B3:G""), ""Select Col1 Where Col2 = '""&amp;Personagem!$U$14&amp;""' or Col2 = '""&amp;Personagem!$U$15&amp;""' or Col2 = '""&amp;Personagem!$U$16&amp;""'""),
if('Time 4'!C3 = ""Minh"", query(IMPORTRANGE"&amp;"(cd_planilha, ""Armas!B3:G""), ""Select Col1 Where Col2 = '""&amp;Personagem!$V$14&amp;""' or Col2 = '""&amp;Personagem!$V$15&amp;""' or Col2 = '""&amp;Personagem!$V$16&amp;""'""),
if('Time 4'!C3 = ""Mojian"", query(IMPORTRANGE(cd_planilha, ""Armas!B3:G""), ""Select Col1 Where C"&amp;"ol2 = '""&amp;Personagem!$W$14&amp;""' or Col2 = '""&amp;Personagem!$W$15&amp;""'or Col2 = '""&amp;Personagem!$W$16&amp;""'""),
if('Time 4'!C3 = ""Nya"", query(IMPORTRANGE(cd_planilha, ""Armas!B3:G""), ""Select Col1 Where Col2 = '""&amp;Personagem!$X$14&amp;""' or Col2 = '""&amp;Personagem!"&amp;"$X$15&amp;""' or Col2 = '""&amp;Personagem!$X$16&amp;""'""),
if('Time 4'!C3 = ""Odette"", query(IMPORTRANGE(cd_planilha, ""Armas!B3:G""), ""Select Col1 Where Col2 = '""&amp;Personagem!$Y$14&amp;""' or Col2 = '""&amp;Personagem!$Y$15&amp;""'or Col2 = '""&amp;Personagem!$YB$16&amp;""'""),
if("&amp;"'Time 4'!C3 = ""Oneira"", query(IMPORTRANGE(cd_planilha, ""Armas!B3:G""), ""Select Col1 Where Col2 = '""&amp;Personagem!$Z$14&amp;""' or Col2 = '""&amp;Personagem!$Z$15&amp;""' or Col2 = '""&amp;Personagem!$Z$16&amp;""'""),
if('Time 4'!C3 = ""Palash"", query(IMPORTRANGE(cd_plani"&amp;"lha, ""Armas!B3:G""), ""Select Col1 Where Col2 = '""&amp;Personagem!$AA$14&amp;""' or Col2 = '""&amp;Personagem!$AA$15&amp;""'or Col2 = '""&amp;Personagem!$AA$16&amp;""'""),
if('Time 4'!C3 = ""Theor"", query(IMPORTRANGE(cd_planilha, ""Armas!B3:G""), ""Select Col1 Where Col2 = '"&amp;"""&amp;Personagem!$AB$14&amp;""' or Col2 = '""&amp;Personagem!$AB$15&amp;""' or Col2 = '""&amp;Personagem!$AB$16&amp;""'""),
if('Time 4'!C3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Z598" s="241"/>
      <c r="AA598" s="241" t="str">
        <f>IFERROR(__xludf.DUMMYFUNCTION("if('Time 4'!C4 = ""Albert"", query(IMPORTRANGE(cd_planilha, ""Armas!B3:G""), ""Select Col1 Where Col2 = '""&amp;Personagem!$B$14&amp;""' or Col2 = '""&amp;Personagem!$B$15&amp;""' or Col2 = '""&amp;Personagem!$B$16&amp;""'""),     
if('Time 4'!C4 = ""Alicia"", query(IMPORTRANGE("&amp;"cd_planilha, ""Armas!B3:G""), ""Select Col1 Where Col2 = '""&amp;Personagem!$C$14&amp;""'  or Col2 = '""&amp;Personagem!$C$16&amp;""'""),     
if('Time 4'!C4 = ""Azula"", query(IMPORTRANGE(cd_planilha, ""Armas!B3:G""), ""Select Col1 Where Col2 = '""&amp;Personagem!$D$14&amp;""' "&amp;"or Col2 = '""&amp;Personagem!$D$15&amp;""' or Col2 = '""&amp;Personagem!$D$16&amp;""'""),
if('Time 4'!C4 = ""Charles"", query(IMPORTRANGE(cd_planilha, ""Armas!B3:G""), ""Select Col1 Where Col2 = '""&amp;Personagem!$E$14&amp;""' or Col2 = '""&amp;Personagem!$E$15&amp;""'or Col2 = '""&amp;Per"&amp;"sonagem!$E$16&amp;""'""),
if('Time 4'!C4 = ""Clovis"", query(IMPORTRANGE(cd_planilha, ""Armas!B3:G""), ""Select Col1 Where Col2 = '""&amp;Personagem!$F$14&amp;""' or Col2 = '""&amp;Personagem!$F$15&amp;""' or Col2 = '""&amp;Personagem!$F$16&amp;""'""),
if('Time 4'!C4 = ""Darthos"", "&amp;"query(IMPORTRANGE(cd_planilha, ""Armas!B3:G""), ""Select Col1 Where Col2 = '""&amp;Personagem!$G$14&amp;""' or Col2 = '""&amp;Personagem!$G$15&amp;""'or Col2 = '""&amp;Personagem!$G$16&amp;""'""),
if('Time 4'!C4 = ""Edward"", query(IMPORTRANGE(cd_planilha, ""Armas!B3:G""), ""Sel"&amp;"ect Col1 Where Col2 = '""&amp;Personagem!$H$14&amp;""' or Col2 = '""&amp;Personagem!$H$15&amp;""' or Col2 = '""&amp;Personagem!$H$16&amp;""'""),
if('Time 4'!C4 = ""Fiora"", query(IMPORTRANGE(cd_planilha, ""Armas!B3:G""), ""Select Col1 Where Col2 = '""&amp;Personagem!$I$14&amp;""' or Col"&amp;"2 = '""&amp;Personagem!$I$15&amp;""' or Col2 = '""&amp;Personagem!$I$16&amp;""'""),
if('Time 4'!C4 = ""Francesca"", query(IMPORTRANGE(cd_planilha, ""Armas!B3:G""), ""Select Col1 Where Col2 = '""&amp;Personagem!$J$14&amp;""' or Col2 = '""&amp;Personagem!$J$15&amp;""'or Col2 = '""&amp;Persona"&amp;"gem!$J$16&amp;""'""),
if('Time 4'!C4 = ""Garreth"", query(IMPORTRANGE(cd_planilha, ""Armas!B3:G""), ""Select Col1 Where Col2 = '""&amp;Personagem!$K$14&amp;""' or Col2 = '""&amp;Personagem!$K$15&amp;""'or Col2 = '""&amp;Personagem!$K$16&amp;""'""),
if('Time 4'!C4 = ""Gauvin"", query"&amp;"(IMPORTRANGE(cd_planilha, ""Armas!B3:G""), ""Select Col1 Where Col2 = '""&amp;Personagem!$L$14&amp;""' or Col2 = '""&amp;Personagem!$L$15&amp;""'or Col2 = '""&amp;Personagem!$L$16&amp;""' ""),
if('Time 4'!C4 = ""Irene"", query(IMPORTRANGE(cd_planilha, ""Armas!B3:G""), ""Select C"&amp;"ol1 Where Col2 = '""&amp;Personagem!$M$14&amp;""' or Col2 = '""&amp;Personagem!$M$15&amp;""'or Col2 = '""&amp;Personagem!$M$16&amp;""' ""),
if('Time 4'!C4 = ""Karal"", query(IMPORTRANGE(cd_planilha, ""Armas!B3:G""), ""Select Col1 Where Col2 = '""&amp;Personagem!$N$14&amp;""' or Col2 = '"&amp;"""&amp;Personagem!$N$15&amp;""' or Col2 = '""&amp;Personagem!$N$16&amp;""'""),
if('Time 4'!C4 = ""Kuro Shobi"", query(IMPORTRANGE(cd_planilha, ""Armas!B3:G""), ""Select Col1 Where Col2 = '""&amp;Personagem!$O$14&amp;""' or Col2 = '""&amp;Personagem!$O$15&amp;""'or Col2 = '""&amp;Personagem!"&amp;"$O$16&amp;""'""),
if('Time 4'!C4 = ""Kurul"", query(IMPORTRANGE(cd_planilha, ""Armas!B3:G""), ""Select Col1 Where Col2 = '""&amp;Personagem!$P$14&amp;""' or Col2 = '""&amp;Personagem!$P$15&amp;""' or Col2 = '""&amp;Personagem!$P$16&amp;""'""),
if('Time 4'!C4 = ""Lancaster"", query(I"&amp;"MPORTRANGE(cd_planilha, ""Armas!B3:G""), ""Select Col1 Where Col2 = '""&amp;Personagem!$Q$14&amp;""' or Col2 = '""&amp;Personagem!$Q$15&amp;""'or Col2 = '""&amp;Personagem!$Q$16&amp;""'""),
if('Time 4'!C4 = ""Lorelei"", query(IMPORTRANGE(cd_planilha, ""Armas!B3:G""), ""Select Co"&amp;"l1 Where Col2 = '""&amp;Personagem!$R$14&amp;""' or Col2 = '""&amp;Personagem!$R$15&amp;""' or Col2 = '""&amp;Personagem!$R$16&amp;""'""),
if('Time 4'!C4 = ""Louca"", query(IMPORTRANGE(cd_planilha, ""Armas!B3:G""), ""Select Col1 Where Col2 = '""&amp;Personagem!$S$14&amp;""' or Col2 = '"&amp;"""&amp;Personagem!$S$15&amp;""'or Col2 = '""&amp;Personagem!$S$16&amp;""' ""),
if('Time 4'!C4 = ""Melina"", query(IMPORTRANGE(cd_planilha, ""Armas!B3:G""), ""Select Col1 Where Col2 = '""&amp;Personagem!$T$14&amp;""' or Col2 = '""&amp;Personagem!$T$15&amp;""'or Col2 = '""&amp;Personagem!$T$1"&amp;"6&amp;""'""),
if('Time 4'!C4 = ""Mila"", query(IMPORTRANGE(cd_planilha, ""Armas!B3:G""), ""Select Col1 Where Col2 = '""&amp;Personagem!$U$14&amp;""' or Col2 = '""&amp;Personagem!$U$15&amp;""' or Col2 = '""&amp;Personagem!$U$16&amp;""'""),
if('Time 4'!C4 = ""Minh"", query(IMPORTRANGE"&amp;"(cd_planilha, ""Armas!B3:G""), ""Select Col1 Where Col2 = '""&amp;Personagem!$V$14&amp;""' or Col2 = '""&amp;Personagem!$V$15&amp;""' or Col2 = '""&amp;Personagem!$V$16&amp;""'""),
if('Time 4'!C4 = ""Mojian"", query(IMPORTRANGE(cd_planilha, ""Armas!B3:G""), ""Select Col1 Where C"&amp;"ol2 = '""&amp;Personagem!$W$14&amp;""' or Col2 = '""&amp;Personagem!$W$15&amp;""'or Col2 = '""&amp;Personagem!$W$16&amp;""'""),
if('Time 4'!C4 = ""Nya"", query(IMPORTRANGE(cd_planilha, ""Armas!B3:G""), ""Select Col1 Where Col2 = '""&amp;Personagem!$X$14&amp;""' or Col2 = '""&amp;Personagem!"&amp;"$X$15&amp;""' or Col2 = '""&amp;Personagem!$X$16&amp;""'""),
if('Time 4'!C4 = ""Odette"", query(IMPORTRANGE(cd_planilha, ""Armas!B3:G""), ""Select Col1 Where Col2 = '""&amp;Personagem!$Y$14&amp;""' or Col2 = '""&amp;Personagem!$Y$15&amp;""'or Col2 = '""&amp;Personagem!$YB$16&amp;""'""),
if("&amp;"'Time 4'!C4 = ""Oneira"", query(IMPORTRANGE(cd_planilha, ""Armas!B3:G""), ""Select Col1 Where Col2 = '""&amp;Personagem!$Z$14&amp;""' or Col2 = '""&amp;Personagem!$Z$15&amp;""' or Col2 = '""&amp;Personagem!$Z$16&amp;""'""),
if('Time 4'!C4 = ""Palash"", query(IMPORTRANGE(cd_plani"&amp;"lha, ""Armas!B3:G""), ""Select Col1 Where Col2 = '""&amp;Personagem!$AA$14&amp;""' or Col2 = '""&amp;Personagem!$AA$15&amp;""'or Col2 = '""&amp;Personagem!$AA$16&amp;""'""),
if('Time 4'!C4 = ""Theor"", query(IMPORTRANGE(cd_planilha, ""Armas!B3:G""), ""Select Col1 Where Col2 = '"&amp;"""&amp;Personagem!$AB$14&amp;""' or Col2 = '""&amp;Personagem!$AB$15&amp;""' or Col2 = '""&amp;Personagem!$AB$16&amp;""'""),
if('Time 4'!C4 = ""Yue"", query(IMPORTRANGE(cd_planilha, ""Armas!B3:G""), ""Select Col1 Where Col2 = '""&amp;Personagem!$AC$14&amp;""' or Col2 = '""&amp;Personagem!$A"&amp;"C$15&amp;""'or Col2 = '""&amp;Personagem!$AC$16&amp;""'""
)))))))))))))))))))))))))))))"),"Flauta de Ferro")</f>
        <v>Flauta de Ferro</v>
      </c>
      <c r="AB598" s="241"/>
      <c r="AC598" s="241" t="str">
        <f>IFERROR(__xludf.DUMMYFUNCTION("if('Time 4'!C5 = ""Albert"", query(IMPORTRANGE(cd_planilha, ""Armas!B3:G""), ""Select Col1 Where Col2 = '""&amp;Personagem!$B$14&amp;""' or Col2 = '""&amp;Personagem!$B$15&amp;""' or Col2 = '""&amp;Personagem!$B$16&amp;""'""),     
if('Time 4'!C5 = ""Alicia"", query(IMPORTRANGE("&amp;"cd_planilha, ""Armas!B3:G""), ""Select Col1 Where Col2 = '""&amp;Personagem!$C$14&amp;""'  or Col2 = '""&amp;Personagem!$C$16&amp;""'""),     
if('Time 4'!C5 = ""Azula"", query(IMPORTRANGE(cd_planilha, ""Armas!B3:G""), ""Select Col1 Where Col2 = '""&amp;Personagem!$D$14&amp;""' "&amp;"or Col2 = '""&amp;Personagem!$D$15&amp;""' or Col2 = '""&amp;Personagem!$D$16&amp;""'""),
if('Time 4'!C5 = ""Charles"", query(IMPORTRANGE(cd_planilha, ""Armas!B3:G""), ""Select Col1 Where Col2 = '""&amp;Personagem!$E$14&amp;""' or Col2 = '""&amp;Personagem!$E$15&amp;""'or Col2 = '""&amp;Per"&amp;"sonagem!$E$16&amp;""'""),
if('Time 4'!C5 = ""Clovis"", query(IMPORTRANGE(cd_planilha, ""Armas!B3:G""), ""Select Col1 Where Col2 = '""&amp;Personagem!$F$14&amp;""' or Col2 = '""&amp;Personagem!$F$15&amp;""' or Col2 = '""&amp;Personagem!$F$16&amp;""'""),
if('Time 4'!C5 = ""Darthos"", "&amp;"query(IMPORTRANGE(cd_planilha, ""Armas!B3:G""), ""Select Col1 Where Col2 = '""&amp;Personagem!$G$14&amp;""' or Col2 = '""&amp;Personagem!$G$15&amp;""'or Col2 = '""&amp;Personagem!$G$16&amp;""'""),
if('Time 4'!C5 = ""Edward"", query(IMPORTRANGE(cd_planilha, ""Armas!B3:G""), ""Sel"&amp;"ect Col1 Where Col2 = '""&amp;Personagem!$H$14&amp;""' or Col2 = '""&amp;Personagem!$H$15&amp;""' or Col2 = '""&amp;Personagem!$H$16&amp;""'""),
if('Time 4'!C5 = ""Fiora"", query(IMPORTRANGE(cd_planilha, ""Armas!B3:G""), ""Select Col1 Where Col2 = '""&amp;Personagem!$I$14&amp;""' or Col"&amp;"2 = '""&amp;Personagem!$I$15&amp;""' or Col2 = '""&amp;Personagem!$I$16&amp;""'""),
if('Time 4'!C5 = ""Francesca"", query(IMPORTRANGE(cd_planilha, ""Armas!B3:G""), ""Select Col1 Where Col2 = '""&amp;Personagem!$J$14&amp;""' or Col2 = '""&amp;Personagem!$J$15&amp;""'or Col2 = '""&amp;Persona"&amp;"gem!$J$16&amp;""'""),
if('Time 4'!C5 = ""Garreth"", query(IMPORTRANGE(cd_planilha, ""Armas!B3:G""), ""Select Col1 Where Col2 = '""&amp;Personagem!$K$14&amp;""' or Col2 = '""&amp;Personagem!$K$15&amp;""'or Col2 = '""&amp;Personagem!$K$16&amp;""'""),
if('Time 4'!C5 = ""Gauvin"", query"&amp;"(IMPORTRANGE(cd_planilha, ""Armas!B3:G""), ""Select Col1 Where Col2 = '""&amp;Personagem!$L$14&amp;""' or Col2 = '""&amp;Personagem!$L$15&amp;""'or Col2 = '""&amp;Personagem!$L$16&amp;""' ""),
if('Time 4'!C5 = ""Irene"", query(IMPORTRANGE(cd_planilha, ""Armas!B3:G""), ""Select C"&amp;"ol1 Where Col2 = '""&amp;Personagem!$M$14&amp;""' or Col2 = '""&amp;Personagem!$M$15&amp;""'or Col2 = '""&amp;Personagem!$M$16&amp;""' ""),
if('Time 4'!C5 = ""Karal"", query(IMPORTRANGE(cd_planilha, ""Armas!B3:G""), ""Select Col1 Where Col2 = '""&amp;Personagem!$N$14&amp;""' or Col2 = '"&amp;"""&amp;Personagem!$N$15&amp;""' or Col2 = '""&amp;Personagem!$N$16&amp;""'""),
if('Time 4'!C5 = ""Kuro Shobi"", query(IMPORTRANGE(cd_planilha, ""Armas!B3:G""), ""Select Col1 Where Col2 = '""&amp;Personagem!$O$14&amp;""' or Col2 = '""&amp;Personagem!$O$15&amp;""'or Col2 = '""&amp;Personagem!"&amp;"$O$16&amp;""'""),
if('Time 4'!C5 = ""Kurul"", query(IMPORTRANGE(cd_planilha, ""Armas!B3:G""), ""Select Col1 Where Col2 = '""&amp;Personagem!$P$14&amp;""' or Col2 = '""&amp;Personagem!$P$15&amp;""' or Col2 = '""&amp;Personagem!$P$16&amp;""'""),
if('Time 4'!C5 = ""Lancaster"", query(I"&amp;"MPORTRANGE(cd_planilha, ""Armas!B3:G""), ""Select Col1 Where Col2 = '""&amp;Personagem!$Q$14&amp;""' or Col2 = '""&amp;Personagem!$Q$15&amp;""'or Col2 = '""&amp;Personagem!$Q$16&amp;""'""),
if('Time 4'!C5 = ""Lorelei"", query(IMPORTRANGE(cd_planilha, ""Armas!B3:G""), ""Select Co"&amp;"l1 Where Col2 = '""&amp;Personagem!$R$14&amp;""' or Col2 = '""&amp;Personagem!$R$15&amp;""' or Col2 = '""&amp;Personagem!$R$16&amp;""'""),
if('Time 4'!C5 = ""Louca"", query(IMPORTRANGE(cd_planilha, ""Armas!B3:G""), ""Select Col1 Where Col2 = '""&amp;Personagem!$S$14&amp;""' or Col2 = '"&amp;"""&amp;Personagem!$S$15&amp;""'or Col2 = '""&amp;Personagem!$S$16&amp;""' ""),
if('Time 4'!C5 = ""Melina"", query(IMPORTRANGE(cd_planilha, ""Armas!B3:G""), ""Select Col1 Where Col2 = '""&amp;Personagem!$T$14&amp;""' or Col2 = '""&amp;Personagem!$T$15&amp;""'or Col2 = '""&amp;Personagem!$T$1"&amp;"6&amp;""'""),
if('Time 4'!C5 = ""Mila"", query(IMPORTRANGE(cd_planilha, ""Armas!B3:G""), ""Select Col1 Where Col2 = '""&amp;Personagem!$U$14&amp;""' or Col2 = '""&amp;Personagem!$U$15&amp;""' or Col2 = '""&amp;Personagem!$U$16&amp;""'""),
if('Time 4'!C5 = ""Minh"", query(IMPORTRANGE"&amp;"(cd_planilha, ""Armas!B3:G""), ""Select Col1 Where Col2 = '""&amp;Personagem!$V$14&amp;""' or Col2 = '""&amp;Personagem!$V$15&amp;""' or Col2 = '""&amp;Personagem!$V$16&amp;""'""),
if('Time 4'!C5 = ""Mojian"", query(IMPORTRANGE(cd_planilha, ""Armas!B3:G""), ""Select Col1 Where C"&amp;"ol2 = '""&amp;Personagem!$W$14&amp;""' or Col2 = '""&amp;Personagem!$W$15&amp;""'or Col2 = '""&amp;Personagem!$W$16&amp;""'""),
if('Time 4'!C5 = ""Nya"", query(IMPORTRANGE(cd_planilha, ""Armas!B3:G""), ""Select Col1 Where Col2 = '""&amp;Personagem!$X$14&amp;""' or Col2 = '""&amp;Personagem!"&amp;"$X$15&amp;""' or Col2 = '""&amp;Personagem!$X$16&amp;""'""),
if('Time 4'!C5 = ""Odette"", query(IMPORTRANGE(cd_planilha, ""Armas!B3:G""), ""Select Col1 Where Col2 = '""&amp;Personagem!$Y$14&amp;""' or Col2 = '""&amp;Personagem!$Y$15&amp;""'or Col2 = '""&amp;Personagem!$YB$16&amp;""'""),
if("&amp;"'Time 4'!C5 = ""Oneira"", query(IMPORTRANGE(cd_planilha, ""Armas!B3:G""), ""Select Col1 Where Col2 = '""&amp;Personagem!$Z$14&amp;""' or Col2 = '""&amp;Personagem!$Z$15&amp;""' or Col2 = '""&amp;Personagem!$Z$16&amp;""'""),
if('Time 4'!C5 = ""Palash"", query(IMPORTRANGE(cd_plani"&amp;"lha, ""Armas!B3:G""), ""Select Col1 Where Col2 = '""&amp;Personagem!$AA$14&amp;""' or Col2 = '""&amp;Personagem!$AA$15&amp;""'or Col2 = '""&amp;Personagem!$AA$16&amp;""'""),
if('Time 4'!C5 = ""Theor"", query(IMPORTRANGE(cd_planilha, ""Armas!B3:G""), ""Select Col1 Where Col2 = '"&amp;"""&amp;Personagem!$AB$14&amp;""' or Col2 = '""&amp;Personagem!$AB$15&amp;""' or Col2 = '""&amp;Personagem!$AB$16&amp;""'""),
if('Time 4'!C5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D598" s="241"/>
      <c r="AE598" s="241" t="str">
        <f>IFERROR(__xludf.DUMMYFUNCTION("if('Time 4'!C6 = ""Albert"", query(IMPORTRANGE(cd_planilha, ""Armas!B3:G""), ""Select Col1 Where Col2 = '""&amp;Personagem!$B$14&amp;""' or Col2 = '""&amp;Personagem!$B$15&amp;""' or Col2 = '""&amp;Personagem!$B$16&amp;""'""),     
if('Time 4'!C6 = ""Alicia"", query(IMPORTRANGE("&amp;"cd_planilha, ""Armas!B3:G""), ""Select Col1 Where Col2 = '""&amp;Personagem!$C$14&amp;""'  or Col2 = '""&amp;Personagem!$C$16&amp;""'""),     
if('Time 4'!C6 = ""Azula"", query(IMPORTRANGE(cd_planilha, ""Armas!B3:G""), ""Select Col1 Where Col2 = '""&amp;Personagem!$D$14&amp;""' "&amp;"or Col2 = '""&amp;Personagem!$D$15&amp;""' or Col2 = '""&amp;Personagem!$D$16&amp;""'""),
if('Time 4'!C6 = ""Charles"", query(IMPORTRANGE(cd_planilha, ""Armas!B3:G""), ""Select Col1 Where Col2 = '""&amp;Personagem!$E$14&amp;""' or Col2 = '""&amp;Personagem!$E$15&amp;""'or Col2 = '""&amp;Per"&amp;"sonagem!$E$16&amp;""'""),
if('Time 4'!C6 = ""Clovis"", query(IMPORTRANGE(cd_planilha, ""Armas!B3:G""), ""Select Col1 Where Col2 = '""&amp;Personagem!$F$14&amp;""' or Col2 = '""&amp;Personagem!$F$15&amp;""' or Col2 = '""&amp;Personagem!$F$16&amp;""'""),
if('Time 4'!C6 = ""Darthos"", "&amp;"query(IMPORTRANGE(cd_planilha, ""Armas!B3:G""), ""Select Col1 Where Col2 = '""&amp;Personagem!$G$14&amp;""' or Col2 = '""&amp;Personagem!$G$15&amp;""'or Col2 = '""&amp;Personagem!$G$16&amp;""'""),
if('Time 4'!C6 = ""Edward"", query(IMPORTRANGE(cd_planilha, ""Armas!B3:G""), ""Sel"&amp;"ect Col1 Where Col2 = '""&amp;Personagem!$H$14&amp;""' or Col2 = '""&amp;Personagem!$H$15&amp;""' or Col2 = '""&amp;Personagem!$H$16&amp;""'""),
if('Time 4'!C6 = ""Fiora"", query(IMPORTRANGE(cd_planilha, ""Armas!B3:G""), ""Select Col1 Where Col2 = '""&amp;Personagem!$I$14&amp;""' or Col"&amp;"2 = '""&amp;Personagem!$I$15&amp;""' or Col2 = '""&amp;Personagem!$I$16&amp;""'""),
if('Time 4'!C6 = ""Francesca"", query(IMPORTRANGE(cd_planilha, ""Armas!B3:G""), ""Select Col1 Where Col2 = '""&amp;Personagem!$J$14&amp;""' or Col2 = '""&amp;Personagem!$J$15&amp;""'or Col2 = '""&amp;Persona"&amp;"gem!$J$16&amp;""'""),
if('Time 4'!C6 = ""Garreth"", query(IMPORTRANGE(cd_planilha, ""Armas!B3:G""), ""Select Col1 Where Col2 = '""&amp;Personagem!$K$14&amp;""' or Col2 = '""&amp;Personagem!$K$15&amp;""'or Col2 = '""&amp;Personagem!$K$16&amp;""'""),
if('Time 4'!C6 = ""Gauvin"", query"&amp;"(IMPORTRANGE(cd_planilha, ""Armas!B3:G""), ""Select Col1 Where Col2 = '""&amp;Personagem!$L$14&amp;""' or Col2 = '""&amp;Personagem!$L$15&amp;""'or Col2 = '""&amp;Personagem!$L$16&amp;""' ""),
if('Time 4'!C6 = ""Irene"", query(IMPORTRANGE(cd_planilha, ""Armas!B3:G""), ""Select C"&amp;"ol1 Where Col2 = '""&amp;Personagem!$M$14&amp;""' or Col2 = '""&amp;Personagem!$M$15&amp;""'or Col2 = '""&amp;Personagem!$M$16&amp;""' ""),
if('Time 4'!C6 = ""Karal"", query(IMPORTRANGE(cd_planilha, ""Armas!B3:G""), ""Select Col1 Where Col2 = '""&amp;Personagem!$N$14&amp;""' or Col2 = '"&amp;"""&amp;Personagem!$N$15&amp;""' or Col2 = '""&amp;Personagem!$N$16&amp;""'""),
if('Time 4'!C6 = ""Kuro Shobi"", query(IMPORTRANGE(cd_planilha, ""Armas!B3:G""), ""Select Col1 Where Col2 = '""&amp;Personagem!$O$14&amp;""' or Col2 = '""&amp;Personagem!$O$15&amp;""'or Col2 = '""&amp;Personagem!"&amp;"$O$16&amp;""'""),
if('Time 4'!C6 = ""Kurul"", query(IMPORTRANGE(cd_planilha, ""Armas!B3:G""), ""Select Col1 Where Col2 = '""&amp;Personagem!$P$14&amp;""' or Col2 = '""&amp;Personagem!$P$15&amp;""' or Col2 = '""&amp;Personagem!$P$16&amp;""'""),
if('Time 4'!C6 = ""Lancaster"", query(I"&amp;"MPORTRANGE(cd_planilha, ""Armas!B3:G""), ""Select Col1 Where Col2 = '""&amp;Personagem!$Q$14&amp;""' or Col2 = '""&amp;Personagem!$Q$15&amp;""'or Col2 = '""&amp;Personagem!$Q$16&amp;""'""),
if('Time 4'!C6 = ""Lorelei"", query(IMPORTRANGE(cd_planilha, ""Armas!B3:G""), ""Select Co"&amp;"l1 Where Col2 = '""&amp;Personagem!$R$14&amp;""' or Col2 = '""&amp;Personagem!$R$15&amp;""' or Col2 = '""&amp;Personagem!$R$16&amp;""'""),
if('Time 4'!C6 = ""Louca"", query(IMPORTRANGE(cd_planilha, ""Armas!B3:G""), ""Select Col1 Where Col2 = '""&amp;Personagem!$S$14&amp;""' or Col2 = '"&amp;"""&amp;Personagem!$S$15&amp;""'or Col2 = '""&amp;Personagem!$S$16&amp;""' ""),
if('Time 4'!C6 = ""Melina"", query(IMPORTRANGE(cd_planilha, ""Armas!B3:G""), ""Select Col1 Where Col2 = '""&amp;Personagem!$T$14&amp;""' or Col2 = '""&amp;Personagem!$T$15&amp;""'or Col2 = '""&amp;Personagem!$T$1"&amp;"6&amp;""'""),
if('Time 4'!C6 = ""Mila"", query(IMPORTRANGE(cd_planilha, ""Armas!B3:G""), ""Select Col1 Where Col2 = '""&amp;Personagem!$U$14&amp;""' or Col2 = '""&amp;Personagem!$U$15&amp;""' or Col2 = '""&amp;Personagem!$U$16&amp;""'""),
if('Time 4'!C6 = ""Minh"", query(IMPORTRANGE"&amp;"(cd_planilha, ""Armas!B3:G""), ""Select Col1 Where Col2 = '""&amp;Personagem!$V$14&amp;""' or Col2 = '""&amp;Personagem!$V$15&amp;""' or Col2 = '""&amp;Personagem!$V$16&amp;""'""),
if('Time 4'!C6 = ""Mojian"", query(IMPORTRANGE(cd_planilha, ""Armas!B3:G""), ""Select Col1 Where C"&amp;"ol2 = '""&amp;Personagem!$W$14&amp;""' or Col2 = '""&amp;Personagem!$W$15&amp;""'or Col2 = '""&amp;Personagem!$W$16&amp;""'""),
if('Time 4'!C6 = ""Nya"", query(IMPORTRANGE(cd_planilha, ""Armas!B3:G""), ""Select Col1 Where Col2 = '""&amp;Personagem!$X$14&amp;""' or Col2 = '""&amp;Personagem!"&amp;"$X$15&amp;""' or Col2 = '""&amp;Personagem!$X$16&amp;""'""),
if('Time 4'!C6 = ""Odette"", query(IMPORTRANGE(cd_planilha, ""Armas!B3:G""), ""Select Col1 Where Col2 = '""&amp;Personagem!$Y$14&amp;""' or Col2 = '""&amp;Personagem!$Y$15&amp;""'or Col2 = '""&amp;Personagem!$YB$16&amp;""'""),
if("&amp;"'Time 4'!C6 = ""Oneira"", query(IMPORTRANGE(cd_planilha, ""Armas!B3:G""), ""Select Col1 Where Col2 = '""&amp;Personagem!$Z$14&amp;""' or Col2 = '""&amp;Personagem!$Z$15&amp;""' or Col2 = '""&amp;Personagem!$Z$16&amp;""'""),
if('Time 4'!C6 = ""Palash"", query(IMPORTRANGE(cd_plani"&amp;"lha, ""Armas!B3:G""), ""Select Col1 Where Col2 = '""&amp;Personagem!$AA$14&amp;""' or Col2 = '""&amp;Personagem!$AA$15&amp;""'or Col2 = '""&amp;Personagem!$AA$16&amp;""'""),
if('Time 4'!C6 = ""Theor"", query(IMPORTRANGE(cd_planilha, ""Armas!B3:G""), ""Select Col1 Where Col2 = '"&amp;"""&amp;Personagem!$AB$14&amp;""' or Col2 = '""&amp;Personagem!$AB$15&amp;""' or Col2 = '""&amp;Personagem!$AB$16&amp;""'""),
if('Time 4'!C6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F598" s="241"/>
      <c r="AG598" s="241" t="str">
        <f>IFERROR(__xludf.DUMMYFUNCTION("if('Time 4'!C7 = ""Albert"", query(IMPORTRANGE(cd_planilha, ""Armas!B3:G""), ""Select Col1 Where Col2 = '""&amp;Personagem!$B$14&amp;""' or Col2 = '""&amp;Personagem!$B$15&amp;""' or Col2 = '""&amp;Personagem!$B$16&amp;""'""),     
if('Time 4'!C7 = ""Alicia"", query(IMPORTRANGE("&amp;"cd_planilha, ""Armas!B3:G""), ""Select Col1 Where Col2 = '""&amp;Personagem!$C$14&amp;""'  or Col2 = '""&amp;Personagem!$C$16&amp;""'""),     
if('Time 4'!C7 = ""Azula"", query(IMPORTRANGE(cd_planilha, ""Armas!B3:G""), ""Select Col1 Where Col2 = '""&amp;Personagem!$D$14&amp;""' "&amp;"or Col2 = '""&amp;Personagem!$D$15&amp;""' or Col2 = '""&amp;Personagem!$D$16&amp;""'""),
if('Time 4'!C7 = ""Charles"", query(IMPORTRANGE(cd_planilha, ""Armas!B3:G""), ""Select Col1 Where Col2 = '""&amp;Personagem!$E$14&amp;""' or Col2 = '""&amp;Personagem!$E$15&amp;""'or Col2 = '""&amp;Per"&amp;"sonagem!$E$16&amp;""'""),
if('Time 4'!C7 = ""Clovis"", query(IMPORTRANGE(cd_planilha, ""Armas!B3:G""), ""Select Col1 Where Col2 = '""&amp;Personagem!$F$14&amp;""' or Col2 = '""&amp;Personagem!$F$15&amp;""' or Col2 = '""&amp;Personagem!$F$16&amp;""'""),
if('Time 4'!C7 = ""Darthos"", "&amp;"query(IMPORTRANGE(cd_planilha, ""Armas!B3:G""), ""Select Col1 Where Col2 = '""&amp;Personagem!$G$14&amp;""' or Col2 = '""&amp;Personagem!$G$15&amp;""'or Col2 = '""&amp;Personagem!$G$16&amp;""'""),
if('Time 4'!C7 = ""Edward"", query(IMPORTRANGE(cd_planilha, ""Armas!B3:G""), ""Sel"&amp;"ect Col1 Where Col2 = '""&amp;Personagem!$H$14&amp;""' or Col2 = '""&amp;Personagem!$H$15&amp;""' or Col2 = '""&amp;Personagem!$H$16&amp;""'""),
if('Time 4'!C7 = ""Fiora"", query(IMPORTRANGE(cd_planilha, ""Armas!B3:G""), ""Select Col1 Where Col2 = '""&amp;Personagem!$I$14&amp;""' or Col"&amp;"2 = '""&amp;Personagem!$I$15&amp;""' or Col2 = '""&amp;Personagem!$I$16&amp;""'""),
if('Time 4'!C7 = ""Francesca"", query(IMPORTRANGE(cd_planilha, ""Armas!B3:G""), ""Select Col1 Where Col2 = '""&amp;Personagem!$J$14&amp;""' or Col2 = '""&amp;Personagem!$J$15&amp;""'or Col2 = '""&amp;Persona"&amp;"gem!$J$16&amp;""'""),
if('Time 4'!C7 = ""Garreth"", query(IMPORTRANGE(cd_planilha, ""Armas!B3:G""), ""Select Col1 Where Col2 = '""&amp;Personagem!$K$14&amp;""' or Col2 = '""&amp;Personagem!$K$15&amp;""'or Col2 = '""&amp;Personagem!$K$16&amp;""'""),
if('Time 4'!C7 = ""Gauvin"", query"&amp;"(IMPORTRANGE(cd_planilha, ""Armas!B3:G""), ""Select Col1 Where Col2 = '""&amp;Personagem!$L$14&amp;""' or Col2 = '""&amp;Personagem!$L$15&amp;""'or Col2 = '""&amp;Personagem!$L$16&amp;""' ""),
if('Time 4'!C7 = ""Irene"", query(IMPORTRANGE(cd_planilha, ""Armas!B3:G""), ""Select C"&amp;"ol1 Where Col2 = '""&amp;Personagem!$M$14&amp;""' or Col2 = '""&amp;Personagem!$M$15&amp;""'or Col2 = '""&amp;Personagem!$M$16&amp;""' ""),
if('Time 4'!C7 = ""Karal"", query(IMPORTRANGE(cd_planilha, ""Armas!B3:G""), ""Select Col1 Where Col2 = '""&amp;Personagem!$N$14&amp;""' or Col2 = '"&amp;"""&amp;Personagem!$N$15&amp;""' or Col2 = '""&amp;Personagem!$N$16&amp;""'""),
if('Time 4'!C7 = ""Kuro Shobi"", query(IMPORTRANGE(cd_planilha, ""Armas!B3:G""), ""Select Col1 Where Col2 = '""&amp;Personagem!$O$14&amp;""' or Col2 = '""&amp;Personagem!$O$15&amp;""'or Col2 = '""&amp;Personagem!"&amp;"$O$16&amp;""'""),
if('Time 4'!C7 = ""Kurul"", query(IMPORTRANGE(cd_planilha, ""Armas!B3:G""), ""Select Col1 Where Col2 = '""&amp;Personagem!$P$14&amp;""' or Col2 = '""&amp;Personagem!$P$15&amp;""' or Col2 = '""&amp;Personagem!$P$16&amp;""'""),
if('Time 4'!C7 = ""Lancaster"", query(I"&amp;"MPORTRANGE(cd_planilha, ""Armas!B3:G""), ""Select Col1 Where Col2 = '""&amp;Personagem!$Q$14&amp;""' or Col2 = '""&amp;Personagem!$Q$15&amp;""'or Col2 = '""&amp;Personagem!$Q$16&amp;""'""),
if('Time 4'!C7 = ""Lorelei"", query(IMPORTRANGE(cd_planilha, ""Armas!B3:G""), ""Select Co"&amp;"l1 Where Col2 = '""&amp;Personagem!$R$14&amp;""' or Col2 = '""&amp;Personagem!$R$15&amp;""' or Col2 = '""&amp;Personagem!$R$16&amp;""'""),
if('Time 4'!C7 = ""Louca"", query(IMPORTRANGE(cd_planilha, ""Armas!B3:G""), ""Select Col1 Where Col2 = '""&amp;Personagem!$S$14&amp;""' or Col2 = '"&amp;"""&amp;Personagem!$S$15&amp;""'or Col2 = '""&amp;Personagem!$S$16&amp;""' ""),
if('Time 4'!C7 = ""Melina"", query(IMPORTRANGE(cd_planilha, ""Armas!B3:G""), ""Select Col1 Where Col2 = '""&amp;Personagem!$T$14&amp;""' or Col2 = '""&amp;Personagem!$T$15&amp;""'or Col2 = '""&amp;Personagem!$T$1"&amp;"6&amp;""'""),
if('Time 4'!C7 = ""Mila"", query(IMPORTRANGE(cd_planilha, ""Armas!B3:G""), ""Select Col1 Where Col2 = '""&amp;Personagem!$U$14&amp;""' or Col2 = '""&amp;Personagem!$U$15&amp;""' or Col2 = '""&amp;Personagem!$U$16&amp;""'""),
if('Time 4'!C7 = ""Minh"", query(IMPORTRANGE"&amp;"(cd_planilha, ""Armas!B3:G""), ""Select Col1 Where Col2 = '""&amp;Personagem!$V$14&amp;""' or Col2 = '""&amp;Personagem!$V$15&amp;""' or Col2 = '""&amp;Personagem!$V$16&amp;""'""),
if('Time 4'!C7 = ""Mojian"", query(IMPORTRANGE(cd_planilha, ""Armas!B3:G""), ""Select Col1 Where C"&amp;"ol2 = '""&amp;Personagem!$W$14&amp;""' or Col2 = '""&amp;Personagem!$W$15&amp;""'or Col2 = '""&amp;Personagem!$W$16&amp;""'""),
if('Time 4'!C7 = ""Nya"", query(IMPORTRANGE(cd_planilha, ""Armas!B3:G""), ""Select Col1 Where Col2 = '""&amp;Personagem!$X$14&amp;""' or Col2 = '""&amp;Personagem!"&amp;"$X$15&amp;""' or Col2 = '""&amp;Personagem!$X$16&amp;""'""),
if('Time 4'!C7 = ""Odette"", query(IMPORTRANGE(cd_planilha, ""Armas!B3:G""), ""Select Col1 Where Col2 = '""&amp;Personagem!$Y$14&amp;""' or Col2 = '""&amp;Personagem!$Y$15&amp;""'or Col2 = '""&amp;Personagem!$YB$16&amp;""'""),
if("&amp;"'Time 4'!C7 = ""Oneira"", query(IMPORTRANGE(cd_planilha, ""Armas!B3:G""), ""Select Col1 Where Col2 = '""&amp;Personagem!$Z$14&amp;""' or Col2 = '""&amp;Personagem!$Z$15&amp;""' or Col2 = '""&amp;Personagem!$Z$16&amp;""'""),
if('Time 4'!C7 = ""Palash"", query(IMPORTRANGE(cd_plani"&amp;"lha, ""Armas!B3:G""), ""Select Col1 Where Col2 = '""&amp;Personagem!$AA$14&amp;""' or Col2 = '""&amp;Personagem!$AA$15&amp;""'or Col2 = '""&amp;Personagem!$AA$16&amp;""'""),
if('Time 4'!C7 = ""Theor"", query(IMPORTRANGE(cd_planilha, ""Armas!B3:G""), ""Select Col1 Where Col2 = '"&amp;"""&amp;Personagem!$AB$14&amp;""' or Col2 = '""&amp;Personagem!$AB$15&amp;""' or Col2 = '""&amp;Personagem!$AB$16&amp;""'""),
if('Time 4'!C7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H598" s="241"/>
      <c r="AI598" s="241" t="b">
        <f>IFERROR(__xludf.DUMMYFUNCTION("if('Time 4'!C8 = ""Albert"", query(IMPORTRANGE(cd_planilha, ""Armas!B3:G""), ""Select Col1 Where Col2 = '""&amp;Personagem!$B$14&amp;""' or Col2 = '""&amp;Personagem!$B$15&amp;""' or Col2 = '""&amp;Personagem!$B$16&amp;""'""),     
if('Time 4'!C8 = ""Alicia"", query(IMPORTRANGE("&amp;"cd_planilha, ""Armas!B3:G""), ""Select Col1 Where Col2 = '""&amp;Personagem!$C$14&amp;""'  or Col2 = '""&amp;Personagem!$C$16&amp;""'""),     
if('Time 4'!C8 = ""Azula"", query(IMPORTRANGE(cd_planilha, ""Armas!B3:G""), ""Select Col1 Where Col2 = '""&amp;Personagem!$D$14&amp;""' "&amp;"or Col2 = '""&amp;Personagem!$D$15&amp;""' or Col2 = '""&amp;Personagem!$D$16&amp;""'""),
if('Time 4'!C8 = ""Charles"", query(IMPORTRANGE(cd_planilha, ""Armas!B3:G""), ""Select Col1 Where Col2 = '""&amp;Personagem!$E$14&amp;""' or Col2 = '""&amp;Personagem!$E$15&amp;""'or Col2 = '""&amp;Per"&amp;"sonagem!$E$16&amp;""'""),
if('Time 4'!C8 = ""Clovis"", query(IMPORTRANGE(cd_planilha, ""Armas!B3:G""), ""Select Col1 Where Col2 = '""&amp;Personagem!$F$14&amp;""' or Col2 = '""&amp;Personagem!$F$15&amp;""' or Col2 = '""&amp;Personagem!$F$16&amp;""'""),
if('Time 4'!C8 = ""Darthos"", "&amp;"query(IMPORTRANGE(cd_planilha, ""Armas!B3:G""), ""Select Col1 Where Col2 = '""&amp;Personagem!$G$14&amp;""' or Col2 = '""&amp;Personagem!$G$15&amp;""'or Col2 = '""&amp;Personagem!$G$16&amp;""'""),
if('Time 4'!C8 = ""Edward"", query(IMPORTRANGE(cd_planilha, ""Armas!B3:G""), ""Sel"&amp;"ect Col1 Where Col2 = '""&amp;Personagem!$H$14&amp;""' or Col2 = '""&amp;Personagem!$H$15&amp;""' or Col2 = '""&amp;Personagem!$H$16&amp;""'""),
if('Time 4'!C8 = ""Fiora"", query(IMPORTRANGE(cd_planilha, ""Armas!B3:G""), ""Select Col1 Where Col2 = '""&amp;Personagem!$I$14&amp;""' or Col"&amp;"2 = '""&amp;Personagem!$I$15&amp;""' or Col2 = '""&amp;Personagem!$I$16&amp;""'""),
if('Time 4'!C8 = ""Francesca"", query(IMPORTRANGE(cd_planilha, ""Armas!B3:G""), ""Select Col1 Where Col2 = '""&amp;Personagem!$J$14&amp;""' or Col2 = '""&amp;Personagem!$J$15&amp;""'or Col2 = '""&amp;Persona"&amp;"gem!$J$16&amp;""'""),
if('Time 4'!C8 = ""Garreth"", query(IMPORTRANGE(cd_planilha, ""Armas!B3:G""), ""Select Col1 Where Col2 = '""&amp;Personagem!$K$14&amp;""' or Col2 = '""&amp;Personagem!$K$15&amp;""'or Col2 = '""&amp;Personagem!$K$16&amp;""'""),
if('Time 4'!C8 = ""Gauvin"", query"&amp;"(IMPORTRANGE(cd_planilha, ""Armas!B3:G""), ""Select Col1 Where Col2 = '""&amp;Personagem!$L$14&amp;""' or Col2 = '""&amp;Personagem!$L$15&amp;""'or Col2 = '""&amp;Personagem!$L$16&amp;""' ""),
if('Time 4'!C8 = ""Irene"", query(IMPORTRANGE(cd_planilha, ""Armas!B3:G""), ""Select C"&amp;"ol1 Where Col2 = '""&amp;Personagem!$M$14&amp;""' or Col2 = '""&amp;Personagem!$M$15&amp;""'or Col2 = '""&amp;Personagem!$M$16&amp;""' ""),
if('Time 4'!C8 = ""Karal"", query(IMPORTRANGE(cd_planilha, ""Armas!B3:G""), ""Select Col1 Where Col2 = '""&amp;Personagem!$N$14&amp;""' or Col2 = '"&amp;"""&amp;Personagem!$N$15&amp;""' or Col2 = '""&amp;Personagem!$N$16&amp;""'""),
if('Time 4'!C8 = ""Kuro Shobi"", query(IMPORTRANGE(cd_planilha, ""Armas!B3:G""), ""Select Col1 Where Col2 = '""&amp;Personagem!$O$14&amp;""' or Col2 = '""&amp;Personagem!$O$15&amp;""'or Col2 = '""&amp;Personagem!"&amp;"$O$16&amp;""'""),
if('Time 4'!C8 = ""Kurul"", query(IMPORTRANGE(cd_planilha, ""Armas!B3:G""), ""Select Col1 Where Col2 = '""&amp;Personagem!$P$14&amp;""' or Col2 = '""&amp;Personagem!$P$15&amp;""' or Col2 = '""&amp;Personagem!$P$16&amp;""'""),
if('Time 4'!C8 = ""Lancaster"", query(I"&amp;"MPORTRANGE(cd_planilha, ""Armas!B3:G""), ""Select Col1 Where Col2 = '""&amp;Personagem!$Q$14&amp;""' or Col2 = '""&amp;Personagem!$Q$15&amp;""'or Col2 = '""&amp;Personagem!$Q$16&amp;""'""),
if('Time 4'!C8 = ""Lorelei"", query(IMPORTRANGE(cd_planilha, ""Armas!B3:G""), ""Select Co"&amp;"l1 Where Col2 = '""&amp;Personagem!$R$14&amp;""' or Col2 = '""&amp;Personagem!$R$15&amp;""' or Col2 = '""&amp;Personagem!$R$16&amp;""'""),
if('Time 4'!C8 = ""Louca"", query(IMPORTRANGE(cd_planilha, ""Armas!B3:G""), ""Select Col1 Where Col2 = '""&amp;Personagem!$S$14&amp;""' or Col2 = '"&amp;"""&amp;Personagem!$S$15&amp;""'or Col2 = '""&amp;Personagem!$S$16&amp;""' ""),
if('Time 4'!C8 = ""Melina"", query(IMPORTRANGE(cd_planilha, ""Armas!B3:G""), ""Select Col1 Where Col2 = '""&amp;Personagem!$T$14&amp;""' or Col2 = '""&amp;Personagem!$T$15&amp;""'or Col2 = '""&amp;Personagem!$T$1"&amp;"6&amp;""'""),
if('Time 4'!C8 = ""Mila"", query(IMPORTRANGE(cd_planilha, ""Armas!B3:G""), ""Select Col1 Where Col2 = '""&amp;Personagem!$U$14&amp;""' or Col2 = '""&amp;Personagem!$U$15&amp;""' or Col2 = '""&amp;Personagem!$U$16&amp;""'""),
if('Time 4'!C8 = ""Minh"", query(IMPORTRANGE"&amp;"(cd_planilha, ""Armas!B3:G""), ""Select Col1 Where Col2 = '""&amp;Personagem!$V$14&amp;""' or Col2 = '""&amp;Personagem!$V$15&amp;""' or Col2 = '""&amp;Personagem!$V$16&amp;""'""),
if('Time 4'!C8 = ""Mojian"", query(IMPORTRANGE(cd_planilha, ""Armas!B3:G""), ""Select Col1 Where C"&amp;"ol2 = '""&amp;Personagem!$W$14&amp;""' or Col2 = '""&amp;Personagem!$W$15&amp;""'or Col2 = '""&amp;Personagem!$W$16&amp;""'""),
if('Time 4'!C8 = ""Nya"", query(IMPORTRANGE(cd_planilha, ""Armas!B3:G""), ""Select Col1 Where Col2 = '""&amp;Personagem!$X$14&amp;""' or Col2 = '""&amp;Personagem!"&amp;"$X$15&amp;""' or Col2 = '""&amp;Personagem!$X$16&amp;""'""),
if('Time 4'!C8 = ""Odette"", query(IMPORTRANGE(cd_planilha, ""Armas!B3:G""), ""Select Col1 Where Col2 = '""&amp;Personagem!$Y$14&amp;""' or Col2 = '""&amp;Personagem!$Y$15&amp;""'or Col2 = '""&amp;Personagem!$YB$16&amp;""'""),
if("&amp;"'Time 4'!C8 = ""Oneira"", query(IMPORTRANGE(cd_planilha, ""Armas!B3:G""), ""Select Col1 Where Col2 = '""&amp;Personagem!$Z$14&amp;""' or Col2 = '""&amp;Personagem!$Z$15&amp;""' or Col2 = '""&amp;Personagem!$Z$16&amp;""'""),
if('Time 4'!C8 = ""Palash"", query(IMPORTRANGE(cd_plani"&amp;"lha, ""Armas!B3:G""), ""Select Col1 Where Col2 = '""&amp;Personagem!$AA$14&amp;""' or Col2 = '""&amp;Personagem!$AA$15&amp;""'or Col2 = '""&amp;Personagem!$AA$16&amp;""'""),
if('Time 4'!C8 = ""Theor"", query(IMPORTRANGE(cd_planilha, ""Armas!B3:G""), ""Select Col1 Where Col2 = '"&amp;"""&amp;Personagem!$AB$14&amp;""' or Col2 = '""&amp;Personagem!$AB$15&amp;""' or Col2 = '""&amp;Personagem!$AB$16&amp;""'""),
if('Time 4'!C8 = ""Yue"", query(IMPORTRANGE(cd_planilha, ""Armas!B3:G""), ""Select Col1 Where Col2 = '""&amp;Personagem!$AC$14&amp;""' or Col2 = '""&amp;Personagem!$A"&amp;"C$15&amp;""'or Col2 = '""&amp;Personagem!$AC$16&amp;""'""
)))))))))))))))))))))))))))))"),FALSE)</f>
        <v>0</v>
      </c>
      <c r="AJ598" s="242"/>
    </row>
    <row r="599">
      <c r="A599" s="224" t="str">
        <f>IFERROR(__xludf.DUMMYFUNCTION("""COMPUTED_VALUE"""),"Guardian Protector")</f>
        <v>Guardian Protector</v>
      </c>
      <c r="B599" s="241"/>
      <c r="C599" s="224" t="str">
        <f>IFERROR(__xludf.DUMMYFUNCTION("""COMPUTED_VALUE"""),"Gancho mão de metal")</f>
        <v>Gancho mão de metal</v>
      </c>
      <c r="D599" s="241"/>
      <c r="E599" s="224" t="str">
        <f>IFERROR(__xludf.DUMMYFUNCTION("""COMPUTED_VALUE"""),"Gancho mão de metal")</f>
        <v>Gancho mão de metal</v>
      </c>
      <c r="F599" s="241"/>
      <c r="G599" s="224" t="str">
        <f>IFERROR(__xludf.DUMMYFUNCTION("""COMPUTED_VALUE"""),"Gancho mão de metal")</f>
        <v>Gancho mão de metal</v>
      </c>
      <c r="H599" s="241"/>
      <c r="I599" s="224" t="str">
        <f>IFERROR(__xludf.DUMMYFUNCTION("""COMPUTED_VALUE"""),"Guardian Protector")</f>
        <v>Guardian Protector</v>
      </c>
      <c r="J599" s="241"/>
      <c r="K599" s="241"/>
      <c r="L599" s="242"/>
      <c r="M599" s="224" t="str">
        <f>IFERROR(__xludf.DUMMYFUNCTION("""COMPUTED_VALUE"""),"Calçado Lunar ")</f>
        <v>Calçado Lunar </v>
      </c>
      <c r="N599" s="241"/>
      <c r="O599" s="224" t="str">
        <f>IFERROR(__xludf.DUMMYFUNCTION("""COMPUTED_VALUE"""),"Botas do leão")</f>
        <v>Botas do leão</v>
      </c>
      <c r="P599" s="241"/>
      <c r="Q599" s="224" t="str">
        <f>IFERROR(__xludf.DUMMYFUNCTION("""COMPUTED_VALUE"""),"Botas do leão")</f>
        <v>Botas do leão</v>
      </c>
      <c r="R599" s="241"/>
      <c r="S599" s="224" t="str">
        <f>IFERROR(__xludf.DUMMYFUNCTION("""COMPUTED_VALUE"""),"Botas do leão")</f>
        <v>Botas do leão</v>
      </c>
      <c r="T599" s="241"/>
      <c r="U599" s="224" t="str">
        <f>IFERROR(__xludf.DUMMYFUNCTION("""COMPUTED_VALUE"""),"Calçado Lunar ")</f>
        <v>Calçado Lunar </v>
      </c>
      <c r="V599" s="241"/>
      <c r="W599" s="241"/>
      <c r="X599" s="242"/>
      <c r="Y599" s="224" t="str">
        <f>IFERROR(__xludf.DUMMYFUNCTION("""COMPUTED_VALUE"""),"Interesseiro")</f>
        <v>Interesseiro</v>
      </c>
      <c r="Z599" s="241"/>
      <c r="AA599" s="224" t="str">
        <f>IFERROR(__xludf.DUMMYFUNCTION("""COMPUTED_VALUE"""),"Harpa Congelada")</f>
        <v>Harpa Congelada</v>
      </c>
      <c r="AB599" s="241"/>
      <c r="AC599" s="224" t="str">
        <f>IFERROR(__xludf.DUMMYFUNCTION("""COMPUTED_VALUE"""),"Contra Fogo")</f>
        <v>Contra Fogo</v>
      </c>
      <c r="AD599" s="241"/>
      <c r="AE599" s="224" t="str">
        <f>IFERROR(__xludf.DUMMYFUNCTION("""COMPUTED_VALUE"""),"Interesseiro")</f>
        <v>Interesseiro</v>
      </c>
      <c r="AF599" s="241"/>
      <c r="AG599" s="224" t="str">
        <f>IFERROR(__xludf.DUMMYFUNCTION("""COMPUTED_VALUE"""),"Interesseiro")</f>
        <v>Interesseiro</v>
      </c>
      <c r="AH599" s="241"/>
      <c r="AI599" s="241"/>
      <c r="AJ599" s="242"/>
    </row>
    <row r="600" hidden="1">
      <c r="A600" s="241" t="str">
        <f>IFERROR(__xludf.DUMMYFUNCTION("""COMPUTED_VALUE"""),"Luvas do Grão Mestre")</f>
        <v>Luvas do Grão Mestre</v>
      </c>
      <c r="B600" s="241"/>
      <c r="C600" s="241" t="str">
        <f>IFERROR(__xludf.DUMMYFUNCTION("""COMPUTED_VALUE"""),"Garra Gelada")</f>
        <v>Garra Gelada</v>
      </c>
      <c r="D600" s="241"/>
      <c r="E600" s="241" t="str">
        <f>IFERROR(__xludf.DUMMYFUNCTION("""COMPUTED_VALUE"""),"Garra Gelada")</f>
        <v>Garra Gelada</v>
      </c>
      <c r="F600" s="241"/>
      <c r="G600" s="241" t="str">
        <f>IFERROR(__xludf.DUMMYFUNCTION("""COMPUTED_VALUE"""),"Garra Gelada")</f>
        <v>Garra Gelada</v>
      </c>
      <c r="H600" s="241"/>
      <c r="I600" s="241" t="str">
        <f>IFERROR(__xludf.DUMMYFUNCTION("""COMPUTED_VALUE"""),"Luvas do Grão Mestre")</f>
        <v>Luvas do Grão Mestre</v>
      </c>
      <c r="J600" s="241"/>
      <c r="K600" s="241"/>
      <c r="L600" s="242"/>
      <c r="M600" s="241" t="str">
        <f>IFERROR(__xludf.DUMMYFUNCTION("""COMPUTED_VALUE"""),"Meh-ticulosamente Feito")</f>
        <v>Meh-ticulosamente Feito</v>
      </c>
      <c r="N600" s="241"/>
      <c r="O600" s="241" t="str">
        <f>IFERROR(__xludf.DUMMYFUNCTION("""COMPUTED_VALUE"""),"Botas do Aventureiro")</f>
        <v>Botas do Aventureiro</v>
      </c>
      <c r="P600" s="241"/>
      <c r="Q600" s="241" t="str">
        <f>IFERROR(__xludf.DUMMYFUNCTION("""COMPUTED_VALUE"""),"Botas do Aventureiro")</f>
        <v>Botas do Aventureiro</v>
      </c>
      <c r="R600" s="241"/>
      <c r="S600" s="241" t="str">
        <f>IFERROR(__xludf.DUMMYFUNCTION("""COMPUTED_VALUE"""),"Botas do Aventureiro")</f>
        <v>Botas do Aventureiro</v>
      </c>
      <c r="T600" s="241"/>
      <c r="U600" s="241" t="str">
        <f>IFERROR(__xludf.DUMMYFUNCTION("""COMPUTED_VALUE"""),"Meh-ticulosamente Feito")</f>
        <v>Meh-ticulosamente Feito</v>
      </c>
      <c r="V600" s="241"/>
      <c r="W600" s="241"/>
      <c r="X600" s="242"/>
      <c r="Y600" s="241" t="str">
        <f>IFERROR(__xludf.DUMMYFUNCTION("""COMPUTED_VALUE"""),"Anel ferradura")</f>
        <v>Anel ferradura</v>
      </c>
      <c r="Z600" s="241"/>
      <c r="AA600" s="241" t="str">
        <f>IFERROR(__xludf.DUMMYFUNCTION("""COMPUTED_VALUE"""),"Flauta Ygg")</f>
        <v>Flauta Ygg</v>
      </c>
      <c r="AB600" s="241"/>
      <c r="AC600" s="241" t="str">
        <f>IFERROR(__xludf.DUMMYFUNCTION("""COMPUTED_VALUE"""),"Scarab Shield")</f>
        <v>Scarab Shield</v>
      </c>
      <c r="AD600" s="241"/>
      <c r="AE600" s="241" t="str">
        <f>IFERROR(__xludf.DUMMYFUNCTION("""COMPUTED_VALUE"""),"Anel ferradura")</f>
        <v>Anel ferradura</v>
      </c>
      <c r="AF600" s="241"/>
      <c r="AG600" s="241" t="str">
        <f>IFERROR(__xludf.DUMMYFUNCTION("""COMPUTED_VALUE"""),"Anel ferradura")</f>
        <v>Anel ferradura</v>
      </c>
      <c r="AH600" s="241"/>
      <c r="AI600" s="241"/>
      <c r="AJ600" s="242"/>
    </row>
    <row r="601" hidden="1">
      <c r="A601" s="241" t="str">
        <f>IFERROR(__xludf.DUMMYFUNCTION("""COMPUTED_VALUE"""),"Luvas das Sombras")</f>
        <v>Luvas das Sombras</v>
      </c>
      <c r="B601" s="241"/>
      <c r="C601" s="241" t="str">
        <f>IFERROR(__xludf.DUMMYFUNCTION("""COMPUTED_VALUE"""),"Manoplas do Rei")</f>
        <v>Manoplas do Rei</v>
      </c>
      <c r="D601" s="241"/>
      <c r="E601" s="241" t="str">
        <f>IFERROR(__xludf.DUMMYFUNCTION("""COMPUTED_VALUE"""),"Manoplas do Rei")</f>
        <v>Manoplas do Rei</v>
      </c>
      <c r="F601" s="241"/>
      <c r="G601" s="241" t="str">
        <f>IFERROR(__xludf.DUMMYFUNCTION("""COMPUTED_VALUE"""),"Manoplas do Rei")</f>
        <v>Manoplas do Rei</v>
      </c>
      <c r="H601" s="241"/>
      <c r="I601" s="241" t="str">
        <f>IFERROR(__xludf.DUMMYFUNCTION("""COMPUTED_VALUE"""),"Luvas das Sombras")</f>
        <v>Luvas das Sombras</v>
      </c>
      <c r="J601" s="241"/>
      <c r="K601" s="241"/>
      <c r="L601" s="242"/>
      <c r="M601" s="241" t="str">
        <f>IFERROR(__xludf.DUMMYFUNCTION("""COMPUTED_VALUE"""),"Sandálias de Asas ")</f>
        <v>Sandálias de Asas </v>
      </c>
      <c r="N601" s="241"/>
      <c r="O601" s="241" t="str">
        <f>IFERROR(__xludf.DUMMYFUNCTION("""COMPUTED_VALUE"""),"Grevas da chama")</f>
        <v>Grevas da chama</v>
      </c>
      <c r="P601" s="241"/>
      <c r="Q601" s="241" t="str">
        <f>IFERROR(__xludf.DUMMYFUNCTION("""COMPUTED_VALUE"""),"Grevas da chama")</f>
        <v>Grevas da chama</v>
      </c>
      <c r="R601" s="241"/>
      <c r="S601" s="241" t="str">
        <f>IFERROR(__xludf.DUMMYFUNCTION("""COMPUTED_VALUE"""),"Grevas da chama")</f>
        <v>Grevas da chama</v>
      </c>
      <c r="T601" s="241"/>
      <c r="U601" s="241" t="str">
        <f>IFERROR(__xludf.DUMMYFUNCTION("""COMPUTED_VALUE"""),"Sandálias de Asas ")</f>
        <v>Sandálias de Asas </v>
      </c>
      <c r="V601" s="241"/>
      <c r="W601" s="241"/>
      <c r="X601" s="242"/>
      <c r="Y601" s="241" t="str">
        <f>IFERROR(__xludf.DUMMYFUNCTION("""COMPUTED_VALUE"""),"Perseguindo a lua")</f>
        <v>Perseguindo a lua</v>
      </c>
      <c r="Z601" s="241"/>
      <c r="AA601" s="241" t="str">
        <f>IFERROR(__xludf.DUMMYFUNCTION("""COMPUTED_VALUE"""),"Chifre de Serpente ")</f>
        <v>Chifre de Serpente </v>
      </c>
      <c r="AB601" s="241"/>
      <c r="AC601" s="241" t="str">
        <f>IFERROR(__xludf.DUMMYFUNCTION("""COMPUTED_VALUE"""),"Égide ")</f>
        <v>Égide </v>
      </c>
      <c r="AD601" s="241"/>
      <c r="AE601" s="241" t="str">
        <f>IFERROR(__xludf.DUMMYFUNCTION("""COMPUTED_VALUE"""),"Perseguindo a lua")</f>
        <v>Perseguindo a lua</v>
      </c>
      <c r="AF601" s="241"/>
      <c r="AG601" s="241" t="str">
        <f>IFERROR(__xludf.DUMMYFUNCTION("""COMPUTED_VALUE"""),"Perseguindo a lua")</f>
        <v>Perseguindo a lua</v>
      </c>
      <c r="AH601" s="241"/>
      <c r="AI601" s="241"/>
      <c r="AJ601" s="242"/>
    </row>
    <row r="602" hidden="1">
      <c r="A602" s="241" t="str">
        <f>IFERROR(__xludf.DUMMYFUNCTION("""COMPUTED_VALUE"""),"Braceletes gélidos")</f>
        <v>Braceletes gélidos</v>
      </c>
      <c r="B602" s="241"/>
      <c r="C602" s="241" t="str">
        <f>IFERROR(__xludf.DUMMYFUNCTION("""COMPUTED_VALUE"""),"Chocantes ")</f>
        <v>Chocantes </v>
      </c>
      <c r="D602" s="241"/>
      <c r="E602" s="241" t="str">
        <f>IFERROR(__xludf.DUMMYFUNCTION("""COMPUTED_VALUE"""),"Chocantes ")</f>
        <v>Chocantes </v>
      </c>
      <c r="F602" s="241"/>
      <c r="G602" s="241" t="str">
        <f>IFERROR(__xludf.DUMMYFUNCTION("""COMPUTED_VALUE"""),"Chocantes ")</f>
        <v>Chocantes </v>
      </c>
      <c r="H602" s="241"/>
      <c r="I602" s="241" t="str">
        <f>IFERROR(__xludf.DUMMYFUNCTION("""COMPUTED_VALUE"""),"Braceletes gélidos")</f>
        <v>Braceletes gélidos</v>
      </c>
      <c r="J602" s="241"/>
      <c r="K602" s="241"/>
      <c r="L602" s="242"/>
      <c r="M602" s="241" t="str">
        <f>IFERROR(__xludf.DUMMYFUNCTION("""COMPUTED_VALUE"""),"Encontra-Caminho")</f>
        <v>Encontra-Caminho</v>
      </c>
      <c r="N602" s="241"/>
      <c r="O602" s="241" t="str">
        <f>IFERROR(__xludf.DUMMYFUNCTION("""COMPUTED_VALUE"""),"Calçados mágicos")</f>
        <v>Calçados mágicos</v>
      </c>
      <c r="P602" s="241"/>
      <c r="Q602" s="241" t="str">
        <f>IFERROR(__xludf.DUMMYFUNCTION("""COMPUTED_VALUE"""),"Calçados mágicos")</f>
        <v>Calçados mágicos</v>
      </c>
      <c r="R602" s="241"/>
      <c r="S602" s="241" t="str">
        <f>IFERROR(__xludf.DUMMYFUNCTION("""COMPUTED_VALUE"""),"Calçados mágicos")</f>
        <v>Calçados mágicos</v>
      </c>
      <c r="T602" s="241"/>
      <c r="U602" s="241" t="str">
        <f>IFERROR(__xludf.DUMMYFUNCTION("""COMPUTED_VALUE"""),"Encontra-Caminho")</f>
        <v>Encontra-Caminho</v>
      </c>
      <c r="V602" s="241"/>
      <c r="W602" s="241"/>
      <c r="X602" s="242"/>
      <c r="Y602" s="241" t="str">
        <f>IFERROR(__xludf.DUMMYFUNCTION("""COMPUTED_VALUE"""),"Anel do Cruzado")</f>
        <v>Anel do Cruzado</v>
      </c>
      <c r="Z602" s="241"/>
      <c r="AA602" s="241" t="str">
        <f>IFERROR(__xludf.DUMMYFUNCTION("""COMPUTED_VALUE"""),"Gu Zheng")</f>
        <v>Gu Zheng</v>
      </c>
      <c r="AB602" s="241"/>
      <c r="AC602" s="241" t="str">
        <f>IFERROR(__xludf.DUMMYFUNCTION("""COMPUTED_VALUE"""),"Escudo Estrelado")</f>
        <v>Escudo Estrelado</v>
      </c>
      <c r="AD602" s="241"/>
      <c r="AE602" s="241" t="str">
        <f>IFERROR(__xludf.DUMMYFUNCTION("""COMPUTED_VALUE"""),"Anel do Cruzado")</f>
        <v>Anel do Cruzado</v>
      </c>
      <c r="AF602" s="241"/>
      <c r="AG602" s="241" t="str">
        <f>IFERROR(__xludf.DUMMYFUNCTION("""COMPUTED_VALUE"""),"Anel do Cruzado")</f>
        <v>Anel do Cruzado</v>
      </c>
      <c r="AH602" s="241"/>
      <c r="AI602" s="241"/>
      <c r="AJ602" s="242"/>
    </row>
    <row r="603" hidden="1">
      <c r="A603" s="241" t="str">
        <f>IFERROR(__xludf.DUMMYFUNCTION("""COMPUTED_VALUE"""),"Luvas do espreitador")</f>
        <v>Luvas do espreitador</v>
      </c>
      <c r="B603" s="241"/>
      <c r="C603" s="241" t="str">
        <f>IFERROR(__xludf.DUMMYFUNCTION("""COMPUTED_VALUE"""),"Manopla de escamas de Dragão")</f>
        <v>Manopla de escamas de Dragão</v>
      </c>
      <c r="D603" s="241"/>
      <c r="E603" s="241" t="str">
        <f>IFERROR(__xludf.DUMMYFUNCTION("""COMPUTED_VALUE"""),"Manopla de escamas de Dragão")</f>
        <v>Manopla de escamas de Dragão</v>
      </c>
      <c r="F603" s="241"/>
      <c r="G603" s="241" t="str">
        <f>IFERROR(__xludf.DUMMYFUNCTION("""COMPUTED_VALUE"""),"Manopla de escamas de Dragão")</f>
        <v>Manopla de escamas de Dragão</v>
      </c>
      <c r="H603" s="241"/>
      <c r="I603" s="241" t="str">
        <f>IFERROR(__xludf.DUMMYFUNCTION("""COMPUTED_VALUE"""),"Luvas do espreitador")</f>
        <v>Luvas do espreitador</v>
      </c>
      <c r="J603" s="241"/>
      <c r="K603" s="241"/>
      <c r="L603" s="242"/>
      <c r="M603" s="241" t="str">
        <f>IFERROR(__xludf.DUMMYFUNCTION("""COMPUTED_VALUE"""),"Botas piratas")</f>
        <v>Botas piratas</v>
      </c>
      <c r="N603" s="241"/>
      <c r="O603" s="241" t="str">
        <f>IFERROR(__xludf.DUMMYFUNCTION("""COMPUTED_VALUE"""),"Pisa-em-crânios")</f>
        <v>Pisa-em-crânios</v>
      </c>
      <c r="P603" s="241"/>
      <c r="Q603" s="241" t="str">
        <f>IFERROR(__xludf.DUMMYFUNCTION("""COMPUTED_VALUE"""),"Pisa-em-crânios")</f>
        <v>Pisa-em-crânios</v>
      </c>
      <c r="R603" s="241"/>
      <c r="S603" s="241" t="str">
        <f>IFERROR(__xludf.DUMMYFUNCTION("""COMPUTED_VALUE"""),"Pisa-em-crânios")</f>
        <v>Pisa-em-crânios</v>
      </c>
      <c r="T603" s="241"/>
      <c r="U603" s="241" t="str">
        <f>IFERROR(__xludf.DUMMYFUNCTION("""COMPUTED_VALUE"""),"Botas piratas")</f>
        <v>Botas piratas</v>
      </c>
      <c r="V603" s="241"/>
      <c r="W603" s="241"/>
      <c r="X603" s="242"/>
      <c r="Y603" s="241" t="str">
        <f>IFERROR(__xludf.DUMMYFUNCTION("""COMPUTED_VALUE"""),"Dragão sinete")</f>
        <v>Dragão sinete</v>
      </c>
      <c r="Z603" s="241"/>
      <c r="AA603" s="241" t="str">
        <f>IFERROR(__xludf.DUMMYFUNCTION("""COMPUTED_VALUE"""),"Batimento Dracônico ")</f>
        <v>Batimento Dracônico </v>
      </c>
      <c r="AB603" s="241"/>
      <c r="AC603" s="241" t="str">
        <f>IFERROR(__xludf.DUMMYFUNCTION("""COMPUTED_VALUE"""),"Escudo de cristal")</f>
        <v>Escudo de cristal</v>
      </c>
      <c r="AD603" s="241"/>
      <c r="AE603" s="241" t="str">
        <f>IFERROR(__xludf.DUMMYFUNCTION("""COMPUTED_VALUE"""),"Dragão sinete")</f>
        <v>Dragão sinete</v>
      </c>
      <c r="AF603" s="241"/>
      <c r="AG603" s="241" t="str">
        <f>IFERROR(__xludf.DUMMYFUNCTION("""COMPUTED_VALUE"""),"Dragão sinete")</f>
        <v>Dragão sinete</v>
      </c>
      <c r="AH603" s="241"/>
      <c r="AI603" s="241"/>
      <c r="AJ603" s="242"/>
    </row>
    <row r="604" hidden="1">
      <c r="A604" s="241" t="str">
        <f>IFERROR(__xludf.DUMMYFUNCTION("""COMPUTED_VALUE"""),"Celtic Bracer")</f>
        <v>Celtic Bracer</v>
      </c>
      <c r="B604" s="241"/>
      <c r="C604" s="241" t="str">
        <f>IFERROR(__xludf.DUMMYFUNCTION("""COMPUTED_VALUE"""),"Punhos de Adamantium")</f>
        <v>Punhos de Adamantium</v>
      </c>
      <c r="D604" s="241"/>
      <c r="E604" s="241" t="str">
        <f>IFERROR(__xludf.DUMMYFUNCTION("""COMPUTED_VALUE"""),"Punhos de Adamantium")</f>
        <v>Punhos de Adamantium</v>
      </c>
      <c r="F604" s="241"/>
      <c r="G604" s="241" t="str">
        <f>IFERROR(__xludf.DUMMYFUNCTION("""COMPUTED_VALUE"""),"Punhos de Adamantium")</f>
        <v>Punhos de Adamantium</v>
      </c>
      <c r="H604" s="241"/>
      <c r="I604" s="241" t="str">
        <f>IFERROR(__xludf.DUMMYFUNCTION("""COMPUTED_VALUE"""),"Celtic Bracer")</f>
        <v>Celtic Bracer</v>
      </c>
      <c r="J604" s="241"/>
      <c r="K604" s="241"/>
      <c r="L604" s="242"/>
      <c r="M604" s="241" t="str">
        <f>IFERROR(__xludf.DUMMYFUNCTION("""COMPUTED_VALUE"""),"Anda-em-planos")</f>
        <v>Anda-em-planos</v>
      </c>
      <c r="N604" s="241"/>
      <c r="O604" s="241" t="str">
        <f>IFERROR(__xludf.DUMMYFUNCTION("""COMPUTED_VALUE"""),"Grevas Dracônicas")</f>
        <v>Grevas Dracônicas</v>
      </c>
      <c r="P604" s="241"/>
      <c r="Q604" s="241" t="str">
        <f>IFERROR(__xludf.DUMMYFUNCTION("""COMPUTED_VALUE"""),"Grevas Dracônicas")</f>
        <v>Grevas Dracônicas</v>
      </c>
      <c r="R604" s="241"/>
      <c r="S604" s="241" t="str">
        <f>IFERROR(__xludf.DUMMYFUNCTION("""COMPUTED_VALUE"""),"Grevas Dracônicas")</f>
        <v>Grevas Dracônicas</v>
      </c>
      <c r="T604" s="241"/>
      <c r="U604" s="241" t="str">
        <f>IFERROR(__xludf.DUMMYFUNCTION("""COMPUTED_VALUE"""),"Anda-em-planos")</f>
        <v>Anda-em-planos</v>
      </c>
      <c r="V604" s="241"/>
      <c r="W604" s="241"/>
      <c r="X604" s="242"/>
      <c r="Y604" s="241" t="str">
        <f>IFERROR(__xludf.DUMMYFUNCTION("""COMPUTED_VALUE"""),"Anel de reza")</f>
        <v>Anel de reza</v>
      </c>
      <c r="Z604" s="241"/>
      <c r="AA604" s="241" t="str">
        <f>IFERROR(__xludf.DUMMYFUNCTION("""COMPUTED_VALUE"""),"Cordas angelicais")</f>
        <v>Cordas angelicais</v>
      </c>
      <c r="AB604" s="241"/>
      <c r="AC604" s="241" t="str">
        <f>IFERROR(__xludf.DUMMYFUNCTION("""COMPUTED_VALUE"""),"Crânio de Dragão")</f>
        <v>Crânio de Dragão</v>
      </c>
      <c r="AD604" s="241"/>
      <c r="AE604" s="241" t="str">
        <f>IFERROR(__xludf.DUMMYFUNCTION("""COMPUTED_VALUE"""),"Anel de reza")</f>
        <v>Anel de reza</v>
      </c>
      <c r="AF604" s="241"/>
      <c r="AG604" s="241" t="str">
        <f>IFERROR(__xludf.DUMMYFUNCTION("""COMPUTED_VALUE"""),"Anel de reza")</f>
        <v>Anel de reza</v>
      </c>
      <c r="AH604" s="241"/>
      <c r="AI604" s="241"/>
      <c r="AJ604" s="242"/>
    </row>
    <row r="605" hidden="1">
      <c r="A605" s="241" t="str">
        <f>IFERROR(__xludf.DUMMYFUNCTION("""COMPUTED_VALUE"""),"Garra da morte")</f>
        <v>Garra da morte</v>
      </c>
      <c r="B605" s="241"/>
      <c r="C605" s="241" t="str">
        <f>IFERROR(__xludf.DUMMYFUNCTION("""COMPUTED_VALUE"""),"Manoplas do Berserker")</f>
        <v>Manoplas do Berserker</v>
      </c>
      <c r="D605" s="241"/>
      <c r="E605" s="241" t="str">
        <f>IFERROR(__xludf.DUMMYFUNCTION("""COMPUTED_VALUE"""),"Manoplas do Berserker")</f>
        <v>Manoplas do Berserker</v>
      </c>
      <c r="F605" s="241"/>
      <c r="G605" s="241" t="str">
        <f>IFERROR(__xludf.DUMMYFUNCTION("""COMPUTED_VALUE"""),"Manoplas do Berserker")</f>
        <v>Manoplas do Berserker</v>
      </c>
      <c r="H605" s="241"/>
      <c r="I605" s="241" t="str">
        <f>IFERROR(__xludf.DUMMYFUNCTION("""COMPUTED_VALUE"""),"Garra da morte")</f>
        <v>Garra da morte</v>
      </c>
      <c r="J605" s="241"/>
      <c r="K605" s="241"/>
      <c r="L605" s="242"/>
      <c r="M605" s="241" t="str">
        <f>IFERROR(__xludf.DUMMYFUNCTION("""COMPUTED_VALUE"""),"Botas dracônicas")</f>
        <v>Botas dracônicas</v>
      </c>
      <c r="N605" s="241"/>
      <c r="O605" s="241" t="str">
        <f>IFERROR(__xludf.DUMMYFUNCTION("""COMPUTED_VALUE"""),"Os Aflitos da Guerra de Kratos")</f>
        <v>Os Aflitos da Guerra de Kratos</v>
      </c>
      <c r="P605" s="241"/>
      <c r="Q605" s="241" t="str">
        <f>IFERROR(__xludf.DUMMYFUNCTION("""COMPUTED_VALUE"""),"Os Aflitos da Guerra de Kratos")</f>
        <v>Os Aflitos da Guerra de Kratos</v>
      </c>
      <c r="R605" s="241"/>
      <c r="S605" s="241" t="str">
        <f>IFERROR(__xludf.DUMMYFUNCTION("""COMPUTED_VALUE"""),"Os Aflitos da Guerra de Kratos")</f>
        <v>Os Aflitos da Guerra de Kratos</v>
      </c>
      <c r="T605" s="241"/>
      <c r="U605" s="241" t="str">
        <f>IFERROR(__xludf.DUMMYFUNCTION("""COMPUTED_VALUE"""),"Botas dracônicas")</f>
        <v>Botas dracônicas</v>
      </c>
      <c r="V605" s="241"/>
      <c r="W605" s="241"/>
      <c r="X605" s="242"/>
      <c r="Y605" s="241" t="str">
        <f>IFERROR(__xludf.DUMMYFUNCTION("""COMPUTED_VALUE"""),"Marca Divina")</f>
        <v>Marca Divina</v>
      </c>
      <c r="Z605" s="241"/>
      <c r="AA605" s="241" t="str">
        <f>IFERROR(__xludf.DUMMYFUNCTION("""COMPUTED_VALUE"""),"Ceremonial Er-hu")</f>
        <v>Ceremonial Er-hu</v>
      </c>
      <c r="AB605" s="241"/>
      <c r="AC605" s="241" t="str">
        <f>IFERROR(__xludf.DUMMYFUNCTION("""COMPUTED_VALUE"""),"Escudo gigante")</f>
        <v>Escudo gigante</v>
      </c>
      <c r="AD605" s="241"/>
      <c r="AE605" s="241" t="str">
        <f>IFERROR(__xludf.DUMMYFUNCTION("""COMPUTED_VALUE"""),"Marca Divina")</f>
        <v>Marca Divina</v>
      </c>
      <c r="AF605" s="241"/>
      <c r="AG605" s="241" t="str">
        <f>IFERROR(__xludf.DUMMYFUNCTION("""COMPUTED_VALUE"""),"Marca Divina")</f>
        <v>Marca Divina</v>
      </c>
      <c r="AH605" s="241"/>
      <c r="AI605" s="241"/>
      <c r="AJ605" s="242"/>
    </row>
    <row r="606" hidden="1">
      <c r="A606" s="241" t="str">
        <f>IFERROR(__xludf.DUMMYFUNCTION("""COMPUTED_VALUE"""),"Luvas de MIdas")</f>
        <v>Luvas de MIdas</v>
      </c>
      <c r="B606" s="241"/>
      <c r="C606" s="241" t="str">
        <f>IFERROR(__xludf.DUMMYFUNCTION("""COMPUTED_VALUE"""),"Luvas Cibernéticas")</f>
        <v>Luvas Cibernéticas</v>
      </c>
      <c r="D606" s="241"/>
      <c r="E606" s="241" t="str">
        <f>IFERROR(__xludf.DUMMYFUNCTION("""COMPUTED_VALUE"""),"Luvas Cibernéticas")</f>
        <v>Luvas Cibernéticas</v>
      </c>
      <c r="F606" s="241"/>
      <c r="G606" s="241" t="str">
        <f>IFERROR(__xludf.DUMMYFUNCTION("""COMPUTED_VALUE"""),"Luvas Cibernéticas")</f>
        <v>Luvas Cibernéticas</v>
      </c>
      <c r="H606" s="241"/>
      <c r="I606" s="241" t="str">
        <f>IFERROR(__xludf.DUMMYFUNCTION("""COMPUTED_VALUE"""),"Luvas de MIdas")</f>
        <v>Luvas de MIdas</v>
      </c>
      <c r="J606" s="241"/>
      <c r="K606" s="241"/>
      <c r="L606" s="242"/>
      <c r="M606" s="241" t="str">
        <f>IFERROR(__xludf.DUMMYFUNCTION("""COMPUTED_VALUE"""),"Sapatos do fogo-gelo")</f>
        <v>Sapatos do fogo-gelo</v>
      </c>
      <c r="N606" s="241"/>
      <c r="O606" s="241" t="str">
        <f>IFERROR(__xludf.DUMMYFUNCTION("""COMPUTED_VALUE"""),"Grevas de obsidiana")</f>
        <v>Grevas de obsidiana</v>
      </c>
      <c r="P606" s="241"/>
      <c r="Q606" s="241" t="str">
        <f>IFERROR(__xludf.DUMMYFUNCTION("""COMPUTED_VALUE"""),"Grevas de obsidiana")</f>
        <v>Grevas de obsidiana</v>
      </c>
      <c r="R606" s="241"/>
      <c r="S606" s="241" t="str">
        <f>IFERROR(__xludf.DUMMYFUNCTION("""COMPUTED_VALUE"""),"Grevas de obsidiana")</f>
        <v>Grevas de obsidiana</v>
      </c>
      <c r="T606" s="241"/>
      <c r="U606" s="241" t="str">
        <f>IFERROR(__xludf.DUMMYFUNCTION("""COMPUTED_VALUE"""),"Sapatos do fogo-gelo")</f>
        <v>Sapatos do fogo-gelo</v>
      </c>
      <c r="V606" s="241"/>
      <c r="W606" s="241"/>
      <c r="X606" s="242"/>
      <c r="Y606" s="241" t="str">
        <f>IFERROR(__xludf.DUMMYFUNCTION("""COMPUTED_VALUE"""),"Anel real")</f>
        <v>Anel real</v>
      </c>
      <c r="Z606" s="241"/>
      <c r="AA606" s="241" t="str">
        <f>IFERROR(__xludf.DUMMYFUNCTION("""COMPUTED_VALUE"""),"Harpa do Fogo Gelo")</f>
        <v>Harpa do Fogo Gelo</v>
      </c>
      <c r="AB606" s="241"/>
      <c r="AC606" s="241" t="str">
        <f>IFERROR(__xludf.DUMMYFUNCTION("""COMPUTED_VALUE"""),"Escudo do Aventureiro")</f>
        <v>Escudo do Aventureiro</v>
      </c>
      <c r="AD606" s="241"/>
      <c r="AE606" s="241" t="str">
        <f>IFERROR(__xludf.DUMMYFUNCTION("""COMPUTED_VALUE"""),"Anel real")</f>
        <v>Anel real</v>
      </c>
      <c r="AF606" s="241"/>
      <c r="AG606" s="241" t="str">
        <f>IFERROR(__xludf.DUMMYFUNCTION("""COMPUTED_VALUE"""),"Anel real")</f>
        <v>Anel real</v>
      </c>
      <c r="AH606" s="241"/>
      <c r="AI606" s="241"/>
      <c r="AJ606" s="242"/>
    </row>
    <row r="607" hidden="1">
      <c r="A607" s="241" t="str">
        <f>IFERROR(__xludf.DUMMYFUNCTION("""COMPUTED_VALUE"""),"Luva de fogo gelo")</f>
        <v>Luva de fogo gelo</v>
      </c>
      <c r="B607" s="241"/>
      <c r="C607" s="241" t="str">
        <f>IFERROR(__xludf.DUMMYFUNCTION("""COMPUTED_VALUE"""),"Esmagadores Vulcânicos")</f>
        <v>Esmagadores Vulcânicos</v>
      </c>
      <c r="D607" s="241"/>
      <c r="E607" s="241" t="str">
        <f>IFERROR(__xludf.DUMMYFUNCTION("""COMPUTED_VALUE"""),"Esmagadores Vulcânicos")</f>
        <v>Esmagadores Vulcânicos</v>
      </c>
      <c r="F607" s="241"/>
      <c r="G607" s="241" t="str">
        <f>IFERROR(__xludf.DUMMYFUNCTION("""COMPUTED_VALUE"""),"Esmagadores Vulcânicos")</f>
        <v>Esmagadores Vulcânicos</v>
      </c>
      <c r="H607" s="241"/>
      <c r="I607" s="241" t="str">
        <f>IFERROR(__xludf.DUMMYFUNCTION("""COMPUTED_VALUE"""),"Luva de fogo gelo")</f>
        <v>Luva de fogo gelo</v>
      </c>
      <c r="J607" s="241"/>
      <c r="K607" s="241"/>
      <c r="L607" s="242"/>
      <c r="M607" s="241" t="str">
        <f>IFERROR(__xludf.DUMMYFUNCTION("""COMPUTED_VALUE"""),"Marcha ardente")</f>
        <v>Marcha ardente</v>
      </c>
      <c r="N607" s="241"/>
      <c r="O607" s="241" t="str">
        <f>IFERROR(__xludf.DUMMYFUNCTION("""COMPUTED_VALUE"""),"Pés do titã")</f>
        <v>Pés do titã</v>
      </c>
      <c r="P607" s="241"/>
      <c r="Q607" s="241" t="str">
        <f>IFERROR(__xludf.DUMMYFUNCTION("""COMPUTED_VALUE"""),"Pés do titã")</f>
        <v>Pés do titã</v>
      </c>
      <c r="R607" s="241"/>
      <c r="S607" s="241" t="str">
        <f>IFERROR(__xludf.DUMMYFUNCTION("""COMPUTED_VALUE"""),"Pés do titã")</f>
        <v>Pés do titã</v>
      </c>
      <c r="T607" s="241"/>
      <c r="U607" s="241" t="str">
        <f>IFERROR(__xludf.DUMMYFUNCTION("""COMPUTED_VALUE"""),"Marcha ardente")</f>
        <v>Marcha ardente</v>
      </c>
      <c r="V607" s="241"/>
      <c r="W607" s="241"/>
      <c r="X607" s="242"/>
      <c r="Y607" s="241" t="str">
        <f>IFERROR(__xludf.DUMMYFUNCTION("""COMPUTED_VALUE"""),"Oráculo")</f>
        <v>Oráculo</v>
      </c>
      <c r="Z607" s="241"/>
      <c r="AA607" s="241" t="str">
        <f>IFERROR(__xludf.DUMMYFUNCTION("""COMPUTED_VALUE"""),"Flauta de gaia ")</f>
        <v>Flauta de gaia </v>
      </c>
      <c r="AB607" s="241"/>
      <c r="AC607" s="241" t="str">
        <f>IFERROR(__xludf.DUMMYFUNCTION("""COMPUTED_VALUE"""),"Shark Bite")</f>
        <v>Shark Bite</v>
      </c>
      <c r="AD607" s="241"/>
      <c r="AE607" s="241" t="str">
        <f>IFERROR(__xludf.DUMMYFUNCTION("""COMPUTED_VALUE"""),"Oráculo")</f>
        <v>Oráculo</v>
      </c>
      <c r="AF607" s="241"/>
      <c r="AG607" s="241" t="str">
        <f>IFERROR(__xludf.DUMMYFUNCTION("""COMPUTED_VALUE"""),"Oráculo")</f>
        <v>Oráculo</v>
      </c>
      <c r="AH607" s="241"/>
      <c r="AI607" s="241"/>
      <c r="AJ607" s="242"/>
    </row>
    <row r="608" hidden="1">
      <c r="A608" s="241" t="str">
        <f>IFERROR(__xludf.DUMMYFUNCTION("""COMPUTED_VALUE"""),"Starry Gloves")</f>
        <v>Starry Gloves</v>
      </c>
      <c r="B608" s="241"/>
      <c r="C608" s="241" t="str">
        <f>IFERROR(__xludf.DUMMYFUNCTION("""COMPUTED_VALUE"""),"Gauntlet do Chieftain")</f>
        <v>Gauntlet do Chieftain</v>
      </c>
      <c r="D608" s="241"/>
      <c r="E608" s="241" t="str">
        <f>IFERROR(__xludf.DUMMYFUNCTION("""COMPUTED_VALUE"""),"Gauntlet do Chieftain")</f>
        <v>Gauntlet do Chieftain</v>
      </c>
      <c r="F608" s="241"/>
      <c r="G608" s="241" t="str">
        <f>IFERROR(__xludf.DUMMYFUNCTION("""COMPUTED_VALUE"""),"Gauntlet do Chieftain")</f>
        <v>Gauntlet do Chieftain</v>
      </c>
      <c r="H608" s="241"/>
      <c r="I608" s="241" t="str">
        <f>IFERROR(__xludf.DUMMYFUNCTION("""COMPUTED_VALUE"""),"Starry Gloves")</f>
        <v>Starry Gloves</v>
      </c>
      <c r="J608" s="241"/>
      <c r="K608" s="241"/>
      <c r="L608" s="242"/>
      <c r="M608" s="241" t="str">
        <f>IFERROR(__xludf.DUMMYFUNCTION("""COMPUTED_VALUE"""),"Ice Walkers")</f>
        <v>Ice Walkers</v>
      </c>
      <c r="N608" s="241"/>
      <c r="O608" s="241" t="str">
        <f>IFERROR(__xludf.DUMMYFUNCTION("""COMPUTED_VALUE"""),"Botas selvagens")</f>
        <v>Botas selvagens</v>
      </c>
      <c r="P608" s="241"/>
      <c r="Q608" s="241" t="str">
        <f>IFERROR(__xludf.DUMMYFUNCTION("""COMPUTED_VALUE"""),"Botas selvagens")</f>
        <v>Botas selvagens</v>
      </c>
      <c r="R608" s="241"/>
      <c r="S608" s="241" t="str">
        <f>IFERROR(__xludf.DUMMYFUNCTION("""COMPUTED_VALUE"""),"Botas selvagens")</f>
        <v>Botas selvagens</v>
      </c>
      <c r="T608" s="241"/>
      <c r="U608" s="241" t="str">
        <f>IFERROR(__xludf.DUMMYFUNCTION("""COMPUTED_VALUE"""),"Ice Walkers")</f>
        <v>Ice Walkers</v>
      </c>
      <c r="V608" s="241"/>
      <c r="W608" s="241"/>
      <c r="X608" s="242"/>
      <c r="Y608" s="241" t="str">
        <f>IFERROR(__xludf.DUMMYFUNCTION("""COMPUTED_VALUE"""),"Anel Místico")</f>
        <v>Anel Místico</v>
      </c>
      <c r="Z608" s="241"/>
      <c r="AA608" s="241" t="str">
        <f>IFERROR(__xludf.DUMMYFUNCTION("""COMPUTED_VALUE"""),"Flauta Convocadora")</f>
        <v>Flauta Convocadora</v>
      </c>
      <c r="AB608" s="241"/>
      <c r="AC608" s="241" t="str">
        <f>IFERROR(__xludf.DUMMYFUNCTION("""COMPUTED_VALUE"""),"Buckler de Atena")</f>
        <v>Buckler de Atena</v>
      </c>
      <c r="AD608" s="241"/>
      <c r="AE608" s="241" t="str">
        <f>IFERROR(__xludf.DUMMYFUNCTION("""COMPUTED_VALUE"""),"Anel Místico")</f>
        <v>Anel Místico</v>
      </c>
      <c r="AF608" s="241"/>
      <c r="AG608" s="241" t="str">
        <f>IFERROR(__xludf.DUMMYFUNCTION("""COMPUTED_VALUE"""),"Anel Místico")</f>
        <v>Anel Místico</v>
      </c>
      <c r="AH608" s="241"/>
      <c r="AI608" s="241"/>
      <c r="AJ608" s="242"/>
    </row>
    <row r="609" hidden="1">
      <c r="A609" s="241" t="str">
        <f>IFERROR(__xludf.DUMMYFUNCTION("""COMPUTED_VALUE"""),"Luvas do Arcanjo")</f>
        <v>Luvas do Arcanjo</v>
      </c>
      <c r="B609" s="241"/>
      <c r="C609" s="241" t="str">
        <f>IFERROR(__xludf.DUMMYFUNCTION("""COMPUTED_VALUE"""),"Runic Gauntlets")</f>
        <v>Runic Gauntlets</v>
      </c>
      <c r="D609" s="241"/>
      <c r="E609" s="241" t="str">
        <f>IFERROR(__xludf.DUMMYFUNCTION("""COMPUTED_VALUE"""),"Runic Gauntlets")</f>
        <v>Runic Gauntlets</v>
      </c>
      <c r="F609" s="241"/>
      <c r="G609" s="241" t="str">
        <f>IFERROR(__xludf.DUMMYFUNCTION("""COMPUTED_VALUE"""),"Runic Gauntlets")</f>
        <v>Runic Gauntlets</v>
      </c>
      <c r="H609" s="241"/>
      <c r="I609" s="241" t="str">
        <f>IFERROR(__xludf.DUMMYFUNCTION("""COMPUTED_VALUE"""),"Luvas do Arcanjo")</f>
        <v>Luvas do Arcanjo</v>
      </c>
      <c r="J609" s="241"/>
      <c r="K609" s="241"/>
      <c r="L609" s="242"/>
      <c r="M609" s="241" t="str">
        <f>IFERROR(__xludf.DUMMYFUNCTION("""COMPUTED_VALUE"""),"Swimming Fins")</f>
        <v>Swimming Fins</v>
      </c>
      <c r="N609" s="241"/>
      <c r="O609" s="241" t="str">
        <f>IFERROR(__xludf.DUMMYFUNCTION("""COMPUTED_VALUE"""),"Starfrost Skates")</f>
        <v>Starfrost Skates</v>
      </c>
      <c r="P609" s="241"/>
      <c r="Q609" s="241" t="str">
        <f>IFERROR(__xludf.DUMMYFUNCTION("""COMPUTED_VALUE"""),"Starfrost Skates")</f>
        <v>Starfrost Skates</v>
      </c>
      <c r="R609" s="241"/>
      <c r="S609" s="241" t="str">
        <f>IFERROR(__xludf.DUMMYFUNCTION("""COMPUTED_VALUE"""),"Starfrost Skates")</f>
        <v>Starfrost Skates</v>
      </c>
      <c r="T609" s="241"/>
      <c r="U609" s="241" t="str">
        <f>IFERROR(__xludf.DUMMYFUNCTION("""COMPUTED_VALUE"""),"Swimming Fins")</f>
        <v>Swimming Fins</v>
      </c>
      <c r="V609" s="241"/>
      <c r="W609" s="241"/>
      <c r="X609" s="242"/>
      <c r="Y609" s="241" t="str">
        <f>IFERROR(__xludf.DUMMYFUNCTION("""COMPUTED_VALUE"""),"Anel Grotesco")</f>
        <v>Anel Grotesco</v>
      </c>
      <c r="Z609" s="241"/>
      <c r="AA609" s="241"/>
      <c r="AB609" s="241"/>
      <c r="AC609" s="241" t="str">
        <f>IFERROR(__xludf.DUMMYFUNCTION("""COMPUTED_VALUE"""),"Broquel da Medusa")</f>
        <v>Broquel da Medusa</v>
      </c>
      <c r="AD609" s="241"/>
      <c r="AE609" s="241" t="str">
        <f>IFERROR(__xludf.DUMMYFUNCTION("""COMPUTED_VALUE"""),"Anel Grotesco")</f>
        <v>Anel Grotesco</v>
      </c>
      <c r="AF609" s="241"/>
      <c r="AG609" s="241" t="str">
        <f>IFERROR(__xludf.DUMMYFUNCTION("""COMPUTED_VALUE"""),"Anel Grotesco")</f>
        <v>Anel Grotesco</v>
      </c>
      <c r="AH609" s="241"/>
      <c r="AI609" s="241"/>
      <c r="AJ609" s="242"/>
    </row>
    <row r="610" hidden="1">
      <c r="A610" s="241" t="str">
        <f>IFERROR(__xludf.DUMMYFUNCTION("""COMPUTED_VALUE"""),"Luvas do subterrâneo")</f>
        <v>Luvas do subterrâneo</v>
      </c>
      <c r="B610" s="241"/>
      <c r="C610" s="241" t="str">
        <f>IFERROR(__xludf.DUMMYFUNCTION("""COMPUTED_VALUE"""),"Punhos de Zeus")</f>
        <v>Punhos de Zeus</v>
      </c>
      <c r="D610" s="241"/>
      <c r="E610" s="241" t="str">
        <f>IFERROR(__xludf.DUMMYFUNCTION("""COMPUTED_VALUE"""),"Punhos de Zeus")</f>
        <v>Punhos de Zeus</v>
      </c>
      <c r="F610" s="241"/>
      <c r="G610" s="241" t="str">
        <f>IFERROR(__xludf.DUMMYFUNCTION("""COMPUTED_VALUE"""),"Punhos de Zeus")</f>
        <v>Punhos de Zeus</v>
      </c>
      <c r="H610" s="241"/>
      <c r="I610" s="241" t="str">
        <f>IFERROR(__xludf.DUMMYFUNCTION("""COMPUTED_VALUE"""),"Luvas do subterrâneo")</f>
        <v>Luvas do subterrâneo</v>
      </c>
      <c r="J610" s="241"/>
      <c r="K610" s="241"/>
      <c r="L610" s="242"/>
      <c r="M610" s="241" t="str">
        <f>IFERROR(__xludf.DUMMYFUNCTION("""COMPUTED_VALUE"""),"Rodas Celestiais de Fogo")</f>
        <v>Rodas Celestiais de Fogo</v>
      </c>
      <c r="N610" s="241"/>
      <c r="O610" s="241" t="str">
        <f>IFERROR(__xludf.DUMMYFUNCTION("""COMPUTED_VALUE"""),"Proto-skate")</f>
        <v>Proto-skate</v>
      </c>
      <c r="P610" s="241"/>
      <c r="Q610" s="241" t="str">
        <f>IFERROR(__xludf.DUMMYFUNCTION("""COMPUTED_VALUE"""),"Proto-skate")</f>
        <v>Proto-skate</v>
      </c>
      <c r="R610" s="241"/>
      <c r="S610" s="241" t="str">
        <f>IFERROR(__xludf.DUMMYFUNCTION("""COMPUTED_VALUE"""),"Proto-skate")</f>
        <v>Proto-skate</v>
      </c>
      <c r="T610" s="241"/>
      <c r="U610" s="241" t="str">
        <f>IFERROR(__xludf.DUMMYFUNCTION("""COMPUTED_VALUE"""),"Rodas Celestiais de Fogo")</f>
        <v>Rodas Celestiais de Fogo</v>
      </c>
      <c r="V610" s="241"/>
      <c r="W610" s="241"/>
      <c r="X610" s="242"/>
      <c r="Y610" s="241" t="str">
        <f>IFERROR(__xludf.DUMMYFUNCTION("""COMPUTED_VALUE"""),"Anel Azulado")</f>
        <v>Anel Azulado</v>
      </c>
      <c r="Z610" s="241"/>
      <c r="AA610" s="241"/>
      <c r="AB610" s="241"/>
      <c r="AC610" s="241" t="str">
        <f>IFERROR(__xludf.DUMMYFUNCTION("""COMPUTED_VALUE"""),"Escudo do oráculo")</f>
        <v>Escudo do oráculo</v>
      </c>
      <c r="AD610" s="241"/>
      <c r="AE610" s="241" t="str">
        <f>IFERROR(__xludf.DUMMYFUNCTION("""COMPUTED_VALUE"""),"Anel Azulado")</f>
        <v>Anel Azulado</v>
      </c>
      <c r="AF610" s="241"/>
      <c r="AG610" s="241" t="str">
        <f>IFERROR(__xludf.DUMMYFUNCTION("""COMPUTED_VALUE"""),"Anel Azulado")</f>
        <v>Anel Azulado</v>
      </c>
      <c r="AH610" s="241"/>
      <c r="AI610" s="241"/>
      <c r="AJ610" s="242"/>
    </row>
    <row r="611" hidden="1">
      <c r="A611" s="241" t="str">
        <f>IFERROR(__xludf.DUMMYFUNCTION("""COMPUTED_VALUE"""),"Mummy Hands")</f>
        <v>Mummy Hands</v>
      </c>
      <c r="B611" s="241"/>
      <c r="C611" s="241"/>
      <c r="D611" s="241"/>
      <c r="E611" s="241"/>
      <c r="F611" s="241"/>
      <c r="G611" s="241"/>
      <c r="H611" s="241"/>
      <c r="I611" s="241" t="str">
        <f>IFERROR(__xludf.DUMMYFUNCTION("""COMPUTED_VALUE"""),"Mummy Hands")</f>
        <v>Mummy Hands</v>
      </c>
      <c r="J611" s="241"/>
      <c r="K611" s="241"/>
      <c r="L611" s="242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2"/>
      <c r="Y611" s="241" t="str">
        <f>IFERROR(__xludf.DUMMYFUNCTION("""COMPUTED_VALUE"""),"Anel de casamento")</f>
        <v>Anel de casamento</v>
      </c>
      <c r="Z611" s="241"/>
      <c r="AA611" s="241"/>
      <c r="AB611" s="241"/>
      <c r="AC611" s="241" t="str">
        <f>IFERROR(__xludf.DUMMYFUNCTION("""COMPUTED_VALUE"""),"Mãe Natureza")</f>
        <v>Mãe Natureza</v>
      </c>
      <c r="AD611" s="241"/>
      <c r="AE611" s="241" t="str">
        <f>IFERROR(__xludf.DUMMYFUNCTION("""COMPUTED_VALUE"""),"Anel de casamento")</f>
        <v>Anel de casamento</v>
      </c>
      <c r="AF611" s="241"/>
      <c r="AG611" s="241" t="str">
        <f>IFERROR(__xludf.DUMMYFUNCTION("""COMPUTED_VALUE"""),"Anel de casamento")</f>
        <v>Anel de casamento</v>
      </c>
      <c r="AH611" s="241"/>
      <c r="AI611" s="241"/>
      <c r="AJ611" s="242"/>
    </row>
    <row r="612" hidden="1">
      <c r="A612" s="241" t="str">
        <f>IFERROR(__xludf.DUMMYFUNCTION("""COMPUTED_VALUE"""),"Toque de Fluffle")</f>
        <v>Toque de Fluffle</v>
      </c>
      <c r="B612" s="241"/>
      <c r="C612" s="241"/>
      <c r="D612" s="241"/>
      <c r="E612" s="241"/>
      <c r="F612" s="241"/>
      <c r="G612" s="241"/>
      <c r="H612" s="241"/>
      <c r="I612" s="241" t="str">
        <f>IFERROR(__xludf.DUMMYFUNCTION("""COMPUTED_VALUE"""),"Toque de Fluffle")</f>
        <v>Toque de Fluffle</v>
      </c>
      <c r="J612" s="241"/>
      <c r="K612" s="241"/>
      <c r="L612" s="242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2"/>
      <c r="Y612" s="241" t="str">
        <f>IFERROR(__xludf.DUMMYFUNCTION("""COMPUTED_VALUE"""),"Círculo de antimagia")</f>
        <v>Círculo de antimagia</v>
      </c>
      <c r="Z612" s="241"/>
      <c r="AA612" s="241"/>
      <c r="AB612" s="241"/>
      <c r="AC612" s="241" t="str">
        <f>IFERROR(__xludf.DUMMYFUNCTION("""COMPUTED_VALUE"""),"Escudo Meia Lua")</f>
        <v>Escudo Meia Lua</v>
      </c>
      <c r="AD612" s="241"/>
      <c r="AE612" s="241" t="str">
        <f>IFERROR(__xludf.DUMMYFUNCTION("""COMPUTED_VALUE"""),"Círculo de antimagia")</f>
        <v>Círculo de antimagia</v>
      </c>
      <c r="AF612" s="241"/>
      <c r="AG612" s="241" t="str">
        <f>IFERROR(__xludf.DUMMYFUNCTION("""COMPUTED_VALUE"""),"Círculo de antimagia")</f>
        <v>Círculo de antimagia</v>
      </c>
      <c r="AH612" s="241"/>
      <c r="AI612" s="241"/>
      <c r="AJ612" s="242"/>
    </row>
    <row r="613" hidden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2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2"/>
      <c r="Y613" s="241" t="str">
        <f>IFERROR(__xludf.DUMMYFUNCTION("""COMPUTED_VALUE"""),"Anel de Midas")</f>
        <v>Anel de Midas</v>
      </c>
      <c r="Z613" s="241"/>
      <c r="AA613" s="241"/>
      <c r="AB613" s="241"/>
      <c r="AC613" s="241" t="str">
        <f>IFERROR(__xludf.DUMMYFUNCTION("""COMPUTED_VALUE"""),"Celtic Shield")</f>
        <v>Celtic Shield</v>
      </c>
      <c r="AD613" s="241"/>
      <c r="AE613" s="241" t="str">
        <f>IFERROR(__xludf.DUMMYFUNCTION("""COMPUTED_VALUE"""),"Anel de Midas")</f>
        <v>Anel de Midas</v>
      </c>
      <c r="AF613" s="241"/>
      <c r="AG613" s="241" t="str">
        <f>IFERROR(__xludf.DUMMYFUNCTION("""COMPUTED_VALUE"""),"Anel de Midas")</f>
        <v>Anel de Midas</v>
      </c>
      <c r="AH613" s="241"/>
      <c r="AI613" s="241"/>
      <c r="AJ613" s="242"/>
    </row>
    <row r="614" hidden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2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2"/>
      <c r="Y614" s="241" t="str">
        <f>IFERROR(__xludf.DUMMYFUNCTION("""COMPUTED_VALUE"""),"Anel do Conhecimento")</f>
        <v>Anel do Conhecimento</v>
      </c>
      <c r="Z614" s="241"/>
      <c r="AA614" s="241"/>
      <c r="AB614" s="241"/>
      <c r="AC614" s="241" t="str">
        <f>IFERROR(__xludf.DUMMYFUNCTION("""COMPUTED_VALUE"""),"Painel Refrator")</f>
        <v>Painel Refrator</v>
      </c>
      <c r="AD614" s="241"/>
      <c r="AE614" s="241" t="str">
        <f>IFERROR(__xludf.DUMMYFUNCTION("""COMPUTED_VALUE"""),"Anel do Conhecimento")</f>
        <v>Anel do Conhecimento</v>
      </c>
      <c r="AF614" s="241"/>
      <c r="AG614" s="241" t="str">
        <f>IFERROR(__xludf.DUMMYFUNCTION("""COMPUTED_VALUE"""),"Anel do Conhecimento")</f>
        <v>Anel do Conhecimento</v>
      </c>
      <c r="AH614" s="241"/>
      <c r="AI614" s="241"/>
      <c r="AJ614" s="242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2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2"/>
      <c r="Y615" s="241" t="str">
        <f>IFERROR(__xludf.DUMMYFUNCTION("""COMPUTED_VALUE"""),"Feitiço do Vento ")</f>
        <v>Feitiço do Vento </v>
      </c>
      <c r="Z615" s="241"/>
      <c r="AA615" s="241"/>
      <c r="AB615" s="241"/>
      <c r="AC615" s="241"/>
      <c r="AD615" s="241"/>
      <c r="AE615" s="241" t="str">
        <f>IFERROR(__xludf.DUMMYFUNCTION("""COMPUTED_VALUE"""),"Protetor")</f>
        <v>Protetor</v>
      </c>
      <c r="AF615" s="241"/>
      <c r="AG615" s="241" t="str">
        <f>IFERROR(__xludf.DUMMYFUNCTION("""COMPUTED_VALUE"""),"Flauta de Ferro")</f>
        <v>Flauta de Ferro</v>
      </c>
      <c r="AH615" s="241"/>
      <c r="AI615" s="241"/>
      <c r="AJ615" s="242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2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2"/>
      <c r="Y616" s="241" t="str">
        <f>IFERROR(__xludf.DUMMYFUNCTION("""COMPUTED_VALUE"""),"Símbolo do Exorcismo")</f>
        <v>Símbolo do Exorcismo</v>
      </c>
      <c r="Z616" s="241"/>
      <c r="AA616" s="241"/>
      <c r="AB616" s="241"/>
      <c r="AC616" s="241"/>
      <c r="AD616" s="241"/>
      <c r="AE616" s="241" t="str">
        <f>IFERROR(__xludf.DUMMYFUNCTION("""COMPUTED_VALUE"""),"Contra Fogo")</f>
        <v>Contra Fogo</v>
      </c>
      <c r="AF616" s="241"/>
      <c r="AG616" s="241" t="str">
        <f>IFERROR(__xludf.DUMMYFUNCTION("""COMPUTED_VALUE"""),"Harpa Congelada")</f>
        <v>Harpa Congelada</v>
      </c>
      <c r="AH616" s="241"/>
      <c r="AI616" s="241"/>
      <c r="AJ616" s="242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2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2"/>
      <c r="Y617" s="241" t="str">
        <f>IFERROR(__xludf.DUMMYFUNCTION("""COMPUTED_VALUE"""),"Proteção defensora")</f>
        <v>Proteção defensora</v>
      </c>
      <c r="Z617" s="241"/>
      <c r="AA617" s="241"/>
      <c r="AB617" s="241"/>
      <c r="AC617" s="241"/>
      <c r="AD617" s="241"/>
      <c r="AE617" s="241" t="str">
        <f>IFERROR(__xludf.DUMMYFUNCTION("""COMPUTED_VALUE"""),"Scarab Shield")</f>
        <v>Scarab Shield</v>
      </c>
      <c r="AF617" s="241"/>
      <c r="AG617" s="241" t="str">
        <f>IFERROR(__xludf.DUMMYFUNCTION("""COMPUTED_VALUE"""),"Flauta Ygg")</f>
        <v>Flauta Ygg</v>
      </c>
      <c r="AH617" s="241"/>
      <c r="AI617" s="241"/>
      <c r="AJ617" s="242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2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2"/>
      <c r="Y618" s="241" t="str">
        <f>IFERROR(__xludf.DUMMYFUNCTION("""COMPUTED_VALUE"""),"Amuleto Ankh")</f>
        <v>Amuleto Ankh</v>
      </c>
      <c r="Z618" s="241"/>
      <c r="AA618" s="241"/>
      <c r="AB618" s="241"/>
      <c r="AC618" s="241"/>
      <c r="AD618" s="241"/>
      <c r="AE618" s="241" t="str">
        <f>IFERROR(__xludf.DUMMYFUNCTION("""COMPUTED_VALUE"""),"Égide ")</f>
        <v>Égide </v>
      </c>
      <c r="AF618" s="241"/>
      <c r="AG618" s="241" t="str">
        <f>IFERROR(__xludf.DUMMYFUNCTION("""COMPUTED_VALUE"""),"Chifre de Serpente ")</f>
        <v>Chifre de Serpente </v>
      </c>
      <c r="AH618" s="241"/>
      <c r="AI618" s="241"/>
      <c r="AJ618" s="242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2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2"/>
      <c r="Y619" s="241" t="str">
        <f>IFERROR(__xludf.DUMMYFUNCTION("""COMPUTED_VALUE"""),"Coração de Lich")</f>
        <v>Coração de Lich</v>
      </c>
      <c r="Z619" s="241"/>
      <c r="AA619" s="241"/>
      <c r="AB619" s="241"/>
      <c r="AC619" s="241"/>
      <c r="AD619" s="241"/>
      <c r="AE619" s="241" t="str">
        <f>IFERROR(__xludf.DUMMYFUNCTION("""COMPUTED_VALUE"""),"Escudo Estrelado")</f>
        <v>Escudo Estrelado</v>
      </c>
      <c r="AF619" s="241"/>
      <c r="AG619" s="241" t="str">
        <f>IFERROR(__xludf.DUMMYFUNCTION("""COMPUTED_VALUE"""),"Gu Zheng")</f>
        <v>Gu Zheng</v>
      </c>
      <c r="AH619" s="241"/>
      <c r="AI619" s="241"/>
      <c r="AJ619" s="242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2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2"/>
      <c r="Y620" s="241" t="str">
        <f>IFERROR(__xludf.DUMMYFUNCTION("""COMPUTED_VALUE"""),"Amuleto dracônico")</f>
        <v>Amuleto dracônico</v>
      </c>
      <c r="Z620" s="241"/>
      <c r="AA620" s="241"/>
      <c r="AB620" s="241"/>
      <c r="AC620" s="241"/>
      <c r="AD620" s="241"/>
      <c r="AE620" s="241" t="str">
        <f>IFERROR(__xludf.DUMMYFUNCTION("""COMPUTED_VALUE"""),"Escudo de cristal")</f>
        <v>Escudo de cristal</v>
      </c>
      <c r="AF620" s="241"/>
      <c r="AG620" s="241" t="str">
        <f>IFERROR(__xludf.DUMMYFUNCTION("""COMPUTED_VALUE"""),"Batimento Dracônico ")</f>
        <v>Batimento Dracônico </v>
      </c>
      <c r="AH620" s="241"/>
      <c r="AI620" s="241"/>
      <c r="AJ620" s="242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2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2"/>
      <c r="Y621" s="241" t="str">
        <f>IFERROR(__xludf.DUMMYFUNCTION("""COMPUTED_VALUE"""),"Lágrima da Deusa")</f>
        <v>Lágrima da Deusa</v>
      </c>
      <c r="Z621" s="241"/>
      <c r="AA621" s="241"/>
      <c r="AB621" s="241"/>
      <c r="AC621" s="241"/>
      <c r="AD621" s="241"/>
      <c r="AE621" s="241" t="str">
        <f>IFERROR(__xludf.DUMMYFUNCTION("""COMPUTED_VALUE"""),"Crânio de Dragão")</f>
        <v>Crânio de Dragão</v>
      </c>
      <c r="AF621" s="241"/>
      <c r="AG621" s="241" t="str">
        <f>IFERROR(__xludf.DUMMYFUNCTION("""COMPUTED_VALUE"""),"Cordas angelicais")</f>
        <v>Cordas angelicais</v>
      </c>
      <c r="AH621" s="241"/>
      <c r="AI621" s="241"/>
      <c r="AJ621" s="242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2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2"/>
      <c r="Y622" s="241" t="str">
        <f>IFERROR(__xludf.DUMMYFUNCTION("""COMPUTED_VALUE"""),"Coração do Sol")</f>
        <v>Coração do Sol</v>
      </c>
      <c r="Z622" s="241"/>
      <c r="AA622" s="241"/>
      <c r="AB622" s="241"/>
      <c r="AC622" s="241"/>
      <c r="AD622" s="241"/>
      <c r="AE622" s="241" t="str">
        <f>IFERROR(__xludf.DUMMYFUNCTION("""COMPUTED_VALUE"""),"Escudo gigante")</f>
        <v>Escudo gigante</v>
      </c>
      <c r="AF622" s="241"/>
      <c r="AG622" s="241" t="str">
        <f>IFERROR(__xludf.DUMMYFUNCTION("""COMPUTED_VALUE"""),"Ceremonial Er-hu")</f>
        <v>Ceremonial Er-hu</v>
      </c>
      <c r="AH622" s="241"/>
      <c r="AI622" s="241"/>
      <c r="AJ622" s="242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2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2"/>
      <c r="Y623" s="241" t="str">
        <f>IFERROR(__xludf.DUMMYFUNCTION("""COMPUTED_VALUE"""),"Herança de Azbandar")</f>
        <v>Herança de Azbandar</v>
      </c>
      <c r="Z623" s="241"/>
      <c r="AA623" s="241"/>
      <c r="AB623" s="241"/>
      <c r="AC623" s="241"/>
      <c r="AD623" s="241"/>
      <c r="AE623" s="241" t="str">
        <f>IFERROR(__xludf.DUMMYFUNCTION("""COMPUTED_VALUE"""),"Escudo do Aventureiro")</f>
        <v>Escudo do Aventureiro</v>
      </c>
      <c r="AF623" s="241"/>
      <c r="AG623" s="241" t="str">
        <f>IFERROR(__xludf.DUMMYFUNCTION("""COMPUTED_VALUE"""),"Harpa do Fogo Gelo")</f>
        <v>Harpa do Fogo Gelo</v>
      </c>
      <c r="AH623" s="241"/>
      <c r="AI623" s="241"/>
      <c r="AJ623" s="242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2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2"/>
      <c r="Y624" s="241" t="str">
        <f>IFERROR(__xludf.DUMMYFUNCTION("""COMPUTED_VALUE"""),"Herança de Família")</f>
        <v>Herança de Família</v>
      </c>
      <c r="Z624" s="241"/>
      <c r="AA624" s="241"/>
      <c r="AB624" s="241"/>
      <c r="AC624" s="241"/>
      <c r="AD624" s="241"/>
      <c r="AE624" s="241" t="str">
        <f>IFERROR(__xludf.DUMMYFUNCTION("""COMPUTED_VALUE"""),"Shark Bite")</f>
        <v>Shark Bite</v>
      </c>
      <c r="AF624" s="241"/>
      <c r="AG624" s="241" t="str">
        <f>IFERROR(__xludf.DUMMYFUNCTION("""COMPUTED_VALUE"""),"Flauta de gaia ")</f>
        <v>Flauta de gaia </v>
      </c>
      <c r="AH624" s="241"/>
      <c r="AI624" s="241"/>
      <c r="AJ624" s="242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2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2"/>
      <c r="Y625" s="241" t="str">
        <f>IFERROR(__xludf.DUMMYFUNCTION("""COMPUTED_VALUE"""),"Talismã do fogo-gelo")</f>
        <v>Talismã do fogo-gelo</v>
      </c>
      <c r="Z625" s="241"/>
      <c r="AA625" s="241"/>
      <c r="AB625" s="241"/>
      <c r="AC625" s="241"/>
      <c r="AD625" s="241"/>
      <c r="AE625" s="241" t="str">
        <f>IFERROR(__xludf.DUMMYFUNCTION("""COMPUTED_VALUE"""),"Buckler de Atena")</f>
        <v>Buckler de Atena</v>
      </c>
      <c r="AF625" s="241"/>
      <c r="AG625" s="241" t="str">
        <f>IFERROR(__xludf.DUMMYFUNCTION("""COMPUTED_VALUE"""),"Flauta Convocadora")</f>
        <v>Flauta Convocadora</v>
      </c>
      <c r="AH625" s="241"/>
      <c r="AI625" s="241"/>
      <c r="AJ625" s="242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2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2"/>
      <c r="Y626" s="241" t="str">
        <f>IFERROR(__xludf.DUMMYFUNCTION("""COMPUTED_VALUE"""),"Coração de Gaia")</f>
        <v>Coração de Gaia</v>
      </c>
      <c r="Z626" s="241"/>
      <c r="AA626" s="241"/>
      <c r="AB626" s="241"/>
      <c r="AC626" s="241"/>
      <c r="AD626" s="241"/>
      <c r="AE626" s="241" t="str">
        <f>IFERROR(__xludf.DUMMYFUNCTION("""COMPUTED_VALUE"""),"Broquel da Medusa")</f>
        <v>Broquel da Medusa</v>
      </c>
      <c r="AF626" s="241"/>
      <c r="AG626" s="241" t="str">
        <f>IFERROR(__xludf.DUMMYFUNCTION("""COMPUTED_VALUE"""),"Feitiço do Vento ")</f>
        <v>Feitiço do Vento </v>
      </c>
      <c r="AH626" s="241"/>
      <c r="AI626" s="241"/>
      <c r="AJ626" s="242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2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2"/>
      <c r="Y627" s="241" t="str">
        <f>IFERROR(__xludf.DUMMYFUNCTION("""COMPUTED_VALUE"""),"Amuleto primordial")</f>
        <v>Amuleto primordial</v>
      </c>
      <c r="Z627" s="241"/>
      <c r="AA627" s="241"/>
      <c r="AB627" s="241"/>
      <c r="AC627" s="241"/>
      <c r="AD627" s="241"/>
      <c r="AE627" s="241" t="str">
        <f>IFERROR(__xludf.DUMMYFUNCTION("""COMPUTED_VALUE"""),"Escudo do oráculo")</f>
        <v>Escudo do oráculo</v>
      </c>
      <c r="AF627" s="241"/>
      <c r="AG627" s="241" t="str">
        <f>IFERROR(__xludf.DUMMYFUNCTION("""COMPUTED_VALUE"""),"Símbolo do Exorcismo")</f>
        <v>Símbolo do Exorcismo</v>
      </c>
      <c r="AH627" s="241"/>
      <c r="AI627" s="241"/>
      <c r="AJ627" s="242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2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2"/>
      <c r="Y628" s="241" t="str">
        <f>IFERROR(__xludf.DUMMYFUNCTION("""COMPUTED_VALUE"""),"Ominous Charm")</f>
        <v>Ominous Charm</v>
      </c>
      <c r="Z628" s="241"/>
      <c r="AA628" s="241"/>
      <c r="AB628" s="241"/>
      <c r="AC628" s="241"/>
      <c r="AD628" s="241"/>
      <c r="AE628" s="241" t="str">
        <f>IFERROR(__xludf.DUMMYFUNCTION("""COMPUTED_VALUE"""),"Mãe Natureza")</f>
        <v>Mãe Natureza</v>
      </c>
      <c r="AF628" s="241"/>
      <c r="AG628" s="241" t="str">
        <f>IFERROR(__xludf.DUMMYFUNCTION("""COMPUTED_VALUE"""),"Proteção defensora")</f>
        <v>Proteção defensora</v>
      </c>
      <c r="AH628" s="241"/>
      <c r="AI628" s="241"/>
      <c r="AJ628" s="242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2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2"/>
      <c r="Y629" s="241"/>
      <c r="Z629" s="241"/>
      <c r="AA629" s="241"/>
      <c r="AB629" s="241"/>
      <c r="AC629" s="241"/>
      <c r="AD629" s="241"/>
      <c r="AE629" s="241" t="str">
        <f>IFERROR(__xludf.DUMMYFUNCTION("""COMPUTED_VALUE"""),"Escudo Meia Lua")</f>
        <v>Escudo Meia Lua</v>
      </c>
      <c r="AF629" s="241"/>
      <c r="AG629" s="241" t="str">
        <f>IFERROR(__xludf.DUMMYFUNCTION("""COMPUTED_VALUE"""),"Amuleto Ankh")</f>
        <v>Amuleto Ankh</v>
      </c>
      <c r="AH629" s="241"/>
      <c r="AI629" s="241"/>
      <c r="AJ629" s="242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2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2"/>
      <c r="Y630" s="241"/>
      <c r="Z630" s="241"/>
      <c r="AA630" s="241"/>
      <c r="AB630" s="241"/>
      <c r="AC630" s="241"/>
      <c r="AD630" s="241"/>
      <c r="AE630" s="241" t="str">
        <f>IFERROR(__xludf.DUMMYFUNCTION("""COMPUTED_VALUE"""),"Celtic Shield")</f>
        <v>Celtic Shield</v>
      </c>
      <c r="AF630" s="241"/>
      <c r="AG630" s="241" t="str">
        <f>IFERROR(__xludf.DUMMYFUNCTION("""COMPUTED_VALUE"""),"Coração de Lich")</f>
        <v>Coração de Lich</v>
      </c>
      <c r="AH630" s="241"/>
      <c r="AI630" s="241"/>
      <c r="AJ630" s="242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2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2"/>
      <c r="Y631" s="241"/>
      <c r="Z631" s="241"/>
      <c r="AA631" s="241"/>
      <c r="AB631" s="241"/>
      <c r="AC631" s="241"/>
      <c r="AD631" s="241"/>
      <c r="AE631" s="241" t="str">
        <f>IFERROR(__xludf.DUMMYFUNCTION("""COMPUTED_VALUE"""),"Painel Refrator")</f>
        <v>Painel Refrator</v>
      </c>
      <c r="AF631" s="241"/>
      <c r="AG631" s="241" t="str">
        <f>IFERROR(__xludf.DUMMYFUNCTION("""COMPUTED_VALUE"""),"Amuleto dracônico")</f>
        <v>Amuleto dracônico</v>
      </c>
      <c r="AH631" s="241"/>
      <c r="AI631" s="241"/>
      <c r="AJ631" s="242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2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2"/>
      <c r="Y632" s="241"/>
      <c r="Z632" s="241"/>
      <c r="AA632" s="241"/>
      <c r="AB632" s="241"/>
      <c r="AC632" s="241"/>
      <c r="AD632" s="241"/>
      <c r="AE632" s="241"/>
      <c r="AF632" s="241"/>
      <c r="AG632" s="241" t="str">
        <f>IFERROR(__xludf.DUMMYFUNCTION("""COMPUTED_VALUE"""),"Lágrima da Deusa")</f>
        <v>Lágrima da Deusa</v>
      </c>
      <c r="AH632" s="241"/>
      <c r="AI632" s="241"/>
      <c r="AJ632" s="242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2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2"/>
      <c r="Y633" s="241"/>
      <c r="Z633" s="241"/>
      <c r="AA633" s="241"/>
      <c r="AB633" s="241"/>
      <c r="AC633" s="241"/>
      <c r="AD633" s="241"/>
      <c r="AE633" s="241"/>
      <c r="AF633" s="241"/>
      <c r="AG633" s="241" t="str">
        <f>IFERROR(__xludf.DUMMYFUNCTION("""COMPUTED_VALUE"""),"Coração do Sol")</f>
        <v>Coração do Sol</v>
      </c>
      <c r="AH633" s="241"/>
      <c r="AI633" s="241"/>
      <c r="AJ633" s="242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2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2"/>
      <c r="Y634" s="241"/>
      <c r="Z634" s="241"/>
      <c r="AA634" s="241"/>
      <c r="AB634" s="241"/>
      <c r="AC634" s="241"/>
      <c r="AD634" s="241"/>
      <c r="AE634" s="241"/>
      <c r="AF634" s="241"/>
      <c r="AG634" s="241" t="str">
        <f>IFERROR(__xludf.DUMMYFUNCTION("""COMPUTED_VALUE"""),"Herança de Azbandar")</f>
        <v>Herança de Azbandar</v>
      </c>
      <c r="AH634" s="241"/>
      <c r="AI634" s="241"/>
      <c r="AJ634" s="242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2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2"/>
      <c r="Y635" s="241"/>
      <c r="Z635" s="241"/>
      <c r="AA635" s="241"/>
      <c r="AB635" s="241"/>
      <c r="AC635" s="241"/>
      <c r="AD635" s="241"/>
      <c r="AE635" s="241"/>
      <c r="AF635" s="241"/>
      <c r="AG635" s="241" t="str">
        <f>IFERROR(__xludf.DUMMYFUNCTION("""COMPUTED_VALUE"""),"Herança de Família")</f>
        <v>Herança de Família</v>
      </c>
      <c r="AH635" s="241"/>
      <c r="AI635" s="241"/>
      <c r="AJ635" s="242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2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2"/>
      <c r="Y636" s="241"/>
      <c r="Z636" s="241"/>
      <c r="AA636" s="241"/>
      <c r="AB636" s="241"/>
      <c r="AC636" s="241"/>
      <c r="AD636" s="241"/>
      <c r="AE636" s="241"/>
      <c r="AF636" s="241"/>
      <c r="AG636" s="241" t="str">
        <f>IFERROR(__xludf.DUMMYFUNCTION("""COMPUTED_VALUE"""),"Talismã do fogo-gelo")</f>
        <v>Talismã do fogo-gelo</v>
      </c>
      <c r="AH636" s="241"/>
      <c r="AI636" s="241"/>
      <c r="AJ636" s="242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2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2"/>
      <c r="Y637" s="241"/>
      <c r="Z637" s="241"/>
      <c r="AA637" s="241"/>
      <c r="AB637" s="241"/>
      <c r="AC637" s="241"/>
      <c r="AD637" s="241"/>
      <c r="AE637" s="241"/>
      <c r="AF637" s="241"/>
      <c r="AG637" s="241" t="str">
        <f>IFERROR(__xludf.DUMMYFUNCTION("""COMPUTED_VALUE"""),"Coração de Gaia")</f>
        <v>Coração de Gaia</v>
      </c>
      <c r="AH637" s="241"/>
      <c r="AI637" s="241"/>
      <c r="AJ637" s="242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2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2"/>
      <c r="Y638" s="241"/>
      <c r="Z638" s="241"/>
      <c r="AA638" s="241"/>
      <c r="AB638" s="241"/>
      <c r="AC638" s="241"/>
      <c r="AD638" s="241"/>
      <c r="AE638" s="241"/>
      <c r="AF638" s="241"/>
      <c r="AG638" s="241" t="str">
        <f>IFERROR(__xludf.DUMMYFUNCTION("""COMPUTED_VALUE"""),"Amuleto primordial")</f>
        <v>Amuleto primordial</v>
      </c>
      <c r="AH638" s="241"/>
      <c r="AI638" s="241"/>
      <c r="AJ638" s="242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2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2"/>
      <c r="Y639" s="241"/>
      <c r="Z639" s="241"/>
      <c r="AA639" s="241"/>
      <c r="AB639" s="241"/>
      <c r="AC639" s="241"/>
      <c r="AD639" s="241"/>
      <c r="AE639" s="241"/>
      <c r="AF639" s="241"/>
      <c r="AG639" s="241" t="str">
        <f>IFERROR(__xludf.DUMMYFUNCTION("""COMPUTED_VALUE"""),"Ominous Charm")</f>
        <v>Ominous Charm</v>
      </c>
      <c r="AH639" s="241"/>
      <c r="AI639" s="241"/>
      <c r="AJ639" s="242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2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2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2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2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2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2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2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2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2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2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2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2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2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2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2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2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2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2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2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2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2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2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2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2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2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2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2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2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2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2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2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2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2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2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2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2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2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2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2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2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2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2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2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2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2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2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2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2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2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2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2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2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2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2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2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2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2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2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2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2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2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2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2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2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2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2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2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2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2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2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2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2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2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2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2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2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2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2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2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2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2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2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2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2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2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2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2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2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2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2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2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2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2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2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2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2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2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2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2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2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2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2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2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2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2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2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2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2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2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2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2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2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2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2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2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2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2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2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2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2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2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2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2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2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2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2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2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2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2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2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2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2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2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2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2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2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2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2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2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2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2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2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2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2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2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2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2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2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2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2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2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2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2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2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2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2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2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2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2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2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2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2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2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2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2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2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2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2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2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2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2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2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2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2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2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2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2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2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2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2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2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2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2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2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2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2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2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2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2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2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2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2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2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2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2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2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2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2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2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2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2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2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2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2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2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2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2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2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2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2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2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2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2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2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2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2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2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2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2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2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2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2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2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2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2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2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2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2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2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2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2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2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2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2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2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2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2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2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2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2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2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2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2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2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2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2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2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2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2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2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2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2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2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2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2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2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2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2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2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2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2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2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2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2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2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2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2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2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2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2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2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2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2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2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2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2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2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2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2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2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2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2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2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2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2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2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2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2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2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2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2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2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2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2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2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2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2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2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2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2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2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2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2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2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2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2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2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2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2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2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2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2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2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2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2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2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2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2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2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2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2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2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2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2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2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2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2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2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2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2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2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2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2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2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2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2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2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2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2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2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2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2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2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2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2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2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2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2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2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2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2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2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2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2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2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2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2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2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2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2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2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2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2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2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2"/>
    </row>
    <row r="763" hidden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2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2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2"/>
    </row>
    <row r="764" hidden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2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2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2"/>
    </row>
    <row r="765" hidden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2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2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2"/>
    </row>
    <row r="766" hidden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2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2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2"/>
    </row>
    <row r="767" hidden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2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2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2"/>
    </row>
    <row r="768" hidden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2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2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2"/>
    </row>
    <row r="769" hidden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2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2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2"/>
    </row>
    <row r="770" hidden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2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2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2"/>
    </row>
    <row r="771" hidden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2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2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2"/>
    </row>
    <row r="772" hidden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2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2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2"/>
    </row>
    <row r="773" hidden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2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2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2"/>
    </row>
    <row r="774" hidden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2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2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2"/>
    </row>
    <row r="775" hidden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2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2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2"/>
    </row>
    <row r="776" hidden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2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2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2"/>
    </row>
    <row r="777" hidden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2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2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2"/>
    </row>
    <row r="778" hidden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2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2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2"/>
    </row>
    <row r="779" hidden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2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2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2"/>
    </row>
    <row r="780" hidden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2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2"/>
    </row>
    <row r="781" hidden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2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2"/>
    </row>
    <row r="782" hidden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2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2"/>
    </row>
    <row r="783" hidden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2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2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2"/>
    </row>
    <row r="784" hidden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2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2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2"/>
    </row>
    <row r="785" hidden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2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2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2"/>
    </row>
    <row r="786" hidden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2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2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2"/>
    </row>
    <row r="787" hidden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2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2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2"/>
    </row>
    <row r="788" hidden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2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2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2"/>
    </row>
    <row r="789" hidden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2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2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2"/>
    </row>
    <row r="790" hidden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2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2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2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2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2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2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2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2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2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2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2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2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2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2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2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2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2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2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2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2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2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2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2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2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2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2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2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2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2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2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2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2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2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2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2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2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2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2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2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2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2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2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2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2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2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2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2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2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2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2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2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2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2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2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2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2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2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2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2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2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2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2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2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2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2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2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2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2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2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2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2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2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2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2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2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2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2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2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2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2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2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2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2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2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2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2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2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2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2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2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2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2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2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2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2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2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2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2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2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2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2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2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2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2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2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2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2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2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2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2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2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2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2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2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2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2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2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2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2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2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2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2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2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2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2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2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2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2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2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2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2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2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2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2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2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2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2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2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2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2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2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2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2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2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2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2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2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2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2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2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2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2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2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2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2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2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2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2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2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2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2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2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2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2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2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2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2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2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2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2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2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2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2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2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2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2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2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2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2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2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2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2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2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2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2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2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2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2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2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2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2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2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2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2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2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2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2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2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2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2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2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2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2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2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2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2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2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2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2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2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2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2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2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2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2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2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2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2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2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2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2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2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2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2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2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2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2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2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2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2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2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2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2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2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2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2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2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2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2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2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2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2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2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2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2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2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2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2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2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2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2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2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2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2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2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2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2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2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2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2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2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2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2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2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2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2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2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2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2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2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2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2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2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2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2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2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2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2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2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2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2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2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2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2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2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2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2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2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2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2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2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2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2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2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2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2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2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2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2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2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2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2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2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2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2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2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2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2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2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2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2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2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2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2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2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2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2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2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2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2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2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2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2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2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2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2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2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2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2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2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2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2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2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2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2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2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2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2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2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2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2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2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2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2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2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2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2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2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2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2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2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2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2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2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2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2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2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2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2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2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2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2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2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2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2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2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2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2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2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2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2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2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2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2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2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2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2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2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2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2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2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2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2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2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2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2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2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2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2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2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2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2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2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2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2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2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2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2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2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2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2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2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2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2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2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2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2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2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2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2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2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2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2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2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2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2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2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2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2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2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2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2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2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2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2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2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2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2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2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2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2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2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2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2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2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2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2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2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2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2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2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2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2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2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2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2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2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2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2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2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2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2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2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2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2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2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2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2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2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2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2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2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2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2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2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2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2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2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2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2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2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2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2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2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2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2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2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2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2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2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2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2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2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2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2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2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2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2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2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2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2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2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2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2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2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2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2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2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2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2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2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2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2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2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2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2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2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2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2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2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2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2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2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2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2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2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2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2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2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2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2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2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2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2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2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2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2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2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2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2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2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2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2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2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2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2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2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2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2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2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2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2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2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2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2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2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2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2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2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2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2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2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2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2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2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2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2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2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2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2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2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2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2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2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2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2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2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2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2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2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2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2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2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2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2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2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2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2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2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2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2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2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2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2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2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2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2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2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2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2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2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2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2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2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2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2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2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2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2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2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2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2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2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2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2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2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2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2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2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2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2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2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2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2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2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2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2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2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2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2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2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2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2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2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2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2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2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2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2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2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2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2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2"/>
    </row>
    <row r="1001" hidden="1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2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2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2"/>
    </row>
    <row r="1002" hidden="1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2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2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2"/>
    </row>
    <row r="1003" hidden="1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2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2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2"/>
    </row>
    <row r="1004" hidden="1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2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2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2"/>
    </row>
    <row r="1005" hidden="1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2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2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2"/>
    </row>
    <row r="1006" hidden="1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2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2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2"/>
    </row>
    <row r="1007" hidden="1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2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2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2"/>
    </row>
    <row r="1008" hidden="1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2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2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2"/>
    </row>
    <row r="1009" hidden="1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2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2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2"/>
    </row>
    <row r="1010" hidden="1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2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2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2"/>
    </row>
    <row r="1011" hidden="1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2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2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2"/>
    </row>
    <row r="1012" hidden="1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2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2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2"/>
    </row>
    <row r="1013" hidden="1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2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2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2"/>
    </row>
    <row r="1014" hidden="1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2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2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2"/>
    </row>
    <row r="1015" hidden="1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2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2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2"/>
    </row>
    <row r="1016" hidden="1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2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2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2"/>
    </row>
    <row r="1017" hidden="1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2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2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2"/>
    </row>
    <row r="1018" hidden="1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2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2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2"/>
    </row>
    <row r="1019" hidden="1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2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2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2"/>
    </row>
    <row r="1020" hidden="1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2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2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2"/>
    </row>
    <row r="1021" hidden="1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2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2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2"/>
    </row>
    <row r="1022" hidden="1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2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2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2"/>
    </row>
    <row r="1023" hidden="1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2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2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2"/>
    </row>
    <row r="1024" hidden="1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2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2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2"/>
    </row>
    <row r="1025" hidden="1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2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2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2"/>
    </row>
    <row r="1026" hidden="1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2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2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2"/>
    </row>
    <row r="1027" hidden="1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2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2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2"/>
    </row>
    <row r="1028" hidden="1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2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2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2"/>
    </row>
    <row r="1029" hidden="1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2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2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2"/>
    </row>
    <row r="1030" hidden="1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2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2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2"/>
    </row>
    <row r="1031" hidden="1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2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2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2"/>
    </row>
    <row r="1032" hidden="1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2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2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2"/>
    </row>
    <row r="1033" hidden="1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2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2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2"/>
    </row>
    <row r="1034" hidden="1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2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2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2"/>
    </row>
    <row r="1035" hidden="1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2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2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2"/>
    </row>
    <row r="1036" hidden="1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2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2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2"/>
    </row>
    <row r="1037" hidden="1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2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2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2"/>
    </row>
    <row r="1038" hidden="1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2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2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2"/>
    </row>
    <row r="1039" hidden="1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2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2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2"/>
    </row>
    <row r="1040" hidden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2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2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2"/>
    </row>
    <row r="1041" hidden="1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2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2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2"/>
    </row>
    <row r="1042" hidden="1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2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2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2"/>
    </row>
    <row r="1043" hidden="1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2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2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2"/>
    </row>
    <row r="1044" hidden="1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2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2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2"/>
    </row>
    <row r="1045" hidden="1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2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2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2"/>
    </row>
    <row r="1046" hidden="1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2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2"/>
      <c r="Y1046" s="241"/>
      <c r="Z1046" s="241"/>
      <c r="AA1046" s="241"/>
      <c r="AB1046" s="241"/>
      <c r="AC1046" s="241"/>
      <c r="AD1046" s="241"/>
      <c r="AE1046" s="241"/>
      <c r="AF1046" s="241"/>
      <c r="AG1046" s="241"/>
      <c r="AH1046" s="241"/>
      <c r="AI1046" s="241"/>
      <c r="AJ1046" s="242"/>
    </row>
    <row r="1047" hidden="1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2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2"/>
      <c r="Y1047" s="241"/>
      <c r="Z1047" s="241"/>
      <c r="AA1047" s="241"/>
      <c r="AB1047" s="241"/>
      <c r="AC1047" s="241"/>
      <c r="AD1047" s="241"/>
      <c r="AE1047" s="241"/>
      <c r="AF1047" s="241"/>
      <c r="AG1047" s="241"/>
      <c r="AH1047" s="241"/>
      <c r="AI1047" s="241"/>
      <c r="AJ1047" s="242"/>
    </row>
    <row r="1048" hidden="1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2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2"/>
      <c r="Y1048" s="241"/>
      <c r="Z1048" s="241"/>
      <c r="AA1048" s="241"/>
      <c r="AB1048" s="241"/>
      <c r="AC1048" s="241"/>
      <c r="AD1048" s="241"/>
      <c r="AE1048" s="241"/>
      <c r="AF1048" s="241"/>
      <c r="AG1048" s="241"/>
      <c r="AH1048" s="241"/>
      <c r="AI1048" s="241"/>
      <c r="AJ1048" s="242"/>
    </row>
    <row r="1049" hidden="1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2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2"/>
      <c r="Y1049" s="241"/>
      <c r="Z1049" s="241"/>
      <c r="AA1049" s="241"/>
      <c r="AB1049" s="241"/>
      <c r="AC1049" s="241"/>
      <c r="AD1049" s="241"/>
      <c r="AE1049" s="241"/>
      <c r="AF1049" s="241"/>
      <c r="AG1049" s="241"/>
      <c r="AH1049" s="241"/>
      <c r="AI1049" s="241"/>
      <c r="AJ1049" s="242"/>
    </row>
    <row r="1050" hidden="1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2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2"/>
      <c r="Y1050" s="241"/>
      <c r="Z1050" s="241"/>
      <c r="AA1050" s="241"/>
      <c r="AB1050" s="241"/>
      <c r="AC1050" s="241"/>
      <c r="AD1050" s="241"/>
      <c r="AE1050" s="241"/>
      <c r="AF1050" s="241"/>
      <c r="AG1050" s="241"/>
      <c r="AH1050" s="241"/>
      <c r="AI1050" s="241"/>
      <c r="AJ1050" s="242"/>
    </row>
    <row r="1051" hidden="1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2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2"/>
      <c r="Y1051" s="241"/>
      <c r="Z1051" s="241"/>
      <c r="AA1051" s="241"/>
      <c r="AB1051" s="241"/>
      <c r="AC1051" s="241"/>
      <c r="AD1051" s="241"/>
      <c r="AE1051" s="241"/>
      <c r="AF1051" s="241"/>
      <c r="AG1051" s="241"/>
      <c r="AH1051" s="241"/>
      <c r="AI1051" s="241"/>
      <c r="AJ1051" s="242"/>
    </row>
    <row r="1052" hidden="1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2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2"/>
      <c r="Y1052" s="241"/>
      <c r="Z1052" s="241"/>
      <c r="AA1052" s="241"/>
      <c r="AB1052" s="241"/>
      <c r="AC1052" s="241"/>
      <c r="AD1052" s="241"/>
      <c r="AE1052" s="241"/>
      <c r="AF1052" s="241"/>
      <c r="AG1052" s="241"/>
      <c r="AH1052" s="241"/>
      <c r="AI1052" s="241"/>
      <c r="AJ1052" s="242"/>
    </row>
    <row r="1053" hidden="1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2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2"/>
      <c r="Y1053" s="241"/>
      <c r="Z1053" s="241"/>
      <c r="AA1053" s="241"/>
      <c r="AB1053" s="241"/>
      <c r="AC1053" s="241"/>
      <c r="AD1053" s="241"/>
      <c r="AE1053" s="241"/>
      <c r="AF1053" s="241"/>
      <c r="AG1053" s="241"/>
      <c r="AH1053" s="241"/>
      <c r="AI1053" s="241"/>
      <c r="AJ1053" s="242"/>
    </row>
    <row r="1054" hidden="1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2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2"/>
      <c r="Y1054" s="241"/>
      <c r="Z1054" s="241"/>
      <c r="AA1054" s="241"/>
      <c r="AB1054" s="241"/>
      <c r="AC1054" s="241"/>
      <c r="AD1054" s="241"/>
      <c r="AE1054" s="241"/>
      <c r="AF1054" s="241"/>
      <c r="AG1054" s="241"/>
      <c r="AH1054" s="241"/>
      <c r="AI1054" s="241"/>
      <c r="AJ1054" s="242"/>
    </row>
    <row r="1055" hidden="1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2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2"/>
      <c r="Y1055" s="241"/>
      <c r="Z1055" s="241"/>
      <c r="AA1055" s="241"/>
      <c r="AB1055" s="241"/>
      <c r="AC1055" s="241"/>
      <c r="AD1055" s="241"/>
      <c r="AE1055" s="241"/>
      <c r="AF1055" s="241"/>
      <c r="AG1055" s="241"/>
      <c r="AH1055" s="241"/>
      <c r="AI1055" s="241"/>
      <c r="AJ1055" s="242"/>
    </row>
    <row r="1056" hidden="1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2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2"/>
      <c r="Y1056" s="241"/>
      <c r="Z1056" s="241"/>
      <c r="AA1056" s="241"/>
      <c r="AB1056" s="241"/>
      <c r="AC1056" s="241"/>
      <c r="AD1056" s="241"/>
      <c r="AE1056" s="241"/>
      <c r="AF1056" s="241"/>
      <c r="AG1056" s="241"/>
      <c r="AH1056" s="241"/>
      <c r="AI1056" s="241"/>
      <c r="AJ1056" s="242"/>
    </row>
    <row r="1057" hidden="1">
      <c r="A1057" s="241"/>
      <c r="B1057" s="241"/>
      <c r="C1057" s="241"/>
      <c r="D1057" s="241"/>
      <c r="E1057" s="241"/>
      <c r="F1057" s="241"/>
      <c r="G1057" s="241"/>
      <c r="H1057" s="241"/>
      <c r="I1057" s="241"/>
      <c r="J1057" s="241"/>
      <c r="K1057" s="241"/>
      <c r="L1057" s="242"/>
      <c r="M1057" s="241"/>
      <c r="N1057" s="241"/>
      <c r="O1057" s="241"/>
      <c r="P1057" s="241"/>
      <c r="Q1057" s="241"/>
      <c r="R1057" s="241"/>
      <c r="S1057" s="241"/>
      <c r="T1057" s="241"/>
      <c r="U1057" s="241"/>
      <c r="V1057" s="241"/>
      <c r="W1057" s="241"/>
      <c r="X1057" s="242"/>
      <c r="Y1057" s="241"/>
      <c r="Z1057" s="241"/>
      <c r="AA1057" s="241"/>
      <c r="AB1057" s="241"/>
      <c r="AC1057" s="241"/>
      <c r="AD1057" s="241"/>
      <c r="AE1057" s="241"/>
      <c r="AF1057" s="241"/>
      <c r="AG1057" s="241"/>
      <c r="AH1057" s="241"/>
      <c r="AI1057" s="241"/>
      <c r="AJ1057" s="242"/>
    </row>
    <row r="1058" hidden="1">
      <c r="A1058" s="241"/>
      <c r="B1058" s="241"/>
      <c r="C1058" s="241"/>
      <c r="D1058" s="241"/>
      <c r="E1058" s="241"/>
      <c r="F1058" s="241"/>
      <c r="G1058" s="241"/>
      <c r="H1058" s="241"/>
      <c r="I1058" s="241"/>
      <c r="J1058" s="241"/>
      <c r="K1058" s="241"/>
      <c r="L1058" s="242"/>
      <c r="M1058" s="241"/>
      <c r="N1058" s="241"/>
      <c r="O1058" s="241"/>
      <c r="P1058" s="241"/>
      <c r="Q1058" s="241"/>
      <c r="R1058" s="241"/>
      <c r="S1058" s="241"/>
      <c r="T1058" s="241"/>
      <c r="U1058" s="241"/>
      <c r="V1058" s="241"/>
      <c r="W1058" s="241"/>
      <c r="X1058" s="242"/>
      <c r="Y1058" s="241"/>
      <c r="Z1058" s="241"/>
      <c r="AA1058" s="241"/>
      <c r="AB1058" s="241"/>
      <c r="AC1058" s="241"/>
      <c r="AD1058" s="241"/>
      <c r="AE1058" s="241"/>
      <c r="AF1058" s="241"/>
      <c r="AG1058" s="241"/>
      <c r="AH1058" s="241"/>
      <c r="AI1058" s="241"/>
      <c r="AJ1058" s="242"/>
    </row>
    <row r="1059" hidden="1">
      <c r="A1059" s="241"/>
      <c r="B1059" s="241"/>
      <c r="C1059" s="241"/>
      <c r="D1059" s="241"/>
      <c r="E1059" s="241"/>
      <c r="F1059" s="241"/>
      <c r="G1059" s="241"/>
      <c r="H1059" s="241"/>
      <c r="I1059" s="241"/>
      <c r="J1059" s="241"/>
      <c r="K1059" s="241"/>
      <c r="L1059" s="242"/>
      <c r="M1059" s="241"/>
      <c r="N1059" s="241"/>
      <c r="O1059" s="241"/>
      <c r="P1059" s="241"/>
      <c r="Q1059" s="241"/>
      <c r="R1059" s="241"/>
      <c r="S1059" s="241"/>
      <c r="T1059" s="241"/>
      <c r="U1059" s="241"/>
      <c r="V1059" s="241"/>
      <c r="W1059" s="241"/>
      <c r="X1059" s="242"/>
      <c r="Y1059" s="241"/>
      <c r="Z1059" s="241"/>
      <c r="AA1059" s="241"/>
      <c r="AB1059" s="241"/>
      <c r="AC1059" s="241"/>
      <c r="AD1059" s="241"/>
      <c r="AE1059" s="241"/>
      <c r="AF1059" s="241"/>
      <c r="AG1059" s="241"/>
      <c r="AH1059" s="241"/>
      <c r="AI1059" s="241"/>
      <c r="AJ1059" s="242"/>
    </row>
    <row r="1060" hidden="1">
      <c r="A1060" s="241"/>
      <c r="B1060" s="241"/>
      <c r="C1060" s="241"/>
      <c r="D1060" s="241"/>
      <c r="E1060" s="241"/>
      <c r="F1060" s="241"/>
      <c r="G1060" s="241"/>
      <c r="H1060" s="241"/>
      <c r="I1060" s="241"/>
      <c r="J1060" s="241"/>
      <c r="K1060" s="241"/>
      <c r="L1060" s="242"/>
      <c r="M1060" s="241"/>
      <c r="N1060" s="241"/>
      <c r="O1060" s="241"/>
      <c r="P1060" s="241"/>
      <c r="Q1060" s="241"/>
      <c r="R1060" s="241"/>
      <c r="S1060" s="241"/>
      <c r="T1060" s="241"/>
      <c r="U1060" s="241"/>
      <c r="V1060" s="241"/>
      <c r="W1060" s="241"/>
      <c r="X1060" s="242"/>
      <c r="Y1060" s="241"/>
      <c r="Z1060" s="241"/>
      <c r="AA1060" s="241"/>
      <c r="AB1060" s="241"/>
      <c r="AC1060" s="241"/>
      <c r="AD1060" s="241"/>
      <c r="AE1060" s="241"/>
      <c r="AF1060" s="241"/>
      <c r="AG1060" s="241"/>
      <c r="AH1060" s="241"/>
      <c r="AI1060" s="241"/>
      <c r="AJ1060" s="242"/>
    </row>
    <row r="1061" hidden="1">
      <c r="A1061" s="241"/>
      <c r="B1061" s="241"/>
      <c r="C1061" s="241"/>
      <c r="D1061" s="241"/>
      <c r="E1061" s="241"/>
      <c r="F1061" s="241"/>
      <c r="G1061" s="241"/>
      <c r="H1061" s="241"/>
      <c r="I1061" s="241"/>
      <c r="J1061" s="241"/>
      <c r="K1061" s="241"/>
      <c r="L1061" s="242"/>
      <c r="M1061" s="241"/>
      <c r="N1061" s="241"/>
      <c r="O1061" s="241"/>
      <c r="P1061" s="241"/>
      <c r="Q1061" s="241"/>
      <c r="R1061" s="241"/>
      <c r="S1061" s="241"/>
      <c r="T1061" s="241"/>
      <c r="U1061" s="241"/>
      <c r="V1061" s="241"/>
      <c r="W1061" s="241"/>
      <c r="X1061" s="242"/>
      <c r="Y1061" s="241"/>
      <c r="Z1061" s="241"/>
      <c r="AA1061" s="241"/>
      <c r="AB1061" s="241"/>
      <c r="AC1061" s="241"/>
      <c r="AD1061" s="241"/>
      <c r="AE1061" s="241"/>
      <c r="AF1061" s="241"/>
      <c r="AG1061" s="241"/>
      <c r="AH1061" s="241"/>
      <c r="AI1061" s="241"/>
      <c r="AJ1061" s="242"/>
    </row>
    <row r="1062" hidden="1">
      <c r="A1062" s="241"/>
      <c r="B1062" s="241"/>
      <c r="C1062" s="241"/>
      <c r="D1062" s="241"/>
      <c r="E1062" s="241"/>
      <c r="F1062" s="241"/>
      <c r="G1062" s="241"/>
      <c r="H1062" s="241"/>
      <c r="I1062" s="241"/>
      <c r="J1062" s="241"/>
      <c r="K1062" s="241"/>
      <c r="L1062" s="242"/>
      <c r="M1062" s="241"/>
      <c r="N1062" s="241"/>
      <c r="O1062" s="241"/>
      <c r="P1062" s="241"/>
      <c r="Q1062" s="241"/>
      <c r="R1062" s="241"/>
      <c r="S1062" s="241"/>
      <c r="T1062" s="241"/>
      <c r="U1062" s="241"/>
      <c r="V1062" s="241"/>
      <c r="W1062" s="241"/>
      <c r="X1062" s="242"/>
      <c r="Y1062" s="241"/>
      <c r="Z1062" s="241"/>
      <c r="AA1062" s="241"/>
      <c r="AB1062" s="241"/>
      <c r="AC1062" s="241"/>
      <c r="AD1062" s="241"/>
      <c r="AE1062" s="241"/>
      <c r="AF1062" s="241"/>
      <c r="AG1062" s="241"/>
      <c r="AH1062" s="241"/>
      <c r="AI1062" s="241"/>
      <c r="AJ1062" s="242"/>
    </row>
    <row r="1063" hidden="1">
      <c r="A1063" s="241"/>
      <c r="B1063" s="241"/>
      <c r="C1063" s="241"/>
      <c r="D1063" s="241"/>
      <c r="E1063" s="241"/>
      <c r="F1063" s="241"/>
      <c r="G1063" s="241"/>
      <c r="H1063" s="241"/>
      <c r="I1063" s="241"/>
      <c r="J1063" s="241"/>
      <c r="K1063" s="241"/>
      <c r="L1063" s="242"/>
      <c r="M1063" s="241"/>
      <c r="N1063" s="241"/>
      <c r="O1063" s="241"/>
      <c r="P1063" s="241"/>
      <c r="Q1063" s="241"/>
      <c r="R1063" s="241"/>
      <c r="S1063" s="241"/>
      <c r="T1063" s="241"/>
      <c r="U1063" s="241"/>
      <c r="V1063" s="241"/>
      <c r="W1063" s="241"/>
      <c r="X1063" s="242"/>
      <c r="Y1063" s="241"/>
      <c r="Z1063" s="241"/>
      <c r="AA1063" s="241"/>
      <c r="AB1063" s="241"/>
      <c r="AC1063" s="241"/>
      <c r="AD1063" s="241"/>
      <c r="AE1063" s="241"/>
      <c r="AF1063" s="241"/>
      <c r="AG1063" s="241"/>
      <c r="AH1063" s="241"/>
      <c r="AI1063" s="241"/>
      <c r="AJ1063" s="242"/>
    </row>
    <row r="1064" hidden="1">
      <c r="A1064" s="241"/>
      <c r="B1064" s="241"/>
      <c r="C1064" s="241"/>
      <c r="D1064" s="241"/>
      <c r="E1064" s="241"/>
      <c r="F1064" s="241"/>
      <c r="G1064" s="241"/>
      <c r="H1064" s="241"/>
      <c r="I1064" s="241"/>
      <c r="J1064" s="241"/>
      <c r="K1064" s="241"/>
      <c r="L1064" s="242"/>
      <c r="M1064" s="241"/>
      <c r="N1064" s="241"/>
      <c r="O1064" s="241"/>
      <c r="P1064" s="241"/>
      <c r="Q1064" s="241"/>
      <c r="R1064" s="241"/>
      <c r="S1064" s="241"/>
      <c r="T1064" s="241"/>
      <c r="U1064" s="241"/>
      <c r="V1064" s="241"/>
      <c r="W1064" s="241"/>
      <c r="X1064" s="242"/>
      <c r="Y1064" s="241"/>
      <c r="Z1064" s="241"/>
      <c r="AA1064" s="241"/>
      <c r="AB1064" s="241"/>
      <c r="AC1064" s="241"/>
      <c r="AD1064" s="241"/>
      <c r="AE1064" s="241"/>
      <c r="AF1064" s="241"/>
      <c r="AG1064" s="241"/>
      <c r="AH1064" s="241"/>
      <c r="AI1064" s="241"/>
      <c r="AJ1064" s="242"/>
    </row>
    <row r="1065" hidden="1">
      <c r="A1065" s="241"/>
      <c r="B1065" s="241"/>
      <c r="C1065" s="241"/>
      <c r="D1065" s="241"/>
      <c r="E1065" s="241"/>
      <c r="F1065" s="241"/>
      <c r="G1065" s="241"/>
      <c r="H1065" s="241"/>
      <c r="I1065" s="241"/>
      <c r="J1065" s="241"/>
      <c r="K1065" s="241"/>
      <c r="L1065" s="242"/>
      <c r="M1065" s="241"/>
      <c r="N1065" s="241"/>
      <c r="O1065" s="241"/>
      <c r="P1065" s="241"/>
      <c r="Q1065" s="241"/>
      <c r="R1065" s="241"/>
      <c r="S1065" s="241"/>
      <c r="T1065" s="241"/>
      <c r="U1065" s="241"/>
      <c r="V1065" s="241"/>
      <c r="W1065" s="241"/>
      <c r="X1065" s="242"/>
      <c r="Y1065" s="241"/>
      <c r="Z1065" s="241"/>
      <c r="AA1065" s="241"/>
      <c r="AB1065" s="241"/>
      <c r="AC1065" s="241"/>
      <c r="AD1065" s="241"/>
      <c r="AE1065" s="241"/>
      <c r="AF1065" s="241"/>
      <c r="AG1065" s="241"/>
      <c r="AH1065" s="241"/>
      <c r="AI1065" s="241"/>
      <c r="AJ1065" s="242"/>
    </row>
    <row r="1066" hidden="1">
      <c r="A1066" s="241"/>
      <c r="B1066" s="241"/>
      <c r="C1066" s="241"/>
      <c r="D1066" s="241"/>
      <c r="E1066" s="241"/>
      <c r="F1066" s="241"/>
      <c r="G1066" s="241"/>
      <c r="H1066" s="241"/>
      <c r="I1066" s="241"/>
      <c r="J1066" s="241"/>
      <c r="K1066" s="241"/>
      <c r="L1066" s="242"/>
      <c r="M1066" s="241"/>
      <c r="N1066" s="241"/>
      <c r="O1066" s="241"/>
      <c r="P1066" s="241"/>
      <c r="Q1066" s="241"/>
      <c r="R1066" s="241"/>
      <c r="S1066" s="241"/>
      <c r="T1066" s="241"/>
      <c r="U1066" s="241"/>
      <c r="V1066" s="241"/>
      <c r="W1066" s="241"/>
      <c r="X1066" s="242"/>
      <c r="Y1066" s="241"/>
      <c r="Z1066" s="241"/>
      <c r="AA1066" s="241"/>
      <c r="AB1066" s="241"/>
      <c r="AC1066" s="241"/>
      <c r="AD1066" s="241"/>
      <c r="AE1066" s="241"/>
      <c r="AF1066" s="241"/>
      <c r="AG1066" s="241"/>
      <c r="AH1066" s="241"/>
      <c r="AI1066" s="241"/>
      <c r="AJ1066" s="242"/>
    </row>
    <row r="1067" hidden="1">
      <c r="A1067" s="241"/>
      <c r="B1067" s="241"/>
      <c r="C1067" s="241"/>
      <c r="D1067" s="241"/>
      <c r="E1067" s="241"/>
      <c r="F1067" s="241"/>
      <c r="G1067" s="241"/>
      <c r="H1067" s="241"/>
      <c r="I1067" s="241"/>
      <c r="J1067" s="241"/>
      <c r="K1067" s="241"/>
      <c r="L1067" s="242"/>
      <c r="M1067" s="241"/>
      <c r="N1067" s="241"/>
      <c r="O1067" s="241"/>
      <c r="P1067" s="241"/>
      <c r="Q1067" s="241"/>
      <c r="R1067" s="241"/>
      <c r="S1067" s="241"/>
      <c r="T1067" s="241"/>
      <c r="U1067" s="241"/>
      <c r="V1067" s="241"/>
      <c r="W1067" s="241"/>
      <c r="X1067" s="242"/>
      <c r="Y1067" s="241"/>
      <c r="Z1067" s="241"/>
      <c r="AA1067" s="241"/>
      <c r="AB1067" s="241"/>
      <c r="AC1067" s="241"/>
      <c r="AD1067" s="241"/>
      <c r="AE1067" s="241"/>
      <c r="AF1067" s="241"/>
      <c r="AG1067" s="241"/>
      <c r="AH1067" s="241"/>
      <c r="AI1067" s="241"/>
      <c r="AJ1067" s="242"/>
    </row>
    <row r="1068" hidden="1">
      <c r="A1068" s="241"/>
      <c r="B1068" s="241"/>
      <c r="C1068" s="241"/>
      <c r="D1068" s="241"/>
      <c r="E1068" s="241"/>
      <c r="F1068" s="241"/>
      <c r="G1068" s="241"/>
      <c r="H1068" s="241"/>
      <c r="I1068" s="241"/>
      <c r="J1068" s="241"/>
      <c r="K1068" s="241"/>
      <c r="L1068" s="242"/>
      <c r="M1068" s="241"/>
      <c r="N1068" s="241"/>
      <c r="O1068" s="241"/>
      <c r="P1068" s="241"/>
      <c r="Q1068" s="241"/>
      <c r="R1068" s="241"/>
      <c r="S1068" s="241"/>
      <c r="T1068" s="241"/>
      <c r="U1068" s="241"/>
      <c r="V1068" s="241"/>
      <c r="W1068" s="241"/>
      <c r="X1068" s="242"/>
      <c r="Y1068" s="241"/>
      <c r="Z1068" s="241"/>
      <c r="AA1068" s="241"/>
      <c r="AB1068" s="241"/>
      <c r="AC1068" s="241"/>
      <c r="AD1068" s="241"/>
      <c r="AE1068" s="241"/>
      <c r="AF1068" s="241"/>
      <c r="AG1068" s="241"/>
      <c r="AH1068" s="241"/>
      <c r="AI1068" s="241"/>
      <c r="AJ1068" s="242"/>
    </row>
    <row r="1069" hidden="1">
      <c r="A1069" s="241"/>
      <c r="B1069" s="241"/>
      <c r="C1069" s="241"/>
      <c r="D1069" s="241"/>
      <c r="E1069" s="241"/>
      <c r="F1069" s="241"/>
      <c r="G1069" s="241"/>
      <c r="H1069" s="241"/>
      <c r="I1069" s="241"/>
      <c r="J1069" s="241"/>
      <c r="K1069" s="241"/>
      <c r="L1069" s="242"/>
      <c r="M1069" s="241"/>
      <c r="N1069" s="241"/>
      <c r="O1069" s="241"/>
      <c r="P1069" s="241"/>
      <c r="Q1069" s="241"/>
      <c r="R1069" s="241"/>
      <c r="S1069" s="241"/>
      <c r="T1069" s="241"/>
      <c r="U1069" s="241"/>
      <c r="V1069" s="241"/>
      <c r="W1069" s="241"/>
      <c r="X1069" s="242"/>
      <c r="Y1069" s="241"/>
      <c r="Z1069" s="241"/>
      <c r="AA1069" s="241"/>
      <c r="AB1069" s="241"/>
      <c r="AC1069" s="241"/>
      <c r="AD1069" s="241"/>
      <c r="AE1069" s="241"/>
      <c r="AF1069" s="241"/>
      <c r="AG1069" s="241"/>
      <c r="AH1069" s="241"/>
      <c r="AI1069" s="241"/>
      <c r="AJ1069" s="242"/>
    </row>
    <row r="1070" hidden="1">
      <c r="A1070" s="241"/>
      <c r="B1070" s="241"/>
      <c r="C1070" s="241"/>
      <c r="D1070" s="241"/>
      <c r="E1070" s="241"/>
      <c r="F1070" s="241"/>
      <c r="G1070" s="241"/>
      <c r="H1070" s="241"/>
      <c r="I1070" s="241"/>
      <c r="J1070" s="241"/>
      <c r="K1070" s="241"/>
      <c r="L1070" s="242"/>
      <c r="M1070" s="241"/>
      <c r="N1070" s="241"/>
      <c r="O1070" s="241"/>
      <c r="P1070" s="241"/>
      <c r="Q1070" s="241"/>
      <c r="R1070" s="241"/>
      <c r="S1070" s="241"/>
      <c r="T1070" s="241"/>
      <c r="U1070" s="241"/>
      <c r="V1070" s="241"/>
      <c r="W1070" s="241"/>
      <c r="X1070" s="242"/>
      <c r="Y1070" s="241"/>
      <c r="Z1070" s="241"/>
      <c r="AA1070" s="241"/>
      <c r="AB1070" s="241"/>
      <c r="AC1070" s="241"/>
      <c r="AD1070" s="241"/>
      <c r="AE1070" s="241"/>
      <c r="AF1070" s="241"/>
      <c r="AG1070" s="241"/>
      <c r="AH1070" s="241"/>
      <c r="AI1070" s="241"/>
      <c r="AJ1070" s="242"/>
    </row>
    <row r="1071" hidden="1">
      <c r="A1071" s="241"/>
      <c r="B1071" s="241"/>
      <c r="C1071" s="241"/>
      <c r="D1071" s="241"/>
      <c r="E1071" s="241"/>
      <c r="F1071" s="241"/>
      <c r="G1071" s="241"/>
      <c r="H1071" s="241"/>
      <c r="I1071" s="241"/>
      <c r="J1071" s="241"/>
      <c r="K1071" s="241"/>
      <c r="L1071" s="242"/>
      <c r="M1071" s="241"/>
      <c r="N1071" s="241"/>
      <c r="O1071" s="241"/>
      <c r="P1071" s="241"/>
      <c r="Q1071" s="241"/>
      <c r="R1071" s="241"/>
      <c r="S1071" s="241"/>
      <c r="T1071" s="241"/>
      <c r="U1071" s="241"/>
      <c r="V1071" s="241"/>
      <c r="W1071" s="241"/>
      <c r="X1071" s="242"/>
      <c r="Y1071" s="241"/>
      <c r="Z1071" s="241"/>
      <c r="AA1071" s="241"/>
      <c r="AB1071" s="241"/>
      <c r="AC1071" s="241"/>
      <c r="AD1071" s="241"/>
      <c r="AE1071" s="241"/>
      <c r="AF1071" s="241"/>
      <c r="AG1071" s="241"/>
      <c r="AH1071" s="241"/>
      <c r="AI1071" s="241"/>
      <c r="AJ1071" s="242"/>
    </row>
    <row r="1072" hidden="1">
      <c r="A1072" s="241"/>
      <c r="B1072" s="241"/>
      <c r="C1072" s="241"/>
      <c r="D1072" s="241"/>
      <c r="E1072" s="241"/>
      <c r="F1072" s="241"/>
      <c r="G1072" s="241"/>
      <c r="H1072" s="241"/>
      <c r="I1072" s="241"/>
      <c r="J1072" s="241"/>
      <c r="K1072" s="241"/>
      <c r="L1072" s="242"/>
      <c r="M1072" s="241"/>
      <c r="N1072" s="241"/>
      <c r="O1072" s="241"/>
      <c r="P1072" s="241"/>
      <c r="Q1072" s="241"/>
      <c r="R1072" s="241"/>
      <c r="S1072" s="241"/>
      <c r="T1072" s="241"/>
      <c r="U1072" s="241"/>
      <c r="V1072" s="241"/>
      <c r="W1072" s="241"/>
      <c r="X1072" s="242"/>
      <c r="Y1072" s="241"/>
      <c r="Z1072" s="241"/>
      <c r="AA1072" s="241"/>
      <c r="AB1072" s="241"/>
      <c r="AC1072" s="241"/>
      <c r="AD1072" s="241"/>
      <c r="AE1072" s="241"/>
      <c r="AF1072" s="241"/>
      <c r="AG1072" s="241"/>
      <c r="AH1072" s="241"/>
      <c r="AI1072" s="241"/>
      <c r="AJ1072" s="242"/>
    </row>
    <row r="1073" hidden="1">
      <c r="A1073" s="241"/>
      <c r="B1073" s="241"/>
      <c r="C1073" s="241"/>
      <c r="D1073" s="241"/>
      <c r="E1073" s="241"/>
      <c r="F1073" s="241"/>
      <c r="G1073" s="241"/>
      <c r="H1073" s="241"/>
      <c r="I1073" s="241"/>
      <c r="J1073" s="241"/>
      <c r="K1073" s="241"/>
      <c r="L1073" s="242"/>
      <c r="M1073" s="241"/>
      <c r="N1073" s="241"/>
      <c r="O1073" s="241"/>
      <c r="P1073" s="241"/>
      <c r="Q1073" s="241"/>
      <c r="R1073" s="241"/>
      <c r="S1073" s="241"/>
      <c r="T1073" s="241"/>
      <c r="U1073" s="241"/>
      <c r="V1073" s="241"/>
      <c r="W1073" s="241"/>
      <c r="X1073" s="242"/>
      <c r="Y1073" s="241"/>
      <c r="Z1073" s="241"/>
      <c r="AA1073" s="241"/>
      <c r="AB1073" s="241"/>
      <c r="AC1073" s="241"/>
      <c r="AD1073" s="241"/>
      <c r="AE1073" s="241"/>
      <c r="AF1073" s="241"/>
      <c r="AG1073" s="241"/>
      <c r="AH1073" s="241"/>
      <c r="AI1073" s="241"/>
      <c r="AJ1073" s="242"/>
    </row>
    <row r="1074" hidden="1">
      <c r="A1074" s="241"/>
      <c r="B1074" s="241"/>
      <c r="C1074" s="241"/>
      <c r="D1074" s="241"/>
      <c r="E1074" s="241"/>
      <c r="F1074" s="241"/>
      <c r="G1074" s="241"/>
      <c r="H1074" s="241"/>
      <c r="I1074" s="241"/>
      <c r="J1074" s="241"/>
      <c r="K1074" s="241"/>
      <c r="L1074" s="242"/>
      <c r="M1074" s="241"/>
      <c r="N1074" s="241"/>
      <c r="O1074" s="241"/>
      <c r="P1074" s="241"/>
      <c r="Q1074" s="241"/>
      <c r="R1074" s="241"/>
      <c r="S1074" s="241"/>
      <c r="T1074" s="241"/>
      <c r="U1074" s="241"/>
      <c r="V1074" s="241"/>
      <c r="W1074" s="241"/>
      <c r="X1074" s="242"/>
      <c r="Y1074" s="241"/>
      <c r="Z1074" s="241"/>
      <c r="AA1074" s="241"/>
      <c r="AB1074" s="241"/>
      <c r="AC1074" s="241"/>
      <c r="AD1074" s="241"/>
      <c r="AE1074" s="241"/>
      <c r="AF1074" s="241"/>
      <c r="AG1074" s="241"/>
      <c r="AH1074" s="241"/>
      <c r="AI1074" s="241"/>
      <c r="AJ1074" s="242"/>
    </row>
    <row r="1075" hidden="1">
      <c r="A1075" s="241"/>
      <c r="B1075" s="241"/>
      <c r="C1075" s="241"/>
      <c r="D1075" s="241"/>
      <c r="E1075" s="241"/>
      <c r="F1075" s="241"/>
      <c r="G1075" s="241"/>
      <c r="H1075" s="241"/>
      <c r="I1075" s="241"/>
      <c r="J1075" s="241"/>
      <c r="K1075" s="241"/>
      <c r="L1075" s="242"/>
      <c r="M1075" s="241"/>
      <c r="N1075" s="241"/>
      <c r="O1075" s="241"/>
      <c r="P1075" s="241"/>
      <c r="Q1075" s="241"/>
      <c r="R1075" s="241"/>
      <c r="S1075" s="241"/>
      <c r="T1075" s="241"/>
      <c r="U1075" s="241"/>
      <c r="V1075" s="241"/>
      <c r="W1075" s="241"/>
      <c r="X1075" s="242"/>
      <c r="Y1075" s="241"/>
      <c r="Z1075" s="241"/>
      <c r="AA1075" s="241"/>
      <c r="AB1075" s="241"/>
      <c r="AC1075" s="241"/>
      <c r="AD1075" s="241"/>
      <c r="AE1075" s="241"/>
      <c r="AF1075" s="241"/>
      <c r="AG1075" s="241"/>
      <c r="AH1075" s="241"/>
      <c r="AI1075" s="241"/>
      <c r="AJ1075" s="242"/>
    </row>
    <row r="1076" hidden="1">
      <c r="A1076" s="241"/>
      <c r="B1076" s="241"/>
      <c r="C1076" s="241"/>
      <c r="D1076" s="241"/>
      <c r="E1076" s="241"/>
      <c r="F1076" s="241"/>
      <c r="G1076" s="241"/>
      <c r="H1076" s="241"/>
      <c r="I1076" s="241"/>
      <c r="J1076" s="241"/>
      <c r="K1076" s="241"/>
      <c r="L1076" s="242"/>
      <c r="M1076" s="241"/>
      <c r="N1076" s="241"/>
      <c r="O1076" s="241"/>
      <c r="P1076" s="241"/>
      <c r="Q1076" s="241"/>
      <c r="R1076" s="241"/>
      <c r="S1076" s="241"/>
      <c r="T1076" s="241"/>
      <c r="U1076" s="241"/>
      <c r="V1076" s="241"/>
      <c r="W1076" s="241"/>
      <c r="X1076" s="242"/>
      <c r="Y1076" s="241"/>
      <c r="Z1076" s="241"/>
      <c r="AA1076" s="241"/>
      <c r="AB1076" s="241"/>
      <c r="AC1076" s="241"/>
      <c r="AD1076" s="241"/>
      <c r="AE1076" s="241"/>
      <c r="AF1076" s="241"/>
      <c r="AG1076" s="241"/>
      <c r="AH1076" s="241"/>
      <c r="AI1076" s="241"/>
      <c r="AJ1076" s="242"/>
    </row>
    <row r="1077" hidden="1">
      <c r="A1077" s="241"/>
      <c r="B1077" s="241"/>
      <c r="C1077" s="241"/>
      <c r="D1077" s="241"/>
      <c r="E1077" s="241"/>
      <c r="F1077" s="241"/>
      <c r="G1077" s="241"/>
      <c r="H1077" s="241"/>
      <c r="I1077" s="241"/>
      <c r="J1077" s="241"/>
      <c r="K1077" s="241"/>
      <c r="L1077" s="242"/>
      <c r="M1077" s="241"/>
      <c r="N1077" s="241"/>
      <c r="O1077" s="241"/>
      <c r="P1077" s="241"/>
      <c r="Q1077" s="241"/>
      <c r="R1077" s="241"/>
      <c r="S1077" s="241"/>
      <c r="T1077" s="241"/>
      <c r="U1077" s="241"/>
      <c r="V1077" s="241"/>
      <c r="W1077" s="241"/>
      <c r="X1077" s="242"/>
      <c r="Y1077" s="241"/>
      <c r="Z1077" s="241"/>
      <c r="AA1077" s="241"/>
      <c r="AB1077" s="241"/>
      <c r="AC1077" s="241"/>
      <c r="AD1077" s="241"/>
      <c r="AE1077" s="241"/>
      <c r="AF1077" s="241"/>
      <c r="AG1077" s="241"/>
      <c r="AH1077" s="241"/>
      <c r="AI1077" s="241"/>
      <c r="AJ1077" s="242"/>
    </row>
    <row r="1078" hidden="1">
      <c r="A1078" s="241"/>
      <c r="B1078" s="241"/>
      <c r="C1078" s="241"/>
      <c r="D1078" s="241"/>
      <c r="E1078" s="241"/>
      <c r="F1078" s="241"/>
      <c r="G1078" s="241"/>
      <c r="H1078" s="241"/>
      <c r="I1078" s="241"/>
      <c r="J1078" s="241"/>
      <c r="K1078" s="241"/>
      <c r="L1078" s="242"/>
      <c r="M1078" s="241"/>
      <c r="N1078" s="241"/>
      <c r="O1078" s="241"/>
      <c r="P1078" s="241"/>
      <c r="Q1078" s="241"/>
      <c r="R1078" s="241"/>
      <c r="S1078" s="241"/>
      <c r="T1078" s="241"/>
      <c r="U1078" s="241"/>
      <c r="V1078" s="241"/>
      <c r="W1078" s="241"/>
      <c r="X1078" s="242"/>
      <c r="Y1078" s="241"/>
      <c r="Z1078" s="241"/>
      <c r="AA1078" s="241"/>
      <c r="AB1078" s="241"/>
      <c r="AC1078" s="241"/>
      <c r="AD1078" s="241"/>
      <c r="AE1078" s="241"/>
      <c r="AF1078" s="241"/>
      <c r="AG1078" s="241"/>
      <c r="AH1078" s="241"/>
      <c r="AI1078" s="241"/>
      <c r="AJ1078" s="242"/>
    </row>
    <row r="1079" hidden="1">
      <c r="A1079" s="241"/>
      <c r="B1079" s="241"/>
      <c r="C1079" s="241"/>
      <c r="D1079" s="241"/>
      <c r="E1079" s="241"/>
      <c r="F1079" s="241"/>
      <c r="G1079" s="241"/>
      <c r="H1079" s="241"/>
      <c r="I1079" s="241"/>
      <c r="J1079" s="241"/>
      <c r="K1079" s="241"/>
      <c r="L1079" s="242"/>
      <c r="M1079" s="241"/>
      <c r="N1079" s="241"/>
      <c r="O1079" s="241"/>
      <c r="P1079" s="241"/>
      <c r="Q1079" s="241"/>
      <c r="R1079" s="241"/>
      <c r="S1079" s="241"/>
      <c r="T1079" s="241"/>
      <c r="U1079" s="241"/>
      <c r="V1079" s="241"/>
      <c r="W1079" s="241"/>
      <c r="X1079" s="242"/>
      <c r="Y1079" s="241"/>
      <c r="Z1079" s="241"/>
      <c r="AA1079" s="241"/>
      <c r="AB1079" s="241"/>
      <c r="AC1079" s="241"/>
      <c r="AD1079" s="241"/>
      <c r="AE1079" s="241"/>
      <c r="AF1079" s="241"/>
      <c r="AG1079" s="241"/>
      <c r="AH1079" s="241"/>
      <c r="AI1079" s="241"/>
      <c r="AJ1079" s="242"/>
    </row>
    <row r="1080" hidden="1">
      <c r="A1080" s="241"/>
      <c r="B1080" s="241"/>
      <c r="C1080" s="241"/>
      <c r="D1080" s="241"/>
      <c r="E1080" s="241"/>
      <c r="F1080" s="241"/>
      <c r="G1080" s="241"/>
      <c r="H1080" s="241"/>
      <c r="I1080" s="241"/>
      <c r="J1080" s="241"/>
      <c r="K1080" s="241"/>
      <c r="L1080" s="242"/>
      <c r="M1080" s="241"/>
      <c r="N1080" s="241"/>
      <c r="O1080" s="241"/>
      <c r="P1080" s="241"/>
      <c r="Q1080" s="241"/>
      <c r="R1080" s="241"/>
      <c r="S1080" s="241"/>
      <c r="T1080" s="241"/>
      <c r="U1080" s="241"/>
      <c r="V1080" s="241"/>
      <c r="W1080" s="241"/>
      <c r="X1080" s="242"/>
      <c r="Y1080" s="241"/>
      <c r="Z1080" s="241"/>
      <c r="AA1080" s="241"/>
      <c r="AB1080" s="241"/>
      <c r="AC1080" s="241"/>
      <c r="AD1080" s="241"/>
      <c r="AE1080" s="241"/>
      <c r="AF1080" s="241"/>
      <c r="AG1080" s="241"/>
      <c r="AH1080" s="241"/>
      <c r="AI1080" s="241"/>
      <c r="AJ1080" s="242"/>
    </row>
    <row r="1081" hidden="1">
      <c r="A1081" s="241"/>
      <c r="B1081" s="241"/>
      <c r="C1081" s="241"/>
      <c r="D1081" s="241"/>
      <c r="E1081" s="241"/>
      <c r="F1081" s="241"/>
      <c r="G1081" s="241"/>
      <c r="H1081" s="241"/>
      <c r="I1081" s="241"/>
      <c r="J1081" s="241"/>
      <c r="K1081" s="241"/>
      <c r="L1081" s="242"/>
      <c r="M1081" s="241"/>
      <c r="N1081" s="241"/>
      <c r="O1081" s="241"/>
      <c r="P1081" s="241"/>
      <c r="Q1081" s="241"/>
      <c r="R1081" s="241"/>
      <c r="S1081" s="241"/>
      <c r="T1081" s="241"/>
      <c r="U1081" s="241"/>
      <c r="V1081" s="241"/>
      <c r="W1081" s="241"/>
      <c r="X1081" s="242"/>
      <c r="Y1081" s="241"/>
      <c r="Z1081" s="241"/>
      <c r="AA1081" s="241"/>
      <c r="AB1081" s="241"/>
      <c r="AC1081" s="241"/>
      <c r="AD1081" s="241"/>
      <c r="AE1081" s="241"/>
      <c r="AF1081" s="241"/>
      <c r="AG1081" s="241"/>
      <c r="AH1081" s="241"/>
      <c r="AI1081" s="241"/>
      <c r="AJ1081" s="242"/>
    </row>
    <row r="1082" hidden="1">
      <c r="A1082" s="241"/>
      <c r="B1082" s="241"/>
      <c r="C1082" s="241"/>
      <c r="D1082" s="241"/>
      <c r="E1082" s="241"/>
      <c r="F1082" s="241"/>
      <c r="G1082" s="241"/>
      <c r="H1082" s="241"/>
      <c r="I1082" s="241"/>
      <c r="J1082" s="241"/>
      <c r="K1082" s="241"/>
      <c r="L1082" s="242"/>
      <c r="M1082" s="241"/>
      <c r="N1082" s="241"/>
      <c r="O1082" s="241"/>
      <c r="P1082" s="241"/>
      <c r="Q1082" s="241"/>
      <c r="R1082" s="241"/>
      <c r="S1082" s="241"/>
      <c r="T1082" s="241"/>
      <c r="U1082" s="241"/>
      <c r="V1082" s="241"/>
      <c r="W1082" s="241"/>
      <c r="X1082" s="242"/>
      <c r="Y1082" s="241"/>
      <c r="Z1082" s="241"/>
      <c r="AA1082" s="241"/>
      <c r="AB1082" s="241"/>
      <c r="AC1082" s="241"/>
      <c r="AD1082" s="241"/>
      <c r="AE1082" s="241"/>
      <c r="AF1082" s="241"/>
      <c r="AG1082" s="241"/>
      <c r="AH1082" s="241"/>
      <c r="AI1082" s="241"/>
      <c r="AJ1082" s="242"/>
    </row>
    <row r="1083" hidden="1">
      <c r="A1083" s="241"/>
      <c r="B1083" s="241"/>
      <c r="C1083" s="241"/>
      <c r="D1083" s="241"/>
      <c r="E1083" s="241"/>
      <c r="F1083" s="241"/>
      <c r="G1083" s="241"/>
      <c r="H1083" s="241"/>
      <c r="I1083" s="241"/>
      <c r="J1083" s="241"/>
      <c r="K1083" s="241"/>
      <c r="L1083" s="242"/>
      <c r="M1083" s="241"/>
      <c r="N1083" s="241"/>
      <c r="O1083" s="241"/>
      <c r="P1083" s="241"/>
      <c r="Q1083" s="241"/>
      <c r="R1083" s="241"/>
      <c r="S1083" s="241"/>
      <c r="T1083" s="241"/>
      <c r="U1083" s="241"/>
      <c r="V1083" s="241"/>
      <c r="W1083" s="241"/>
      <c r="X1083" s="242"/>
      <c r="Y1083" s="241"/>
      <c r="Z1083" s="241"/>
      <c r="AA1083" s="241"/>
      <c r="AB1083" s="241"/>
      <c r="AC1083" s="241"/>
      <c r="AD1083" s="241"/>
      <c r="AE1083" s="241"/>
      <c r="AF1083" s="241"/>
      <c r="AG1083" s="241"/>
      <c r="AH1083" s="241"/>
      <c r="AI1083" s="241"/>
      <c r="AJ1083" s="242"/>
    </row>
    <row r="1084" hidden="1">
      <c r="A1084" s="241"/>
      <c r="B1084" s="241"/>
      <c r="C1084" s="241"/>
      <c r="D1084" s="241"/>
      <c r="E1084" s="241"/>
      <c r="F1084" s="241"/>
      <c r="G1084" s="241"/>
      <c r="H1084" s="241"/>
      <c r="I1084" s="241"/>
      <c r="J1084" s="241"/>
      <c r="K1084" s="241"/>
      <c r="L1084" s="242"/>
      <c r="M1084" s="241"/>
      <c r="N1084" s="241"/>
      <c r="O1084" s="241"/>
      <c r="P1084" s="241"/>
      <c r="Q1084" s="241"/>
      <c r="R1084" s="241"/>
      <c r="S1084" s="241"/>
      <c r="T1084" s="241"/>
      <c r="U1084" s="241"/>
      <c r="V1084" s="241"/>
      <c r="W1084" s="241"/>
      <c r="X1084" s="242"/>
      <c r="Y1084" s="241"/>
      <c r="Z1084" s="241"/>
      <c r="AA1084" s="241"/>
      <c r="AB1084" s="241"/>
      <c r="AC1084" s="241"/>
      <c r="AD1084" s="241"/>
      <c r="AE1084" s="241"/>
      <c r="AF1084" s="241"/>
      <c r="AG1084" s="241"/>
      <c r="AH1084" s="241"/>
      <c r="AI1084" s="241"/>
      <c r="AJ1084" s="242"/>
    </row>
    <row r="1085" hidden="1">
      <c r="A1085" s="241"/>
      <c r="B1085" s="241"/>
      <c r="C1085" s="241"/>
      <c r="D1085" s="241"/>
      <c r="E1085" s="241"/>
      <c r="F1085" s="241"/>
      <c r="G1085" s="241"/>
      <c r="H1085" s="241"/>
      <c r="I1085" s="241"/>
      <c r="J1085" s="241"/>
      <c r="K1085" s="241"/>
      <c r="L1085" s="242"/>
      <c r="M1085" s="241"/>
      <c r="N1085" s="241"/>
      <c r="O1085" s="241"/>
      <c r="P1085" s="241"/>
      <c r="Q1085" s="241"/>
      <c r="R1085" s="241"/>
      <c r="S1085" s="241"/>
      <c r="T1085" s="241"/>
      <c r="U1085" s="241"/>
      <c r="V1085" s="241"/>
      <c r="W1085" s="241"/>
      <c r="X1085" s="242"/>
      <c r="Y1085" s="241"/>
      <c r="Z1085" s="241"/>
      <c r="AA1085" s="241"/>
      <c r="AB1085" s="241"/>
      <c r="AC1085" s="241"/>
      <c r="AD1085" s="241"/>
      <c r="AE1085" s="241"/>
      <c r="AF1085" s="241"/>
      <c r="AG1085" s="241"/>
      <c r="AH1085" s="241"/>
      <c r="AI1085" s="241"/>
      <c r="AJ1085" s="242"/>
    </row>
    <row r="1086" hidden="1">
      <c r="A1086" s="241"/>
      <c r="B1086" s="241"/>
      <c r="C1086" s="241"/>
      <c r="D1086" s="241"/>
      <c r="E1086" s="241"/>
      <c r="F1086" s="241"/>
      <c r="G1086" s="241"/>
      <c r="H1086" s="241"/>
      <c r="I1086" s="241"/>
      <c r="J1086" s="241"/>
      <c r="K1086" s="241"/>
      <c r="L1086" s="242"/>
      <c r="M1086" s="241"/>
      <c r="N1086" s="241"/>
      <c r="O1086" s="241"/>
      <c r="P1086" s="241"/>
      <c r="Q1086" s="241"/>
      <c r="R1086" s="241"/>
      <c r="S1086" s="241"/>
      <c r="T1086" s="241"/>
      <c r="U1086" s="241"/>
      <c r="V1086" s="241"/>
      <c r="W1086" s="241"/>
      <c r="X1086" s="242"/>
      <c r="Y1086" s="241"/>
      <c r="Z1086" s="241"/>
      <c r="AA1086" s="241"/>
      <c r="AB1086" s="241"/>
      <c r="AC1086" s="241"/>
      <c r="AD1086" s="241"/>
      <c r="AE1086" s="241"/>
      <c r="AF1086" s="241"/>
      <c r="AG1086" s="241"/>
      <c r="AH1086" s="241"/>
      <c r="AI1086" s="241"/>
      <c r="AJ1086" s="242"/>
    </row>
    <row r="1087" hidden="1">
      <c r="A1087" s="241"/>
      <c r="B1087" s="241"/>
      <c r="C1087" s="241"/>
      <c r="D1087" s="241"/>
      <c r="E1087" s="241"/>
      <c r="F1087" s="241"/>
      <c r="G1087" s="241"/>
      <c r="H1087" s="241"/>
      <c r="I1087" s="241"/>
      <c r="J1087" s="241"/>
      <c r="K1087" s="241"/>
      <c r="L1087" s="242"/>
      <c r="M1087" s="241"/>
      <c r="N1087" s="241"/>
      <c r="O1087" s="241"/>
      <c r="P1087" s="241"/>
      <c r="Q1087" s="241"/>
      <c r="R1087" s="241"/>
      <c r="S1087" s="241"/>
      <c r="T1087" s="241"/>
      <c r="U1087" s="241"/>
      <c r="V1087" s="241"/>
      <c r="W1087" s="241"/>
      <c r="X1087" s="242"/>
      <c r="Y1087" s="241"/>
      <c r="Z1087" s="241"/>
      <c r="AA1087" s="241"/>
      <c r="AB1087" s="241"/>
      <c r="AC1087" s="241"/>
      <c r="AD1087" s="241"/>
      <c r="AE1087" s="241"/>
      <c r="AF1087" s="241"/>
      <c r="AG1087" s="241"/>
      <c r="AH1087" s="241"/>
      <c r="AI1087" s="241"/>
      <c r="AJ1087" s="242"/>
    </row>
    <row r="1088" hidden="1">
      <c r="A1088" s="241"/>
      <c r="B1088" s="241"/>
      <c r="C1088" s="241"/>
      <c r="D1088" s="241"/>
      <c r="E1088" s="241"/>
      <c r="F1088" s="241"/>
      <c r="G1088" s="241"/>
      <c r="H1088" s="241"/>
      <c r="I1088" s="241"/>
      <c r="J1088" s="241"/>
      <c r="K1088" s="241"/>
      <c r="L1088" s="242"/>
      <c r="M1088" s="241"/>
      <c r="N1088" s="241"/>
      <c r="O1088" s="241"/>
      <c r="P1088" s="241"/>
      <c r="Q1088" s="241"/>
      <c r="R1088" s="241"/>
      <c r="S1088" s="241"/>
      <c r="T1088" s="241"/>
      <c r="U1088" s="241"/>
      <c r="V1088" s="241"/>
      <c r="W1088" s="241"/>
      <c r="X1088" s="242"/>
      <c r="Y1088" s="241"/>
      <c r="Z1088" s="241"/>
      <c r="AA1088" s="241"/>
      <c r="AB1088" s="241"/>
      <c r="AC1088" s="241"/>
      <c r="AD1088" s="241"/>
      <c r="AE1088" s="241"/>
      <c r="AF1088" s="241"/>
      <c r="AG1088" s="241"/>
      <c r="AH1088" s="241"/>
      <c r="AI1088" s="241"/>
      <c r="AJ1088" s="242"/>
    </row>
    <row r="1089" hidden="1">
      <c r="A1089" s="241"/>
      <c r="B1089" s="241"/>
      <c r="C1089" s="241"/>
      <c r="D1089" s="241"/>
      <c r="E1089" s="241"/>
      <c r="F1089" s="241"/>
      <c r="G1089" s="241"/>
      <c r="H1089" s="241"/>
      <c r="I1089" s="241"/>
      <c r="J1089" s="241"/>
      <c r="K1089" s="241"/>
      <c r="L1089" s="242"/>
      <c r="M1089" s="241"/>
      <c r="N1089" s="241"/>
      <c r="O1089" s="241"/>
      <c r="P1089" s="241"/>
      <c r="Q1089" s="241"/>
      <c r="R1089" s="241"/>
      <c r="S1089" s="241"/>
      <c r="T1089" s="241"/>
      <c r="U1089" s="241"/>
      <c r="V1089" s="241"/>
      <c r="W1089" s="241"/>
      <c r="X1089" s="242"/>
      <c r="Y1089" s="241"/>
      <c r="Z1089" s="241"/>
      <c r="AA1089" s="241"/>
      <c r="AB1089" s="241"/>
      <c r="AC1089" s="241"/>
      <c r="AD1089" s="241"/>
      <c r="AE1089" s="241"/>
      <c r="AF1089" s="241"/>
      <c r="AG1089" s="241"/>
      <c r="AH1089" s="241"/>
      <c r="AI1089" s="241"/>
      <c r="AJ1089" s="242"/>
    </row>
    <row r="1090" hidden="1">
      <c r="A1090" s="241"/>
      <c r="B1090" s="241"/>
      <c r="C1090" s="241"/>
      <c r="D1090" s="241"/>
      <c r="E1090" s="241"/>
      <c r="F1090" s="241"/>
      <c r="G1090" s="241"/>
      <c r="H1090" s="241"/>
      <c r="I1090" s="241"/>
      <c r="J1090" s="241"/>
      <c r="K1090" s="241"/>
      <c r="L1090" s="242"/>
      <c r="M1090" s="241"/>
      <c r="N1090" s="241"/>
      <c r="O1090" s="241"/>
      <c r="P1090" s="241"/>
      <c r="Q1090" s="241"/>
      <c r="R1090" s="241"/>
      <c r="S1090" s="241"/>
      <c r="T1090" s="241"/>
      <c r="U1090" s="241"/>
      <c r="V1090" s="241"/>
      <c r="W1090" s="241"/>
      <c r="X1090" s="242"/>
      <c r="Y1090" s="241"/>
      <c r="Z1090" s="241"/>
      <c r="AA1090" s="241"/>
      <c r="AB1090" s="241"/>
      <c r="AC1090" s="241"/>
      <c r="AD1090" s="241"/>
      <c r="AE1090" s="241"/>
      <c r="AF1090" s="241"/>
      <c r="AG1090" s="241"/>
      <c r="AH1090" s="241"/>
      <c r="AI1090" s="241"/>
      <c r="AJ1090" s="242"/>
    </row>
    <row r="1091" hidden="1">
      <c r="A1091" s="241"/>
      <c r="B1091" s="241"/>
      <c r="C1091" s="241"/>
      <c r="D1091" s="241"/>
      <c r="E1091" s="241"/>
      <c r="F1091" s="241"/>
      <c r="G1091" s="241"/>
      <c r="H1091" s="241"/>
      <c r="I1091" s="241"/>
      <c r="J1091" s="241"/>
      <c r="K1091" s="241"/>
      <c r="L1091" s="242"/>
      <c r="M1091" s="241"/>
      <c r="N1091" s="241"/>
      <c r="O1091" s="241"/>
      <c r="P1091" s="241"/>
      <c r="Q1091" s="241"/>
      <c r="R1091" s="241"/>
      <c r="S1091" s="241"/>
      <c r="T1091" s="241"/>
      <c r="U1091" s="241"/>
      <c r="V1091" s="241"/>
      <c r="W1091" s="241"/>
      <c r="X1091" s="242"/>
      <c r="Y1091" s="241"/>
      <c r="Z1091" s="241"/>
      <c r="AA1091" s="241"/>
      <c r="AB1091" s="241"/>
      <c r="AC1091" s="241"/>
      <c r="AD1091" s="241"/>
      <c r="AE1091" s="241"/>
      <c r="AF1091" s="241"/>
      <c r="AG1091" s="241"/>
      <c r="AH1091" s="241"/>
      <c r="AI1091" s="241"/>
      <c r="AJ1091" s="242"/>
    </row>
    <row r="1092" hidden="1">
      <c r="A1092" s="241"/>
      <c r="B1092" s="241"/>
      <c r="C1092" s="241"/>
      <c r="D1092" s="241"/>
      <c r="E1092" s="241"/>
      <c r="F1092" s="241"/>
      <c r="G1092" s="241"/>
      <c r="H1092" s="241"/>
      <c r="I1092" s="241"/>
      <c r="J1092" s="241"/>
      <c r="K1092" s="241"/>
      <c r="L1092" s="242"/>
      <c r="M1092" s="241"/>
      <c r="N1092" s="241"/>
      <c r="O1092" s="241"/>
      <c r="P1092" s="241"/>
      <c r="Q1092" s="241"/>
      <c r="R1092" s="241"/>
      <c r="S1092" s="241"/>
      <c r="T1092" s="241"/>
      <c r="U1092" s="241"/>
      <c r="V1092" s="241"/>
      <c r="W1092" s="241"/>
      <c r="X1092" s="242"/>
      <c r="Y1092" s="241"/>
      <c r="Z1092" s="241"/>
      <c r="AA1092" s="241"/>
      <c r="AB1092" s="241"/>
      <c r="AC1092" s="241"/>
      <c r="AD1092" s="241"/>
      <c r="AE1092" s="241"/>
      <c r="AF1092" s="241"/>
      <c r="AG1092" s="241"/>
      <c r="AH1092" s="241"/>
      <c r="AI1092" s="241"/>
      <c r="AJ1092" s="242"/>
    </row>
    <row r="1093" hidden="1">
      <c r="A1093" s="241"/>
      <c r="B1093" s="241"/>
      <c r="C1093" s="241"/>
      <c r="D1093" s="241"/>
      <c r="E1093" s="241"/>
      <c r="F1093" s="241"/>
      <c r="G1093" s="241"/>
      <c r="H1093" s="241"/>
      <c r="I1093" s="241"/>
      <c r="J1093" s="241"/>
      <c r="K1093" s="241"/>
      <c r="L1093" s="242"/>
      <c r="M1093" s="241"/>
      <c r="N1093" s="241"/>
      <c r="O1093" s="241"/>
      <c r="P1093" s="241"/>
      <c r="Q1093" s="241"/>
      <c r="R1093" s="241"/>
      <c r="S1093" s="241"/>
      <c r="T1093" s="241"/>
      <c r="U1093" s="241"/>
      <c r="V1093" s="241"/>
      <c r="W1093" s="241"/>
      <c r="X1093" s="242"/>
      <c r="Y1093" s="241"/>
      <c r="Z1093" s="241"/>
      <c r="AA1093" s="241"/>
      <c r="AB1093" s="241"/>
      <c r="AC1093" s="241"/>
      <c r="AD1093" s="241"/>
      <c r="AE1093" s="241"/>
      <c r="AF1093" s="241"/>
      <c r="AG1093" s="241"/>
      <c r="AH1093" s="241"/>
      <c r="AI1093" s="241"/>
      <c r="AJ1093" s="242"/>
    </row>
    <row r="1094" hidden="1">
      <c r="A1094" s="241"/>
      <c r="B1094" s="241"/>
      <c r="C1094" s="241"/>
      <c r="D1094" s="241"/>
      <c r="E1094" s="241"/>
      <c r="F1094" s="241"/>
      <c r="G1094" s="241"/>
      <c r="H1094" s="241"/>
      <c r="I1094" s="241"/>
      <c r="J1094" s="241"/>
      <c r="K1094" s="241"/>
      <c r="L1094" s="242"/>
      <c r="M1094" s="241"/>
      <c r="N1094" s="241"/>
      <c r="O1094" s="241"/>
      <c r="P1094" s="241"/>
      <c r="Q1094" s="241"/>
      <c r="R1094" s="241"/>
      <c r="S1094" s="241"/>
      <c r="T1094" s="241"/>
      <c r="U1094" s="241"/>
      <c r="V1094" s="241"/>
      <c r="W1094" s="241"/>
      <c r="X1094" s="242"/>
      <c r="Y1094" s="241"/>
      <c r="Z1094" s="241"/>
      <c r="AA1094" s="241"/>
      <c r="AB1094" s="241"/>
      <c r="AC1094" s="241"/>
      <c r="AD1094" s="241"/>
      <c r="AE1094" s="241"/>
      <c r="AF1094" s="241"/>
      <c r="AG1094" s="241"/>
      <c r="AH1094" s="241"/>
      <c r="AI1094" s="241"/>
      <c r="AJ1094" s="242"/>
    </row>
    <row r="1095" hidden="1">
      <c r="A1095" s="241"/>
      <c r="B1095" s="241"/>
      <c r="C1095" s="241"/>
      <c r="D1095" s="241"/>
      <c r="E1095" s="241"/>
      <c r="F1095" s="241"/>
      <c r="G1095" s="241"/>
      <c r="H1095" s="241"/>
      <c r="I1095" s="241"/>
      <c r="J1095" s="241"/>
      <c r="K1095" s="241"/>
      <c r="L1095" s="242"/>
      <c r="M1095" s="241"/>
      <c r="N1095" s="241"/>
      <c r="O1095" s="241"/>
      <c r="P1095" s="241"/>
      <c r="Q1095" s="241"/>
      <c r="R1095" s="241"/>
      <c r="S1095" s="241"/>
      <c r="T1095" s="241"/>
      <c r="U1095" s="241"/>
      <c r="V1095" s="241"/>
      <c r="W1095" s="241"/>
      <c r="X1095" s="242"/>
      <c r="Y1095" s="241"/>
      <c r="Z1095" s="241"/>
      <c r="AA1095" s="241"/>
      <c r="AB1095" s="241"/>
      <c r="AC1095" s="241"/>
      <c r="AD1095" s="241"/>
      <c r="AE1095" s="241"/>
      <c r="AF1095" s="241"/>
      <c r="AG1095" s="241"/>
      <c r="AH1095" s="241"/>
      <c r="AI1095" s="241"/>
      <c r="AJ1095" s="242"/>
    </row>
    <row r="1096" hidden="1">
      <c r="A1096" s="241"/>
      <c r="B1096" s="241"/>
      <c r="C1096" s="241"/>
      <c r="D1096" s="241"/>
      <c r="E1096" s="241"/>
      <c r="F1096" s="241"/>
      <c r="G1096" s="241"/>
      <c r="H1096" s="241"/>
      <c r="I1096" s="241"/>
      <c r="J1096" s="241"/>
      <c r="K1096" s="241"/>
      <c r="L1096" s="242"/>
      <c r="M1096" s="241"/>
      <c r="N1096" s="241"/>
      <c r="O1096" s="241"/>
      <c r="P1096" s="241"/>
      <c r="Q1096" s="241"/>
      <c r="R1096" s="241"/>
      <c r="S1096" s="241"/>
      <c r="T1096" s="241"/>
      <c r="U1096" s="241"/>
      <c r="V1096" s="241"/>
      <c r="W1096" s="241"/>
      <c r="X1096" s="242"/>
      <c r="Y1096" s="241"/>
      <c r="Z1096" s="241"/>
      <c r="AA1096" s="241"/>
      <c r="AB1096" s="241"/>
      <c r="AC1096" s="241"/>
      <c r="AD1096" s="241"/>
      <c r="AE1096" s="241"/>
      <c r="AF1096" s="241"/>
      <c r="AG1096" s="241"/>
      <c r="AH1096" s="241"/>
      <c r="AI1096" s="241"/>
      <c r="AJ1096" s="242"/>
    </row>
    <row r="1097" hidden="1">
      <c r="A1097" s="241"/>
      <c r="B1097" s="241"/>
      <c r="C1097" s="241"/>
      <c r="D1097" s="241"/>
      <c r="E1097" s="241"/>
      <c r="F1097" s="241"/>
      <c r="G1097" s="241"/>
      <c r="H1097" s="241"/>
      <c r="I1097" s="241"/>
      <c r="J1097" s="241"/>
      <c r="K1097" s="241"/>
      <c r="L1097" s="242"/>
      <c r="M1097" s="241"/>
      <c r="N1097" s="241"/>
      <c r="O1097" s="241"/>
      <c r="P1097" s="241"/>
      <c r="Q1097" s="241"/>
      <c r="R1097" s="241"/>
      <c r="S1097" s="241"/>
      <c r="T1097" s="241"/>
      <c r="U1097" s="241"/>
      <c r="V1097" s="241"/>
      <c r="W1097" s="241"/>
      <c r="X1097" s="242"/>
      <c r="Y1097" s="241"/>
      <c r="Z1097" s="241"/>
      <c r="AA1097" s="241"/>
      <c r="AB1097" s="241"/>
      <c r="AC1097" s="241"/>
      <c r="AD1097" s="241"/>
      <c r="AE1097" s="241"/>
      <c r="AF1097" s="241"/>
      <c r="AG1097" s="241"/>
      <c r="AH1097" s="241"/>
      <c r="AI1097" s="241"/>
      <c r="AJ1097" s="242"/>
    </row>
    <row r="1098" hidden="1">
      <c r="A1098" s="241"/>
      <c r="B1098" s="241"/>
      <c r="C1098" s="241"/>
      <c r="D1098" s="241"/>
      <c r="E1098" s="241"/>
      <c r="F1098" s="241"/>
      <c r="G1098" s="241"/>
      <c r="H1098" s="241"/>
      <c r="I1098" s="241"/>
      <c r="J1098" s="241"/>
      <c r="K1098" s="241"/>
      <c r="L1098" s="242"/>
      <c r="M1098" s="241"/>
      <c r="N1098" s="241"/>
      <c r="O1098" s="241"/>
      <c r="P1098" s="241"/>
      <c r="Q1098" s="241"/>
      <c r="R1098" s="241"/>
      <c r="S1098" s="241"/>
      <c r="T1098" s="241"/>
      <c r="U1098" s="241"/>
      <c r="V1098" s="241"/>
      <c r="W1098" s="241"/>
      <c r="X1098" s="242"/>
      <c r="Y1098" s="241"/>
      <c r="Z1098" s="241"/>
      <c r="AA1098" s="241"/>
      <c r="AB1098" s="241"/>
      <c r="AC1098" s="241"/>
      <c r="AD1098" s="241"/>
      <c r="AE1098" s="241"/>
      <c r="AF1098" s="241"/>
      <c r="AG1098" s="241"/>
      <c r="AH1098" s="241"/>
      <c r="AI1098" s="241"/>
      <c r="AJ1098" s="242"/>
    </row>
    <row r="1099" hidden="1">
      <c r="A1099" s="241"/>
      <c r="B1099" s="241"/>
      <c r="C1099" s="241"/>
      <c r="D1099" s="241"/>
      <c r="E1099" s="241"/>
      <c r="F1099" s="241"/>
      <c r="G1099" s="241"/>
      <c r="H1099" s="241"/>
      <c r="I1099" s="241"/>
      <c r="J1099" s="241"/>
      <c r="K1099" s="241"/>
      <c r="L1099" s="242"/>
      <c r="M1099" s="241"/>
      <c r="N1099" s="241"/>
      <c r="O1099" s="241"/>
      <c r="P1099" s="241"/>
      <c r="Q1099" s="241"/>
      <c r="R1099" s="241"/>
      <c r="S1099" s="241"/>
      <c r="T1099" s="241"/>
      <c r="U1099" s="241"/>
      <c r="V1099" s="241"/>
      <c r="W1099" s="241"/>
      <c r="X1099" s="242"/>
      <c r="Y1099" s="241"/>
      <c r="Z1099" s="241"/>
      <c r="AA1099" s="241"/>
      <c r="AB1099" s="241"/>
      <c r="AC1099" s="241"/>
      <c r="AD1099" s="241"/>
      <c r="AE1099" s="241"/>
      <c r="AF1099" s="241"/>
      <c r="AG1099" s="241"/>
      <c r="AH1099" s="241"/>
      <c r="AI1099" s="241"/>
      <c r="AJ1099" s="242"/>
    </row>
    <row r="1100" hidden="1">
      <c r="A1100" s="241"/>
      <c r="B1100" s="241"/>
      <c r="C1100" s="241"/>
      <c r="D1100" s="241"/>
      <c r="E1100" s="241"/>
      <c r="F1100" s="241"/>
      <c r="G1100" s="241"/>
      <c r="H1100" s="241"/>
      <c r="I1100" s="241"/>
      <c r="J1100" s="241"/>
      <c r="K1100" s="241"/>
      <c r="L1100" s="242"/>
      <c r="M1100" s="241"/>
      <c r="N1100" s="241"/>
      <c r="O1100" s="241"/>
      <c r="P1100" s="241"/>
      <c r="Q1100" s="241"/>
      <c r="R1100" s="241"/>
      <c r="S1100" s="241"/>
      <c r="T1100" s="241"/>
      <c r="U1100" s="241"/>
      <c r="V1100" s="241"/>
      <c r="W1100" s="241"/>
      <c r="X1100" s="242"/>
      <c r="Y1100" s="241"/>
      <c r="Z1100" s="241"/>
      <c r="AA1100" s="241"/>
      <c r="AB1100" s="241"/>
      <c r="AC1100" s="241"/>
      <c r="AD1100" s="241"/>
      <c r="AE1100" s="241"/>
      <c r="AF1100" s="241"/>
      <c r="AG1100" s="241"/>
      <c r="AH1100" s="241"/>
      <c r="AI1100" s="241"/>
      <c r="AJ1100" s="242"/>
    </row>
    <row r="1101" hidden="1">
      <c r="A1101" s="241"/>
      <c r="B1101" s="241"/>
      <c r="C1101" s="241"/>
      <c r="D1101" s="241"/>
      <c r="E1101" s="241"/>
      <c r="F1101" s="241"/>
      <c r="G1101" s="241"/>
      <c r="H1101" s="241"/>
      <c r="I1101" s="241"/>
      <c r="J1101" s="241"/>
      <c r="K1101" s="241"/>
      <c r="L1101" s="242"/>
      <c r="M1101" s="241"/>
      <c r="N1101" s="241"/>
      <c r="O1101" s="241"/>
      <c r="P1101" s="241"/>
      <c r="Q1101" s="241"/>
      <c r="R1101" s="241"/>
      <c r="S1101" s="241"/>
      <c r="T1101" s="241"/>
      <c r="U1101" s="241"/>
      <c r="V1101" s="241"/>
      <c r="W1101" s="241"/>
      <c r="X1101" s="242"/>
      <c r="Y1101" s="241"/>
      <c r="Z1101" s="241"/>
      <c r="AA1101" s="241"/>
      <c r="AB1101" s="241"/>
      <c r="AC1101" s="241"/>
      <c r="AD1101" s="241"/>
      <c r="AE1101" s="241"/>
      <c r="AF1101" s="241"/>
      <c r="AG1101" s="241"/>
      <c r="AH1101" s="241"/>
      <c r="AI1101" s="241"/>
      <c r="AJ1101" s="242"/>
    </row>
    <row r="1102" hidden="1">
      <c r="A1102" s="241"/>
      <c r="B1102" s="241"/>
      <c r="C1102" s="241"/>
      <c r="D1102" s="241"/>
      <c r="E1102" s="241"/>
      <c r="F1102" s="241"/>
      <c r="G1102" s="241"/>
      <c r="H1102" s="241"/>
      <c r="I1102" s="241"/>
      <c r="J1102" s="241"/>
      <c r="K1102" s="241"/>
      <c r="L1102" s="242"/>
      <c r="M1102" s="241"/>
      <c r="N1102" s="241"/>
      <c r="O1102" s="241"/>
      <c r="P1102" s="241"/>
      <c r="Q1102" s="241"/>
      <c r="R1102" s="241"/>
      <c r="S1102" s="241"/>
      <c r="T1102" s="241"/>
      <c r="U1102" s="241"/>
      <c r="V1102" s="241"/>
      <c r="W1102" s="241"/>
      <c r="X1102" s="242"/>
      <c r="Y1102" s="241"/>
      <c r="Z1102" s="241"/>
      <c r="AA1102" s="241"/>
      <c r="AB1102" s="241"/>
      <c r="AC1102" s="241"/>
      <c r="AD1102" s="241"/>
      <c r="AE1102" s="241"/>
      <c r="AF1102" s="241"/>
      <c r="AG1102" s="241"/>
      <c r="AH1102" s="241"/>
      <c r="AI1102" s="241"/>
      <c r="AJ1102" s="242"/>
    </row>
    <row r="1103" hidden="1">
      <c r="A1103" s="241"/>
      <c r="B1103" s="241"/>
      <c r="C1103" s="241"/>
      <c r="D1103" s="241"/>
      <c r="E1103" s="241"/>
      <c r="F1103" s="241"/>
      <c r="G1103" s="241"/>
      <c r="H1103" s="241"/>
      <c r="I1103" s="241"/>
      <c r="J1103" s="241"/>
      <c r="K1103" s="241"/>
      <c r="L1103" s="242"/>
      <c r="M1103" s="241"/>
      <c r="N1103" s="241"/>
      <c r="O1103" s="241"/>
      <c r="P1103" s="241"/>
      <c r="Q1103" s="241"/>
      <c r="R1103" s="241"/>
      <c r="S1103" s="241"/>
      <c r="T1103" s="241"/>
      <c r="U1103" s="241"/>
      <c r="V1103" s="241"/>
      <c r="W1103" s="241"/>
      <c r="X1103" s="242"/>
      <c r="Y1103" s="241"/>
      <c r="Z1103" s="241"/>
      <c r="AA1103" s="241"/>
      <c r="AB1103" s="241"/>
      <c r="AC1103" s="241"/>
      <c r="AD1103" s="241"/>
      <c r="AE1103" s="241"/>
      <c r="AF1103" s="241"/>
      <c r="AG1103" s="241"/>
      <c r="AH1103" s="241"/>
      <c r="AI1103" s="241"/>
      <c r="AJ1103" s="242"/>
    </row>
    <row r="1104" hidden="1">
      <c r="A1104" s="241"/>
      <c r="B1104" s="241"/>
      <c r="C1104" s="241"/>
      <c r="D1104" s="241"/>
      <c r="E1104" s="241"/>
      <c r="F1104" s="241"/>
      <c r="G1104" s="241"/>
      <c r="H1104" s="241"/>
      <c r="I1104" s="241"/>
      <c r="J1104" s="241"/>
      <c r="K1104" s="241"/>
      <c r="L1104" s="242"/>
      <c r="M1104" s="241"/>
      <c r="N1104" s="241"/>
      <c r="O1104" s="241"/>
      <c r="P1104" s="241"/>
      <c r="Q1104" s="241"/>
      <c r="R1104" s="241"/>
      <c r="S1104" s="241"/>
      <c r="T1104" s="241"/>
      <c r="U1104" s="241"/>
      <c r="V1104" s="241"/>
      <c r="W1104" s="241"/>
      <c r="X1104" s="242"/>
      <c r="Y1104" s="241"/>
      <c r="Z1104" s="241"/>
      <c r="AA1104" s="241"/>
      <c r="AB1104" s="241"/>
      <c r="AC1104" s="241"/>
      <c r="AD1104" s="241"/>
      <c r="AE1104" s="241"/>
      <c r="AF1104" s="241"/>
      <c r="AG1104" s="241"/>
      <c r="AH1104" s="241"/>
      <c r="AI1104" s="241"/>
      <c r="AJ1104" s="242"/>
    </row>
    <row r="1105" hidden="1">
      <c r="A1105" s="241"/>
      <c r="B1105" s="241"/>
      <c r="C1105" s="241"/>
      <c r="D1105" s="241"/>
      <c r="E1105" s="241"/>
      <c r="F1105" s="241"/>
      <c r="G1105" s="241"/>
      <c r="H1105" s="241"/>
      <c r="I1105" s="241"/>
      <c r="J1105" s="241"/>
      <c r="K1105" s="241"/>
      <c r="L1105" s="242"/>
      <c r="M1105" s="241"/>
      <c r="N1105" s="241"/>
      <c r="O1105" s="241"/>
      <c r="P1105" s="241"/>
      <c r="Q1105" s="241"/>
      <c r="R1105" s="241"/>
      <c r="S1105" s="241"/>
      <c r="T1105" s="241"/>
      <c r="U1105" s="241"/>
      <c r="V1105" s="241"/>
      <c r="W1105" s="241"/>
      <c r="X1105" s="242"/>
      <c r="Y1105" s="241"/>
      <c r="Z1105" s="241"/>
      <c r="AA1105" s="241"/>
      <c r="AB1105" s="241"/>
      <c r="AC1105" s="241"/>
      <c r="AD1105" s="241"/>
      <c r="AE1105" s="241"/>
      <c r="AF1105" s="241"/>
      <c r="AG1105" s="241"/>
      <c r="AH1105" s="241"/>
      <c r="AI1105" s="241"/>
      <c r="AJ1105" s="242"/>
    </row>
    <row r="1106" hidden="1">
      <c r="A1106" s="241"/>
      <c r="B1106" s="241"/>
      <c r="C1106" s="241"/>
      <c r="D1106" s="241"/>
      <c r="E1106" s="241"/>
      <c r="F1106" s="241"/>
      <c r="G1106" s="241"/>
      <c r="H1106" s="241"/>
      <c r="I1106" s="241"/>
      <c r="J1106" s="241"/>
      <c r="K1106" s="241"/>
      <c r="L1106" s="242"/>
      <c r="M1106" s="241"/>
      <c r="N1106" s="241"/>
      <c r="O1106" s="241"/>
      <c r="P1106" s="241"/>
      <c r="Q1106" s="241"/>
      <c r="R1106" s="241"/>
      <c r="S1106" s="241"/>
      <c r="T1106" s="241"/>
      <c r="U1106" s="241"/>
      <c r="V1106" s="241"/>
      <c r="W1106" s="241"/>
      <c r="X1106" s="242"/>
      <c r="Y1106" s="241"/>
      <c r="Z1106" s="241"/>
      <c r="AA1106" s="241"/>
      <c r="AB1106" s="241"/>
      <c r="AC1106" s="241"/>
      <c r="AD1106" s="241"/>
      <c r="AE1106" s="241"/>
      <c r="AF1106" s="241"/>
      <c r="AG1106" s="241"/>
      <c r="AH1106" s="241"/>
      <c r="AI1106" s="241"/>
      <c r="AJ1106" s="242"/>
    </row>
    <row r="1107" hidden="1">
      <c r="A1107" s="241"/>
      <c r="B1107" s="241"/>
      <c r="C1107" s="241"/>
      <c r="D1107" s="241"/>
      <c r="E1107" s="241"/>
      <c r="F1107" s="241"/>
      <c r="G1107" s="241"/>
      <c r="H1107" s="241"/>
      <c r="I1107" s="241"/>
      <c r="J1107" s="241"/>
      <c r="K1107" s="241"/>
      <c r="L1107" s="242"/>
      <c r="M1107" s="241"/>
      <c r="N1107" s="241"/>
      <c r="O1107" s="241"/>
      <c r="P1107" s="241"/>
      <c r="Q1107" s="241"/>
      <c r="R1107" s="241"/>
      <c r="S1107" s="241"/>
      <c r="T1107" s="241"/>
      <c r="U1107" s="241"/>
      <c r="V1107" s="241"/>
      <c r="W1107" s="241"/>
      <c r="X1107" s="242"/>
      <c r="Y1107" s="241"/>
      <c r="Z1107" s="241"/>
      <c r="AA1107" s="241"/>
      <c r="AB1107" s="241"/>
      <c r="AC1107" s="241"/>
      <c r="AD1107" s="241"/>
      <c r="AE1107" s="241"/>
      <c r="AF1107" s="241"/>
      <c r="AG1107" s="241"/>
      <c r="AH1107" s="241"/>
      <c r="AI1107" s="241"/>
      <c r="AJ1107" s="242"/>
    </row>
    <row r="1108" hidden="1">
      <c r="A1108" s="241"/>
      <c r="B1108" s="241"/>
      <c r="C1108" s="241"/>
      <c r="D1108" s="241"/>
      <c r="E1108" s="241"/>
      <c r="F1108" s="241"/>
      <c r="G1108" s="241"/>
      <c r="H1108" s="241"/>
      <c r="I1108" s="241"/>
      <c r="J1108" s="241"/>
      <c r="K1108" s="241"/>
      <c r="L1108" s="242"/>
      <c r="M1108" s="241"/>
      <c r="N1108" s="241"/>
      <c r="O1108" s="241"/>
      <c r="P1108" s="241"/>
      <c r="Q1108" s="241"/>
      <c r="R1108" s="241"/>
      <c r="S1108" s="241"/>
      <c r="T1108" s="241"/>
      <c r="U1108" s="241"/>
      <c r="V1108" s="241"/>
      <c r="W1108" s="241"/>
      <c r="X1108" s="242"/>
      <c r="Y1108" s="241"/>
      <c r="Z1108" s="241"/>
      <c r="AA1108" s="241"/>
      <c r="AB1108" s="241"/>
      <c r="AC1108" s="241"/>
      <c r="AD1108" s="241"/>
      <c r="AE1108" s="241"/>
      <c r="AF1108" s="241"/>
      <c r="AG1108" s="241"/>
      <c r="AH1108" s="241"/>
      <c r="AI1108" s="241"/>
      <c r="AJ1108" s="242"/>
    </row>
    <row r="1109" hidden="1">
      <c r="A1109" s="241"/>
      <c r="B1109" s="241"/>
      <c r="C1109" s="241"/>
      <c r="D1109" s="241"/>
      <c r="E1109" s="241"/>
      <c r="F1109" s="241"/>
      <c r="G1109" s="241"/>
      <c r="H1109" s="241"/>
      <c r="I1109" s="241"/>
      <c r="J1109" s="241"/>
      <c r="K1109" s="241"/>
      <c r="L1109" s="242"/>
      <c r="M1109" s="241"/>
      <c r="N1109" s="241"/>
      <c r="O1109" s="241"/>
      <c r="P1109" s="241"/>
      <c r="Q1109" s="241"/>
      <c r="R1109" s="241"/>
      <c r="S1109" s="241"/>
      <c r="T1109" s="241"/>
      <c r="U1109" s="241"/>
      <c r="V1109" s="241"/>
      <c r="W1109" s="241"/>
      <c r="X1109" s="242"/>
      <c r="Y1109" s="241"/>
      <c r="Z1109" s="241"/>
      <c r="AA1109" s="241"/>
      <c r="AB1109" s="241"/>
      <c r="AC1109" s="241"/>
      <c r="AD1109" s="241"/>
      <c r="AE1109" s="241"/>
      <c r="AF1109" s="241"/>
      <c r="AG1109" s="241"/>
      <c r="AH1109" s="241"/>
      <c r="AI1109" s="241"/>
      <c r="AJ1109" s="242"/>
    </row>
    <row r="1110" hidden="1">
      <c r="A1110" s="241"/>
      <c r="B1110" s="241"/>
      <c r="C1110" s="241"/>
      <c r="D1110" s="241"/>
      <c r="E1110" s="241"/>
      <c r="F1110" s="241"/>
      <c r="G1110" s="241"/>
      <c r="H1110" s="241"/>
      <c r="I1110" s="241"/>
      <c r="J1110" s="241"/>
      <c r="K1110" s="241"/>
      <c r="L1110" s="242"/>
      <c r="M1110" s="241"/>
      <c r="N1110" s="241"/>
      <c r="O1110" s="241"/>
      <c r="P1110" s="241"/>
      <c r="Q1110" s="241"/>
      <c r="R1110" s="241"/>
      <c r="S1110" s="241"/>
      <c r="T1110" s="241"/>
      <c r="U1110" s="241"/>
      <c r="V1110" s="241"/>
      <c r="W1110" s="241"/>
      <c r="X1110" s="242"/>
      <c r="Y1110" s="241"/>
      <c r="Z1110" s="241"/>
      <c r="AA1110" s="241"/>
      <c r="AB1110" s="241"/>
      <c r="AC1110" s="241"/>
      <c r="AD1110" s="241"/>
      <c r="AE1110" s="241"/>
      <c r="AF1110" s="241"/>
      <c r="AG1110" s="241"/>
      <c r="AH1110" s="241"/>
      <c r="AI1110" s="241"/>
      <c r="AJ1110" s="242"/>
    </row>
    <row r="1111" hidden="1">
      <c r="A1111" s="241"/>
      <c r="B1111" s="241"/>
      <c r="C1111" s="241"/>
      <c r="D1111" s="241"/>
      <c r="E1111" s="241"/>
      <c r="F1111" s="241"/>
      <c r="G1111" s="241"/>
      <c r="H1111" s="241"/>
      <c r="I1111" s="241"/>
      <c r="J1111" s="241"/>
      <c r="K1111" s="241"/>
      <c r="L1111" s="242"/>
      <c r="M1111" s="241"/>
      <c r="N1111" s="241"/>
      <c r="O1111" s="241"/>
      <c r="P1111" s="241"/>
      <c r="Q1111" s="241"/>
      <c r="R1111" s="241"/>
      <c r="S1111" s="241"/>
      <c r="T1111" s="241"/>
      <c r="U1111" s="241"/>
      <c r="V1111" s="241"/>
      <c r="W1111" s="241"/>
      <c r="X1111" s="242"/>
      <c r="Y1111" s="241"/>
      <c r="Z1111" s="241"/>
      <c r="AA1111" s="241"/>
      <c r="AB1111" s="241"/>
      <c r="AC1111" s="241"/>
      <c r="AD1111" s="241"/>
      <c r="AE1111" s="241"/>
      <c r="AF1111" s="241"/>
      <c r="AG1111" s="241"/>
      <c r="AH1111" s="241"/>
      <c r="AI1111" s="241"/>
      <c r="AJ1111" s="242"/>
    </row>
    <row r="1112" hidden="1">
      <c r="A1112" s="241"/>
      <c r="B1112" s="241"/>
      <c r="C1112" s="241"/>
      <c r="D1112" s="241"/>
      <c r="E1112" s="241"/>
      <c r="F1112" s="241"/>
      <c r="G1112" s="241"/>
      <c r="H1112" s="241"/>
      <c r="I1112" s="241"/>
      <c r="J1112" s="241"/>
      <c r="K1112" s="241"/>
      <c r="L1112" s="242"/>
      <c r="M1112" s="241"/>
      <c r="N1112" s="241"/>
      <c r="O1112" s="241"/>
      <c r="P1112" s="241"/>
      <c r="Q1112" s="241"/>
      <c r="R1112" s="241"/>
      <c r="S1112" s="241"/>
      <c r="T1112" s="241"/>
      <c r="U1112" s="241"/>
      <c r="V1112" s="241"/>
      <c r="W1112" s="241"/>
      <c r="X1112" s="242"/>
      <c r="Y1112" s="241"/>
      <c r="Z1112" s="241"/>
      <c r="AA1112" s="241"/>
      <c r="AB1112" s="241"/>
      <c r="AC1112" s="241"/>
      <c r="AD1112" s="241"/>
      <c r="AE1112" s="241"/>
      <c r="AF1112" s="241"/>
      <c r="AG1112" s="241"/>
      <c r="AH1112" s="241"/>
      <c r="AI1112" s="241"/>
      <c r="AJ1112" s="242"/>
    </row>
    <row r="1113" hidden="1">
      <c r="A1113" s="241"/>
      <c r="B1113" s="241"/>
      <c r="C1113" s="241"/>
      <c r="D1113" s="241"/>
      <c r="E1113" s="241"/>
      <c r="F1113" s="241"/>
      <c r="G1113" s="241"/>
      <c r="H1113" s="241"/>
      <c r="I1113" s="241"/>
      <c r="J1113" s="241"/>
      <c r="K1113" s="241"/>
      <c r="L1113" s="242"/>
      <c r="M1113" s="241"/>
      <c r="N1113" s="241"/>
      <c r="O1113" s="241"/>
      <c r="P1113" s="241"/>
      <c r="Q1113" s="241"/>
      <c r="R1113" s="241"/>
      <c r="S1113" s="241"/>
      <c r="T1113" s="241"/>
      <c r="U1113" s="241"/>
      <c r="V1113" s="241"/>
      <c r="W1113" s="241"/>
      <c r="X1113" s="242"/>
      <c r="Y1113" s="241"/>
      <c r="Z1113" s="241"/>
      <c r="AA1113" s="241"/>
      <c r="AB1113" s="241"/>
      <c r="AC1113" s="241"/>
      <c r="AD1113" s="241"/>
      <c r="AE1113" s="241"/>
      <c r="AF1113" s="241"/>
      <c r="AG1113" s="241"/>
      <c r="AH1113" s="241"/>
      <c r="AI1113" s="241"/>
      <c r="AJ1113" s="242"/>
    </row>
    <row r="1114" hidden="1">
      <c r="A1114" s="241"/>
      <c r="B1114" s="241"/>
      <c r="C1114" s="241"/>
      <c r="D1114" s="241"/>
      <c r="E1114" s="241"/>
      <c r="F1114" s="241"/>
      <c r="G1114" s="241"/>
      <c r="H1114" s="241"/>
      <c r="I1114" s="241"/>
      <c r="J1114" s="241"/>
      <c r="K1114" s="241"/>
      <c r="L1114" s="242"/>
      <c r="M1114" s="241"/>
      <c r="N1114" s="241"/>
      <c r="O1114" s="241"/>
      <c r="P1114" s="241"/>
      <c r="Q1114" s="241"/>
      <c r="R1114" s="241"/>
      <c r="S1114" s="241"/>
      <c r="T1114" s="241"/>
      <c r="U1114" s="241"/>
      <c r="V1114" s="241"/>
      <c r="W1114" s="241"/>
      <c r="X1114" s="242"/>
      <c r="Y1114" s="241"/>
      <c r="Z1114" s="241"/>
      <c r="AA1114" s="241"/>
      <c r="AB1114" s="241"/>
      <c r="AC1114" s="241"/>
      <c r="AD1114" s="241"/>
      <c r="AE1114" s="241"/>
      <c r="AF1114" s="241"/>
      <c r="AG1114" s="241"/>
      <c r="AH1114" s="241"/>
      <c r="AI1114" s="241"/>
      <c r="AJ1114" s="242"/>
    </row>
    <row r="1115" hidden="1">
      <c r="A1115" s="241"/>
      <c r="B1115" s="241"/>
      <c r="C1115" s="241"/>
      <c r="D1115" s="241"/>
      <c r="E1115" s="241"/>
      <c r="F1115" s="241"/>
      <c r="G1115" s="241"/>
      <c r="H1115" s="241"/>
      <c r="I1115" s="241"/>
      <c r="J1115" s="241"/>
      <c r="K1115" s="241"/>
      <c r="L1115" s="242"/>
      <c r="M1115" s="241"/>
      <c r="N1115" s="241"/>
      <c r="O1115" s="241"/>
      <c r="P1115" s="241"/>
      <c r="Q1115" s="241"/>
      <c r="R1115" s="241"/>
      <c r="S1115" s="241"/>
      <c r="T1115" s="241"/>
      <c r="U1115" s="241"/>
      <c r="V1115" s="241"/>
      <c r="W1115" s="241"/>
      <c r="X1115" s="242"/>
      <c r="Y1115" s="241"/>
      <c r="Z1115" s="241"/>
      <c r="AA1115" s="241"/>
      <c r="AB1115" s="241"/>
      <c r="AC1115" s="241"/>
      <c r="AD1115" s="241"/>
      <c r="AE1115" s="241"/>
      <c r="AF1115" s="241"/>
      <c r="AG1115" s="241"/>
      <c r="AH1115" s="241"/>
      <c r="AI1115" s="241"/>
      <c r="AJ1115" s="242"/>
    </row>
    <row r="1116" hidden="1">
      <c r="A1116" s="241"/>
      <c r="B1116" s="241"/>
      <c r="C1116" s="241"/>
      <c r="D1116" s="241"/>
      <c r="E1116" s="241"/>
      <c r="F1116" s="241"/>
      <c r="G1116" s="241"/>
      <c r="H1116" s="241"/>
      <c r="I1116" s="241"/>
      <c r="J1116" s="241"/>
      <c r="K1116" s="241"/>
      <c r="L1116" s="242"/>
      <c r="M1116" s="241"/>
      <c r="N1116" s="241"/>
      <c r="O1116" s="241"/>
      <c r="P1116" s="241"/>
      <c r="Q1116" s="241"/>
      <c r="R1116" s="241"/>
      <c r="S1116" s="241"/>
      <c r="T1116" s="241"/>
      <c r="U1116" s="241"/>
      <c r="V1116" s="241"/>
      <c r="W1116" s="241"/>
      <c r="X1116" s="242"/>
      <c r="Y1116" s="241"/>
      <c r="Z1116" s="241"/>
      <c r="AA1116" s="241"/>
      <c r="AB1116" s="241"/>
      <c r="AC1116" s="241"/>
      <c r="AD1116" s="241"/>
      <c r="AE1116" s="241"/>
      <c r="AF1116" s="241"/>
      <c r="AG1116" s="241"/>
      <c r="AH1116" s="241"/>
      <c r="AI1116" s="241"/>
      <c r="AJ1116" s="242"/>
    </row>
    <row r="1117" hidden="1">
      <c r="A1117" s="241"/>
      <c r="B1117" s="241"/>
      <c r="C1117" s="241"/>
      <c r="D1117" s="241"/>
      <c r="E1117" s="241"/>
      <c r="F1117" s="241"/>
      <c r="G1117" s="241"/>
      <c r="H1117" s="241"/>
      <c r="I1117" s="241"/>
      <c r="J1117" s="241"/>
      <c r="K1117" s="241"/>
      <c r="L1117" s="242"/>
      <c r="M1117" s="241"/>
      <c r="N1117" s="241"/>
      <c r="O1117" s="241"/>
      <c r="P1117" s="241"/>
      <c r="Q1117" s="241"/>
      <c r="R1117" s="241"/>
      <c r="S1117" s="241"/>
      <c r="T1117" s="241"/>
      <c r="U1117" s="241"/>
      <c r="V1117" s="241"/>
      <c r="W1117" s="241"/>
      <c r="X1117" s="242"/>
      <c r="Y1117" s="241"/>
      <c r="Z1117" s="241"/>
      <c r="AA1117" s="241"/>
      <c r="AB1117" s="241"/>
      <c r="AC1117" s="241"/>
      <c r="AD1117" s="241"/>
      <c r="AE1117" s="241"/>
      <c r="AF1117" s="241"/>
      <c r="AG1117" s="241"/>
      <c r="AH1117" s="241"/>
      <c r="AI1117" s="241"/>
      <c r="AJ1117" s="242"/>
    </row>
    <row r="1118" hidden="1">
      <c r="A1118" s="241"/>
      <c r="B1118" s="241"/>
      <c r="C1118" s="241"/>
      <c r="D1118" s="241"/>
      <c r="E1118" s="241"/>
      <c r="F1118" s="241"/>
      <c r="G1118" s="241"/>
      <c r="H1118" s="241"/>
      <c r="I1118" s="241"/>
      <c r="J1118" s="241"/>
      <c r="K1118" s="241"/>
      <c r="L1118" s="242"/>
      <c r="M1118" s="241"/>
      <c r="N1118" s="241"/>
      <c r="O1118" s="241"/>
      <c r="P1118" s="241"/>
      <c r="Q1118" s="241"/>
      <c r="R1118" s="241"/>
      <c r="S1118" s="241"/>
      <c r="T1118" s="241"/>
      <c r="U1118" s="241"/>
      <c r="V1118" s="241"/>
      <c r="W1118" s="241"/>
      <c r="X1118" s="242"/>
      <c r="Y1118" s="241"/>
      <c r="Z1118" s="241"/>
      <c r="AA1118" s="241"/>
      <c r="AB1118" s="241"/>
      <c r="AC1118" s="241"/>
      <c r="AD1118" s="241"/>
      <c r="AE1118" s="241"/>
      <c r="AF1118" s="241"/>
      <c r="AG1118" s="241"/>
      <c r="AH1118" s="241"/>
      <c r="AI1118" s="241"/>
      <c r="AJ1118" s="242"/>
    </row>
    <row r="1119" hidden="1">
      <c r="A1119" s="241"/>
      <c r="B1119" s="241"/>
      <c r="C1119" s="241"/>
      <c r="D1119" s="241"/>
      <c r="E1119" s="241"/>
      <c r="F1119" s="241"/>
      <c r="G1119" s="241"/>
      <c r="H1119" s="241"/>
      <c r="I1119" s="241"/>
      <c r="J1119" s="241"/>
      <c r="K1119" s="241"/>
      <c r="L1119" s="242"/>
      <c r="M1119" s="241"/>
      <c r="N1119" s="241"/>
      <c r="O1119" s="241"/>
      <c r="P1119" s="241"/>
      <c r="Q1119" s="241"/>
      <c r="R1119" s="241"/>
      <c r="S1119" s="241"/>
      <c r="T1119" s="241"/>
      <c r="U1119" s="241"/>
      <c r="V1119" s="241"/>
      <c r="W1119" s="241"/>
      <c r="X1119" s="242"/>
      <c r="Y1119" s="241"/>
      <c r="Z1119" s="241"/>
      <c r="AA1119" s="241"/>
      <c r="AB1119" s="241"/>
      <c r="AC1119" s="241"/>
      <c r="AD1119" s="241"/>
      <c r="AE1119" s="241"/>
      <c r="AF1119" s="241"/>
      <c r="AG1119" s="241"/>
      <c r="AH1119" s="241"/>
      <c r="AI1119" s="241"/>
      <c r="AJ1119" s="242"/>
    </row>
    <row r="1120" hidden="1">
      <c r="A1120" s="241"/>
      <c r="B1120" s="241"/>
      <c r="C1120" s="241"/>
      <c r="D1120" s="241"/>
      <c r="E1120" s="241"/>
      <c r="F1120" s="241"/>
      <c r="G1120" s="241"/>
      <c r="H1120" s="241"/>
      <c r="I1120" s="241"/>
      <c r="J1120" s="241"/>
      <c r="K1120" s="241"/>
      <c r="L1120" s="242"/>
      <c r="M1120" s="241"/>
      <c r="N1120" s="241"/>
      <c r="O1120" s="241"/>
      <c r="P1120" s="241"/>
      <c r="Q1120" s="241"/>
      <c r="R1120" s="241"/>
      <c r="S1120" s="241"/>
      <c r="T1120" s="241"/>
      <c r="U1120" s="241"/>
      <c r="V1120" s="241"/>
      <c r="W1120" s="241"/>
      <c r="X1120" s="242"/>
      <c r="Y1120" s="241"/>
      <c r="Z1120" s="241"/>
      <c r="AA1120" s="241"/>
      <c r="AB1120" s="241"/>
      <c r="AC1120" s="241"/>
      <c r="AD1120" s="241"/>
      <c r="AE1120" s="241"/>
      <c r="AF1120" s="241"/>
      <c r="AG1120" s="241"/>
      <c r="AH1120" s="241"/>
      <c r="AI1120" s="241"/>
      <c r="AJ1120" s="242"/>
    </row>
    <row r="1121" hidden="1">
      <c r="A1121" s="241"/>
      <c r="B1121" s="241"/>
      <c r="C1121" s="241"/>
      <c r="D1121" s="241"/>
      <c r="E1121" s="241"/>
      <c r="F1121" s="241"/>
      <c r="G1121" s="241"/>
      <c r="H1121" s="241"/>
      <c r="I1121" s="241"/>
      <c r="J1121" s="241"/>
      <c r="K1121" s="241"/>
      <c r="L1121" s="242"/>
      <c r="M1121" s="241"/>
      <c r="N1121" s="241"/>
      <c r="O1121" s="241"/>
      <c r="P1121" s="241"/>
      <c r="Q1121" s="241"/>
      <c r="R1121" s="241"/>
      <c r="S1121" s="241"/>
      <c r="T1121" s="241"/>
      <c r="U1121" s="241"/>
      <c r="V1121" s="241"/>
      <c r="W1121" s="241"/>
      <c r="X1121" s="242"/>
      <c r="Y1121" s="241"/>
      <c r="Z1121" s="241"/>
      <c r="AA1121" s="241"/>
      <c r="AB1121" s="241"/>
      <c r="AC1121" s="241"/>
      <c r="AD1121" s="241"/>
      <c r="AE1121" s="241"/>
      <c r="AF1121" s="241"/>
      <c r="AG1121" s="241"/>
      <c r="AH1121" s="241"/>
      <c r="AI1121" s="241"/>
      <c r="AJ1121" s="242"/>
    </row>
    <row r="1122" hidden="1">
      <c r="A1122" s="241"/>
      <c r="B1122" s="241"/>
      <c r="C1122" s="241"/>
      <c r="D1122" s="241"/>
      <c r="E1122" s="241"/>
      <c r="F1122" s="241"/>
      <c r="G1122" s="241"/>
      <c r="H1122" s="241"/>
      <c r="I1122" s="241"/>
      <c r="J1122" s="241"/>
      <c r="K1122" s="241"/>
      <c r="L1122" s="242"/>
      <c r="M1122" s="241"/>
      <c r="N1122" s="241"/>
      <c r="O1122" s="241"/>
      <c r="P1122" s="241"/>
      <c r="Q1122" s="241"/>
      <c r="R1122" s="241"/>
      <c r="S1122" s="241"/>
      <c r="T1122" s="241"/>
      <c r="U1122" s="241"/>
      <c r="V1122" s="241"/>
      <c r="W1122" s="241"/>
      <c r="X1122" s="242"/>
      <c r="Y1122" s="241"/>
      <c r="Z1122" s="241"/>
      <c r="AA1122" s="241"/>
      <c r="AB1122" s="241"/>
      <c r="AC1122" s="241"/>
      <c r="AD1122" s="241"/>
      <c r="AE1122" s="241"/>
      <c r="AF1122" s="241"/>
      <c r="AG1122" s="241"/>
      <c r="AH1122" s="241"/>
      <c r="AI1122" s="241"/>
      <c r="AJ1122" s="242"/>
    </row>
    <row r="1123" hidden="1">
      <c r="A1123" s="241"/>
      <c r="B1123" s="241"/>
      <c r="C1123" s="241"/>
      <c r="D1123" s="241"/>
      <c r="E1123" s="241"/>
      <c r="F1123" s="241"/>
      <c r="G1123" s="241"/>
      <c r="H1123" s="241"/>
      <c r="I1123" s="241"/>
      <c r="J1123" s="241"/>
      <c r="K1123" s="241"/>
      <c r="L1123" s="242"/>
      <c r="M1123" s="241"/>
      <c r="N1123" s="241"/>
      <c r="O1123" s="241"/>
      <c r="P1123" s="241"/>
      <c r="Q1123" s="241"/>
      <c r="R1123" s="241"/>
      <c r="S1123" s="241"/>
      <c r="T1123" s="241"/>
      <c r="U1123" s="241"/>
      <c r="V1123" s="241"/>
      <c r="W1123" s="241"/>
      <c r="X1123" s="242"/>
      <c r="Y1123" s="241"/>
      <c r="Z1123" s="241"/>
      <c r="AA1123" s="241"/>
      <c r="AB1123" s="241"/>
      <c r="AC1123" s="241"/>
      <c r="AD1123" s="241"/>
      <c r="AE1123" s="241"/>
      <c r="AF1123" s="241"/>
      <c r="AG1123" s="241"/>
      <c r="AH1123" s="241"/>
      <c r="AI1123" s="241"/>
      <c r="AJ1123" s="242"/>
    </row>
    <row r="1124" hidden="1">
      <c r="A1124" s="241"/>
      <c r="B1124" s="241"/>
      <c r="C1124" s="241"/>
      <c r="D1124" s="241"/>
      <c r="E1124" s="241"/>
      <c r="F1124" s="241"/>
      <c r="G1124" s="241"/>
      <c r="H1124" s="241"/>
      <c r="I1124" s="241"/>
      <c r="J1124" s="241"/>
      <c r="K1124" s="241"/>
      <c r="L1124" s="242"/>
      <c r="M1124" s="241"/>
      <c r="N1124" s="241"/>
      <c r="O1124" s="241"/>
      <c r="P1124" s="241"/>
      <c r="Q1124" s="241"/>
      <c r="R1124" s="241"/>
      <c r="S1124" s="241"/>
      <c r="T1124" s="241"/>
      <c r="U1124" s="241"/>
      <c r="V1124" s="241"/>
      <c r="W1124" s="241"/>
      <c r="X1124" s="242"/>
      <c r="Y1124" s="241"/>
      <c r="Z1124" s="241"/>
      <c r="AA1124" s="241"/>
      <c r="AB1124" s="241"/>
      <c r="AC1124" s="241"/>
      <c r="AD1124" s="241"/>
      <c r="AE1124" s="241"/>
      <c r="AF1124" s="241"/>
      <c r="AG1124" s="241"/>
      <c r="AH1124" s="241"/>
      <c r="AI1124" s="241"/>
      <c r="AJ1124" s="242"/>
    </row>
    <row r="1125" hidden="1">
      <c r="A1125" s="241"/>
      <c r="B1125" s="241"/>
      <c r="C1125" s="241"/>
      <c r="D1125" s="241"/>
      <c r="E1125" s="241"/>
      <c r="F1125" s="241"/>
      <c r="G1125" s="241"/>
      <c r="H1125" s="241"/>
      <c r="I1125" s="241"/>
      <c r="J1125" s="241"/>
      <c r="K1125" s="241"/>
      <c r="L1125" s="242"/>
      <c r="M1125" s="241"/>
      <c r="N1125" s="241"/>
      <c r="O1125" s="241"/>
      <c r="P1125" s="241"/>
      <c r="Q1125" s="241"/>
      <c r="R1125" s="241"/>
      <c r="S1125" s="241"/>
      <c r="T1125" s="241"/>
      <c r="U1125" s="241"/>
      <c r="V1125" s="241"/>
      <c r="W1125" s="241"/>
      <c r="X1125" s="242"/>
      <c r="Y1125" s="241"/>
      <c r="Z1125" s="241"/>
      <c r="AA1125" s="241"/>
      <c r="AB1125" s="241"/>
      <c r="AC1125" s="241"/>
      <c r="AD1125" s="241"/>
      <c r="AE1125" s="241"/>
      <c r="AF1125" s="241"/>
      <c r="AG1125" s="241"/>
      <c r="AH1125" s="241"/>
      <c r="AI1125" s="241"/>
      <c r="AJ1125" s="242"/>
    </row>
    <row r="1126" hidden="1">
      <c r="A1126" s="241"/>
      <c r="B1126" s="241"/>
      <c r="C1126" s="241"/>
      <c r="D1126" s="241"/>
      <c r="E1126" s="241"/>
      <c r="F1126" s="241"/>
      <c r="G1126" s="241"/>
      <c r="H1126" s="241"/>
      <c r="I1126" s="241"/>
      <c r="J1126" s="241"/>
      <c r="K1126" s="241"/>
      <c r="L1126" s="242"/>
      <c r="M1126" s="241"/>
      <c r="N1126" s="241"/>
      <c r="O1126" s="241"/>
      <c r="P1126" s="241"/>
      <c r="Q1126" s="241"/>
      <c r="R1126" s="241"/>
      <c r="S1126" s="241"/>
      <c r="T1126" s="241"/>
      <c r="U1126" s="241"/>
      <c r="V1126" s="241"/>
      <c r="W1126" s="241"/>
      <c r="X1126" s="242"/>
      <c r="Y1126" s="241"/>
      <c r="Z1126" s="241"/>
      <c r="AA1126" s="241"/>
      <c r="AB1126" s="241"/>
      <c r="AC1126" s="241"/>
      <c r="AD1126" s="241"/>
      <c r="AE1126" s="241"/>
      <c r="AF1126" s="241"/>
      <c r="AG1126" s="241"/>
      <c r="AH1126" s="241"/>
      <c r="AI1126" s="241"/>
      <c r="AJ1126" s="242"/>
    </row>
    <row r="1127" hidden="1">
      <c r="A1127" s="241"/>
      <c r="B1127" s="241"/>
      <c r="C1127" s="241"/>
      <c r="D1127" s="241"/>
      <c r="E1127" s="241"/>
      <c r="F1127" s="241"/>
      <c r="G1127" s="241"/>
      <c r="H1127" s="241"/>
      <c r="I1127" s="241"/>
      <c r="J1127" s="241"/>
      <c r="K1127" s="241"/>
      <c r="L1127" s="242"/>
      <c r="M1127" s="241"/>
      <c r="N1127" s="241"/>
      <c r="O1127" s="241"/>
      <c r="P1127" s="241"/>
      <c r="Q1127" s="241"/>
      <c r="R1127" s="241"/>
      <c r="S1127" s="241"/>
      <c r="T1127" s="241"/>
      <c r="U1127" s="241"/>
      <c r="V1127" s="241"/>
      <c r="W1127" s="241"/>
      <c r="X1127" s="242"/>
      <c r="Y1127" s="241"/>
      <c r="Z1127" s="241"/>
      <c r="AA1127" s="241"/>
      <c r="AB1127" s="241"/>
      <c r="AC1127" s="241"/>
      <c r="AD1127" s="241"/>
      <c r="AE1127" s="241"/>
      <c r="AF1127" s="241"/>
      <c r="AG1127" s="241"/>
      <c r="AH1127" s="241"/>
      <c r="AI1127" s="241"/>
      <c r="AJ1127" s="242"/>
    </row>
    <row r="1128" hidden="1">
      <c r="A1128" s="241"/>
      <c r="B1128" s="241"/>
      <c r="C1128" s="241"/>
      <c r="D1128" s="241"/>
      <c r="E1128" s="241"/>
      <c r="F1128" s="241"/>
      <c r="G1128" s="241"/>
      <c r="H1128" s="241"/>
      <c r="I1128" s="241"/>
      <c r="J1128" s="241"/>
      <c r="K1128" s="241"/>
      <c r="L1128" s="242"/>
      <c r="M1128" s="241"/>
      <c r="N1128" s="241"/>
      <c r="O1128" s="241"/>
      <c r="P1128" s="241"/>
      <c r="Q1128" s="241"/>
      <c r="R1128" s="241"/>
      <c r="S1128" s="241"/>
      <c r="T1128" s="241"/>
      <c r="U1128" s="241"/>
      <c r="V1128" s="241"/>
      <c r="W1128" s="241"/>
      <c r="X1128" s="242"/>
      <c r="Y1128" s="241"/>
      <c r="Z1128" s="241"/>
      <c r="AA1128" s="241"/>
      <c r="AB1128" s="241"/>
      <c r="AC1128" s="241"/>
      <c r="AD1128" s="241"/>
      <c r="AE1128" s="241"/>
      <c r="AF1128" s="241"/>
      <c r="AG1128" s="241"/>
      <c r="AH1128" s="241"/>
      <c r="AI1128" s="241"/>
      <c r="AJ1128" s="242"/>
    </row>
    <row r="1129" hidden="1">
      <c r="A1129" s="241"/>
      <c r="B1129" s="241"/>
      <c r="C1129" s="241"/>
      <c r="D1129" s="241"/>
      <c r="E1129" s="241"/>
      <c r="F1129" s="241"/>
      <c r="G1129" s="241"/>
      <c r="H1129" s="241"/>
      <c r="I1129" s="241"/>
      <c r="J1129" s="241"/>
      <c r="K1129" s="241"/>
      <c r="L1129" s="242"/>
      <c r="M1129" s="241"/>
      <c r="N1129" s="241"/>
      <c r="O1129" s="241"/>
      <c r="P1129" s="241"/>
      <c r="Q1129" s="241"/>
      <c r="R1129" s="241"/>
      <c r="S1129" s="241"/>
      <c r="T1129" s="241"/>
      <c r="U1129" s="241"/>
      <c r="V1129" s="241"/>
      <c r="W1129" s="241"/>
      <c r="X1129" s="242"/>
      <c r="Y1129" s="241"/>
      <c r="Z1129" s="241"/>
      <c r="AA1129" s="241"/>
      <c r="AB1129" s="241"/>
      <c r="AC1129" s="241"/>
      <c r="AD1129" s="241"/>
      <c r="AE1129" s="241"/>
      <c r="AF1129" s="241"/>
      <c r="AG1129" s="241"/>
      <c r="AH1129" s="241"/>
      <c r="AI1129" s="241"/>
      <c r="AJ1129" s="242"/>
    </row>
    <row r="1130" hidden="1">
      <c r="A1130" s="241"/>
      <c r="B1130" s="241"/>
      <c r="C1130" s="241"/>
      <c r="D1130" s="241"/>
      <c r="E1130" s="241"/>
      <c r="F1130" s="241"/>
      <c r="G1130" s="241"/>
      <c r="H1130" s="241"/>
      <c r="I1130" s="241"/>
      <c r="J1130" s="241"/>
      <c r="K1130" s="241"/>
      <c r="L1130" s="242"/>
      <c r="M1130" s="241"/>
      <c r="N1130" s="241"/>
      <c r="O1130" s="241"/>
      <c r="P1130" s="241"/>
      <c r="Q1130" s="241"/>
      <c r="R1130" s="241"/>
      <c r="S1130" s="241"/>
      <c r="T1130" s="241"/>
      <c r="U1130" s="241"/>
      <c r="V1130" s="241"/>
      <c r="W1130" s="241"/>
      <c r="X1130" s="242"/>
      <c r="Y1130" s="241"/>
      <c r="Z1130" s="241"/>
      <c r="AA1130" s="241"/>
      <c r="AB1130" s="241"/>
      <c r="AC1130" s="241"/>
      <c r="AD1130" s="241"/>
      <c r="AE1130" s="241"/>
      <c r="AF1130" s="241"/>
      <c r="AG1130" s="241"/>
      <c r="AH1130" s="241"/>
      <c r="AI1130" s="241"/>
      <c r="AJ1130" s="242"/>
    </row>
    <row r="1131" hidden="1">
      <c r="A1131" s="241"/>
      <c r="B1131" s="241"/>
      <c r="C1131" s="241"/>
      <c r="D1131" s="241"/>
      <c r="E1131" s="241"/>
      <c r="F1131" s="241"/>
      <c r="G1131" s="241"/>
      <c r="H1131" s="241"/>
      <c r="I1131" s="241"/>
      <c r="J1131" s="241"/>
      <c r="K1131" s="241"/>
      <c r="L1131" s="242"/>
      <c r="M1131" s="241"/>
      <c r="N1131" s="241"/>
      <c r="O1131" s="241"/>
      <c r="P1131" s="241"/>
      <c r="Q1131" s="241"/>
      <c r="R1131" s="241"/>
      <c r="S1131" s="241"/>
      <c r="T1131" s="241"/>
      <c r="U1131" s="241"/>
      <c r="V1131" s="241"/>
      <c r="W1131" s="241"/>
      <c r="X1131" s="242"/>
      <c r="Y1131" s="241"/>
      <c r="Z1131" s="241"/>
      <c r="AA1131" s="241"/>
      <c r="AB1131" s="241"/>
      <c r="AC1131" s="241"/>
      <c r="AD1131" s="241"/>
      <c r="AE1131" s="241"/>
      <c r="AF1131" s="241"/>
      <c r="AG1131" s="241"/>
      <c r="AH1131" s="241"/>
      <c r="AI1131" s="241"/>
      <c r="AJ1131" s="242"/>
    </row>
    <row r="1132" hidden="1">
      <c r="A1132" s="241"/>
      <c r="B1132" s="241"/>
      <c r="C1132" s="241"/>
      <c r="D1132" s="241"/>
      <c r="E1132" s="241"/>
      <c r="F1132" s="241"/>
      <c r="G1132" s="241"/>
      <c r="H1132" s="241"/>
      <c r="I1132" s="241"/>
      <c r="J1132" s="241"/>
      <c r="K1132" s="241"/>
      <c r="L1132" s="242"/>
      <c r="M1132" s="241"/>
      <c r="N1132" s="241"/>
      <c r="O1132" s="241"/>
      <c r="P1132" s="241"/>
      <c r="Q1132" s="241"/>
      <c r="R1132" s="241"/>
      <c r="S1132" s="241"/>
      <c r="T1132" s="241"/>
      <c r="U1132" s="241"/>
      <c r="V1132" s="241"/>
      <c r="W1132" s="241"/>
      <c r="X1132" s="242"/>
      <c r="Y1132" s="241"/>
      <c r="Z1132" s="241"/>
      <c r="AA1132" s="241"/>
      <c r="AB1132" s="241"/>
      <c r="AC1132" s="241"/>
      <c r="AD1132" s="241"/>
      <c r="AE1132" s="241"/>
      <c r="AF1132" s="241"/>
      <c r="AG1132" s="241"/>
      <c r="AH1132" s="241"/>
      <c r="AI1132" s="241"/>
      <c r="AJ1132" s="242"/>
    </row>
    <row r="1133" hidden="1">
      <c r="A1133" s="241"/>
      <c r="B1133" s="241"/>
      <c r="C1133" s="241"/>
      <c r="D1133" s="241"/>
      <c r="E1133" s="241"/>
      <c r="F1133" s="241"/>
      <c r="G1133" s="241"/>
      <c r="H1133" s="241"/>
      <c r="I1133" s="241"/>
      <c r="J1133" s="241"/>
      <c r="K1133" s="241"/>
      <c r="L1133" s="242"/>
      <c r="M1133" s="241"/>
      <c r="N1133" s="241"/>
      <c r="O1133" s="241"/>
      <c r="P1133" s="241"/>
      <c r="Q1133" s="241"/>
      <c r="R1133" s="241"/>
      <c r="S1133" s="241"/>
      <c r="T1133" s="241"/>
      <c r="U1133" s="241"/>
      <c r="V1133" s="241"/>
      <c r="W1133" s="241"/>
      <c r="X1133" s="242"/>
      <c r="Y1133" s="241"/>
      <c r="Z1133" s="241"/>
      <c r="AA1133" s="241"/>
      <c r="AB1133" s="241"/>
      <c r="AC1133" s="241"/>
      <c r="AD1133" s="241"/>
      <c r="AE1133" s="241"/>
      <c r="AF1133" s="241"/>
      <c r="AG1133" s="241"/>
      <c r="AH1133" s="241"/>
      <c r="AI1133" s="241"/>
      <c r="AJ1133" s="242"/>
    </row>
    <row r="1134" hidden="1">
      <c r="A1134" s="241"/>
      <c r="B1134" s="241"/>
      <c r="C1134" s="241"/>
      <c r="D1134" s="241"/>
      <c r="E1134" s="241"/>
      <c r="F1134" s="241"/>
      <c r="G1134" s="241"/>
      <c r="H1134" s="241"/>
      <c r="I1134" s="241"/>
      <c r="J1134" s="241"/>
      <c r="K1134" s="241"/>
      <c r="L1134" s="242"/>
      <c r="M1134" s="241"/>
      <c r="N1134" s="241"/>
      <c r="O1134" s="241"/>
      <c r="P1134" s="241"/>
      <c r="Q1134" s="241"/>
      <c r="R1134" s="241"/>
      <c r="S1134" s="241"/>
      <c r="T1134" s="241"/>
      <c r="U1134" s="241"/>
      <c r="V1134" s="241"/>
      <c r="W1134" s="241"/>
      <c r="X1134" s="242"/>
      <c r="Y1134" s="241"/>
      <c r="Z1134" s="241"/>
      <c r="AA1134" s="241"/>
      <c r="AB1134" s="241"/>
      <c r="AC1134" s="241"/>
      <c r="AD1134" s="241"/>
      <c r="AE1134" s="241"/>
      <c r="AF1134" s="241"/>
      <c r="AG1134" s="241"/>
      <c r="AH1134" s="241"/>
      <c r="AI1134" s="241"/>
      <c r="AJ1134" s="242"/>
    </row>
    <row r="1135" hidden="1">
      <c r="A1135" s="241"/>
      <c r="B1135" s="241"/>
      <c r="C1135" s="241"/>
      <c r="D1135" s="241"/>
      <c r="E1135" s="241"/>
      <c r="F1135" s="241"/>
      <c r="G1135" s="241"/>
      <c r="H1135" s="241"/>
      <c r="I1135" s="241"/>
      <c r="J1135" s="241"/>
      <c r="K1135" s="241"/>
      <c r="L1135" s="242"/>
      <c r="M1135" s="241"/>
      <c r="N1135" s="241"/>
      <c r="O1135" s="241"/>
      <c r="P1135" s="241"/>
      <c r="Q1135" s="241"/>
      <c r="R1135" s="241"/>
      <c r="S1135" s="241"/>
      <c r="T1135" s="241"/>
      <c r="U1135" s="241"/>
      <c r="V1135" s="241"/>
      <c r="W1135" s="241"/>
      <c r="X1135" s="242"/>
      <c r="Y1135" s="241"/>
      <c r="Z1135" s="241"/>
      <c r="AA1135" s="241"/>
      <c r="AB1135" s="241"/>
      <c r="AC1135" s="241"/>
      <c r="AD1135" s="241"/>
      <c r="AE1135" s="241"/>
      <c r="AF1135" s="241"/>
      <c r="AG1135" s="241"/>
      <c r="AH1135" s="241"/>
      <c r="AI1135" s="241"/>
      <c r="AJ1135" s="242"/>
    </row>
    <row r="1136" hidden="1">
      <c r="A1136" s="241"/>
      <c r="B1136" s="241"/>
      <c r="C1136" s="241"/>
      <c r="D1136" s="241"/>
      <c r="E1136" s="241"/>
      <c r="F1136" s="241"/>
      <c r="G1136" s="241"/>
      <c r="H1136" s="241"/>
      <c r="I1136" s="241"/>
      <c r="J1136" s="241"/>
      <c r="K1136" s="241"/>
      <c r="L1136" s="242"/>
      <c r="M1136" s="241"/>
      <c r="N1136" s="241"/>
      <c r="O1136" s="241"/>
      <c r="P1136" s="241"/>
      <c r="Q1136" s="241"/>
      <c r="R1136" s="241"/>
      <c r="S1136" s="241"/>
      <c r="T1136" s="241"/>
      <c r="U1136" s="241"/>
      <c r="V1136" s="241"/>
      <c r="W1136" s="241"/>
      <c r="X1136" s="242"/>
      <c r="Y1136" s="241"/>
      <c r="Z1136" s="241"/>
      <c r="AA1136" s="241"/>
      <c r="AB1136" s="241"/>
      <c r="AC1136" s="241"/>
      <c r="AD1136" s="241"/>
      <c r="AE1136" s="241"/>
      <c r="AF1136" s="241"/>
      <c r="AG1136" s="241"/>
      <c r="AH1136" s="241"/>
      <c r="AI1136" s="241"/>
      <c r="AJ1136" s="242"/>
    </row>
    <row r="1137" hidden="1">
      <c r="A1137" s="241"/>
      <c r="B1137" s="241"/>
      <c r="C1137" s="241"/>
      <c r="D1137" s="241"/>
      <c r="E1137" s="241"/>
      <c r="F1137" s="241"/>
      <c r="G1137" s="241"/>
      <c r="H1137" s="241"/>
      <c r="I1137" s="241"/>
      <c r="J1137" s="241"/>
      <c r="K1137" s="241"/>
      <c r="L1137" s="242"/>
      <c r="M1137" s="241"/>
      <c r="N1137" s="241"/>
      <c r="O1137" s="241"/>
      <c r="P1137" s="241"/>
      <c r="Q1137" s="241"/>
      <c r="R1137" s="241"/>
      <c r="S1137" s="241"/>
      <c r="T1137" s="241"/>
      <c r="U1137" s="241"/>
      <c r="V1137" s="241"/>
      <c r="W1137" s="241"/>
      <c r="X1137" s="242"/>
      <c r="Y1137" s="241"/>
      <c r="Z1137" s="241"/>
      <c r="AA1137" s="241"/>
      <c r="AB1137" s="241"/>
      <c r="AC1137" s="241"/>
      <c r="AD1137" s="241"/>
      <c r="AE1137" s="241"/>
      <c r="AF1137" s="241"/>
      <c r="AG1137" s="241"/>
      <c r="AH1137" s="241"/>
      <c r="AI1137" s="241"/>
      <c r="AJ1137" s="242"/>
    </row>
    <row r="1138" hidden="1">
      <c r="A1138" s="241"/>
      <c r="B1138" s="241"/>
      <c r="C1138" s="241"/>
      <c r="D1138" s="241"/>
      <c r="E1138" s="241"/>
      <c r="F1138" s="241"/>
      <c r="G1138" s="241"/>
      <c r="H1138" s="241"/>
      <c r="I1138" s="241"/>
      <c r="J1138" s="241"/>
      <c r="K1138" s="241"/>
      <c r="L1138" s="242"/>
      <c r="M1138" s="241"/>
      <c r="N1138" s="241"/>
      <c r="O1138" s="241"/>
      <c r="P1138" s="241"/>
      <c r="Q1138" s="241"/>
      <c r="R1138" s="241"/>
      <c r="S1138" s="241"/>
      <c r="T1138" s="241"/>
      <c r="U1138" s="241"/>
      <c r="V1138" s="241"/>
      <c r="W1138" s="241"/>
      <c r="X1138" s="242"/>
      <c r="Y1138" s="241"/>
      <c r="Z1138" s="241"/>
      <c r="AA1138" s="241"/>
      <c r="AB1138" s="241"/>
      <c r="AC1138" s="241"/>
      <c r="AD1138" s="241"/>
      <c r="AE1138" s="241"/>
      <c r="AF1138" s="241"/>
      <c r="AG1138" s="241"/>
      <c r="AH1138" s="241"/>
      <c r="AI1138" s="241"/>
      <c r="AJ1138" s="242"/>
    </row>
    <row r="1139" hidden="1">
      <c r="A1139" s="241"/>
      <c r="B1139" s="241"/>
      <c r="C1139" s="241"/>
      <c r="D1139" s="241"/>
      <c r="E1139" s="241"/>
      <c r="F1139" s="241"/>
      <c r="G1139" s="241"/>
      <c r="H1139" s="241"/>
      <c r="I1139" s="241"/>
      <c r="J1139" s="241"/>
      <c r="K1139" s="241"/>
      <c r="L1139" s="242"/>
      <c r="M1139" s="241"/>
      <c r="N1139" s="241"/>
      <c r="O1139" s="241"/>
      <c r="P1139" s="241"/>
      <c r="Q1139" s="241"/>
      <c r="R1139" s="241"/>
      <c r="S1139" s="241"/>
      <c r="T1139" s="241"/>
      <c r="U1139" s="241"/>
      <c r="V1139" s="241"/>
      <c r="W1139" s="241"/>
      <c r="X1139" s="242"/>
      <c r="Y1139" s="241"/>
      <c r="Z1139" s="241"/>
      <c r="AA1139" s="241"/>
      <c r="AB1139" s="241"/>
      <c r="AC1139" s="241"/>
      <c r="AD1139" s="241"/>
      <c r="AE1139" s="241"/>
      <c r="AF1139" s="241"/>
      <c r="AG1139" s="241"/>
      <c r="AH1139" s="241"/>
      <c r="AI1139" s="241"/>
      <c r="AJ1139" s="242"/>
    </row>
    <row r="1140" hidden="1">
      <c r="A1140" s="241"/>
      <c r="B1140" s="241"/>
      <c r="C1140" s="241"/>
      <c r="D1140" s="241"/>
      <c r="E1140" s="241"/>
      <c r="F1140" s="241"/>
      <c r="G1140" s="241"/>
      <c r="H1140" s="241"/>
      <c r="I1140" s="241"/>
      <c r="J1140" s="241"/>
      <c r="K1140" s="241"/>
      <c r="L1140" s="242"/>
      <c r="M1140" s="241"/>
      <c r="N1140" s="241"/>
      <c r="O1140" s="241"/>
      <c r="P1140" s="241"/>
      <c r="Q1140" s="241"/>
      <c r="R1140" s="241"/>
      <c r="S1140" s="241"/>
      <c r="T1140" s="241"/>
      <c r="U1140" s="241"/>
      <c r="V1140" s="241"/>
      <c r="W1140" s="241"/>
      <c r="X1140" s="242"/>
      <c r="Y1140" s="241"/>
      <c r="Z1140" s="241"/>
      <c r="AA1140" s="241"/>
      <c r="AB1140" s="241"/>
      <c r="AC1140" s="241"/>
      <c r="AD1140" s="241"/>
      <c r="AE1140" s="241"/>
      <c r="AF1140" s="241"/>
      <c r="AG1140" s="241"/>
      <c r="AH1140" s="241"/>
      <c r="AI1140" s="241"/>
      <c r="AJ1140" s="242"/>
    </row>
    <row r="1141" hidden="1">
      <c r="A1141" s="241"/>
      <c r="B1141" s="241"/>
      <c r="C1141" s="241"/>
      <c r="D1141" s="241"/>
      <c r="E1141" s="241"/>
      <c r="F1141" s="241"/>
      <c r="G1141" s="241"/>
      <c r="H1141" s="241"/>
      <c r="I1141" s="241"/>
      <c r="J1141" s="241"/>
      <c r="K1141" s="241"/>
      <c r="L1141" s="242"/>
      <c r="M1141" s="241"/>
      <c r="N1141" s="241"/>
      <c r="O1141" s="241"/>
      <c r="P1141" s="241"/>
      <c r="Q1141" s="241"/>
      <c r="R1141" s="241"/>
      <c r="S1141" s="241"/>
      <c r="T1141" s="241"/>
      <c r="U1141" s="241"/>
      <c r="V1141" s="241"/>
      <c r="W1141" s="241"/>
      <c r="X1141" s="242"/>
      <c r="Y1141" s="241"/>
      <c r="Z1141" s="241"/>
      <c r="AA1141" s="241"/>
      <c r="AB1141" s="241"/>
      <c r="AC1141" s="241"/>
      <c r="AD1141" s="241"/>
      <c r="AE1141" s="241"/>
      <c r="AF1141" s="241"/>
      <c r="AG1141" s="241"/>
      <c r="AH1141" s="241"/>
      <c r="AI1141" s="241"/>
      <c r="AJ1141" s="242"/>
    </row>
    <row r="1142" hidden="1">
      <c r="A1142" s="241"/>
      <c r="B1142" s="241"/>
      <c r="C1142" s="241"/>
      <c r="D1142" s="241"/>
      <c r="E1142" s="241"/>
      <c r="F1142" s="241"/>
      <c r="G1142" s="241"/>
      <c r="H1142" s="241"/>
      <c r="I1142" s="241"/>
      <c r="J1142" s="241"/>
      <c r="K1142" s="241"/>
      <c r="L1142" s="242"/>
      <c r="M1142" s="241"/>
      <c r="N1142" s="241"/>
      <c r="O1142" s="241"/>
      <c r="P1142" s="241"/>
      <c r="Q1142" s="241"/>
      <c r="R1142" s="241"/>
      <c r="S1142" s="241"/>
      <c r="T1142" s="241"/>
      <c r="U1142" s="241"/>
      <c r="V1142" s="241"/>
      <c r="W1142" s="241"/>
      <c r="X1142" s="242"/>
      <c r="Y1142" s="241"/>
      <c r="Z1142" s="241"/>
      <c r="AA1142" s="241"/>
      <c r="AB1142" s="241"/>
      <c r="AC1142" s="241"/>
      <c r="AD1142" s="241"/>
      <c r="AE1142" s="241"/>
      <c r="AF1142" s="241"/>
      <c r="AG1142" s="241"/>
      <c r="AH1142" s="241"/>
      <c r="AI1142" s="241"/>
      <c r="AJ1142" s="242"/>
    </row>
    <row r="1143" hidden="1">
      <c r="A1143" s="241"/>
      <c r="B1143" s="241"/>
      <c r="C1143" s="241"/>
      <c r="D1143" s="241"/>
      <c r="E1143" s="241"/>
      <c r="F1143" s="241"/>
      <c r="G1143" s="241"/>
      <c r="H1143" s="241"/>
      <c r="I1143" s="241"/>
      <c r="J1143" s="241"/>
      <c r="K1143" s="241"/>
      <c r="L1143" s="242"/>
      <c r="M1143" s="241"/>
      <c r="N1143" s="241"/>
      <c r="O1143" s="241"/>
      <c r="P1143" s="241"/>
      <c r="Q1143" s="241"/>
      <c r="R1143" s="241"/>
      <c r="S1143" s="241"/>
      <c r="T1143" s="241"/>
      <c r="U1143" s="241"/>
      <c r="V1143" s="241"/>
      <c r="W1143" s="241"/>
      <c r="X1143" s="242"/>
      <c r="Y1143" s="241"/>
      <c r="Z1143" s="241"/>
      <c r="AA1143" s="241"/>
      <c r="AB1143" s="241"/>
      <c r="AC1143" s="241"/>
      <c r="AD1143" s="241"/>
      <c r="AE1143" s="241"/>
      <c r="AF1143" s="241"/>
      <c r="AG1143" s="241"/>
      <c r="AH1143" s="241"/>
      <c r="AI1143" s="241"/>
      <c r="AJ1143" s="242"/>
    </row>
    <row r="1144" hidden="1">
      <c r="A1144" s="241"/>
      <c r="B1144" s="241"/>
      <c r="C1144" s="241"/>
      <c r="D1144" s="241"/>
      <c r="E1144" s="241"/>
      <c r="F1144" s="241"/>
      <c r="G1144" s="241"/>
      <c r="H1144" s="241"/>
      <c r="I1144" s="241"/>
      <c r="J1144" s="241"/>
      <c r="K1144" s="241"/>
      <c r="L1144" s="242"/>
      <c r="M1144" s="241"/>
      <c r="N1144" s="241"/>
      <c r="O1144" s="241"/>
      <c r="P1144" s="241"/>
      <c r="Q1144" s="241"/>
      <c r="R1144" s="241"/>
      <c r="S1144" s="241"/>
      <c r="T1144" s="241"/>
      <c r="U1144" s="241"/>
      <c r="V1144" s="241"/>
      <c r="W1144" s="241"/>
      <c r="X1144" s="242"/>
      <c r="Y1144" s="241"/>
      <c r="Z1144" s="241"/>
      <c r="AA1144" s="241"/>
      <c r="AB1144" s="241"/>
      <c r="AC1144" s="241"/>
      <c r="AD1144" s="241"/>
      <c r="AE1144" s="241"/>
      <c r="AF1144" s="241"/>
      <c r="AG1144" s="241"/>
      <c r="AH1144" s="241"/>
      <c r="AI1144" s="241"/>
      <c r="AJ1144" s="242"/>
    </row>
    <row r="1145" hidden="1">
      <c r="A1145" s="241"/>
      <c r="B1145" s="241"/>
      <c r="C1145" s="241"/>
      <c r="D1145" s="241"/>
      <c r="E1145" s="241"/>
      <c r="F1145" s="241"/>
      <c r="G1145" s="241"/>
      <c r="H1145" s="241"/>
      <c r="I1145" s="241"/>
      <c r="J1145" s="241"/>
      <c r="K1145" s="241"/>
      <c r="L1145" s="242"/>
      <c r="M1145" s="241"/>
      <c r="N1145" s="241"/>
      <c r="O1145" s="241"/>
      <c r="P1145" s="241"/>
      <c r="Q1145" s="241"/>
      <c r="R1145" s="241"/>
      <c r="S1145" s="241"/>
      <c r="T1145" s="241"/>
      <c r="U1145" s="241"/>
      <c r="V1145" s="241"/>
      <c r="W1145" s="241"/>
      <c r="X1145" s="242"/>
      <c r="Y1145" s="241"/>
      <c r="Z1145" s="241"/>
      <c r="AA1145" s="241"/>
      <c r="AB1145" s="241"/>
      <c r="AC1145" s="241"/>
      <c r="AD1145" s="241"/>
      <c r="AE1145" s="241"/>
      <c r="AF1145" s="241"/>
      <c r="AG1145" s="241"/>
      <c r="AH1145" s="241"/>
      <c r="AI1145" s="241"/>
      <c r="AJ1145" s="242"/>
    </row>
    <row r="1146" hidden="1">
      <c r="A1146" s="241"/>
      <c r="B1146" s="241"/>
      <c r="C1146" s="241"/>
      <c r="D1146" s="241"/>
      <c r="E1146" s="241"/>
      <c r="F1146" s="241"/>
      <c r="G1146" s="241"/>
      <c r="H1146" s="241"/>
      <c r="I1146" s="241"/>
      <c r="J1146" s="241"/>
      <c r="K1146" s="241"/>
      <c r="L1146" s="242"/>
      <c r="M1146" s="241"/>
      <c r="N1146" s="241"/>
      <c r="O1146" s="241"/>
      <c r="P1146" s="241"/>
      <c r="Q1146" s="241"/>
      <c r="R1146" s="241"/>
      <c r="S1146" s="241"/>
      <c r="T1146" s="241"/>
      <c r="U1146" s="241"/>
      <c r="V1146" s="241"/>
      <c r="W1146" s="241"/>
      <c r="X1146" s="242"/>
      <c r="Y1146" s="241"/>
      <c r="Z1146" s="241"/>
      <c r="AA1146" s="241"/>
      <c r="AB1146" s="241"/>
      <c r="AC1146" s="241"/>
      <c r="AD1146" s="241"/>
      <c r="AE1146" s="241"/>
      <c r="AF1146" s="241"/>
      <c r="AG1146" s="241"/>
      <c r="AH1146" s="241"/>
      <c r="AI1146" s="241"/>
      <c r="AJ1146" s="242"/>
    </row>
    <row r="1147" hidden="1">
      <c r="A1147" s="241"/>
      <c r="B1147" s="241"/>
      <c r="C1147" s="241"/>
      <c r="D1147" s="241"/>
      <c r="E1147" s="241"/>
      <c r="F1147" s="241"/>
      <c r="G1147" s="241"/>
      <c r="H1147" s="241"/>
      <c r="I1147" s="241"/>
      <c r="J1147" s="241"/>
      <c r="K1147" s="241"/>
      <c r="L1147" s="242"/>
      <c r="M1147" s="241"/>
      <c r="N1147" s="241"/>
      <c r="O1147" s="241"/>
      <c r="P1147" s="241"/>
      <c r="Q1147" s="241"/>
      <c r="R1147" s="241"/>
      <c r="S1147" s="241"/>
      <c r="T1147" s="241"/>
      <c r="U1147" s="241"/>
      <c r="V1147" s="241"/>
      <c r="W1147" s="241"/>
      <c r="X1147" s="242"/>
      <c r="Y1147" s="241"/>
      <c r="Z1147" s="241"/>
      <c r="AA1147" s="241"/>
      <c r="AB1147" s="241"/>
      <c r="AC1147" s="241"/>
      <c r="AD1147" s="241"/>
      <c r="AE1147" s="241"/>
      <c r="AF1147" s="241"/>
      <c r="AG1147" s="241"/>
      <c r="AH1147" s="241"/>
      <c r="AI1147" s="241"/>
      <c r="AJ1147" s="242"/>
    </row>
    <row r="1148" hidden="1">
      <c r="A1148" s="241"/>
      <c r="B1148" s="241"/>
      <c r="C1148" s="241"/>
      <c r="D1148" s="241"/>
      <c r="E1148" s="241"/>
      <c r="F1148" s="241"/>
      <c r="G1148" s="241"/>
      <c r="H1148" s="241"/>
      <c r="I1148" s="241"/>
      <c r="J1148" s="241"/>
      <c r="K1148" s="241"/>
      <c r="L1148" s="242"/>
      <c r="M1148" s="241"/>
      <c r="N1148" s="241"/>
      <c r="O1148" s="241"/>
      <c r="P1148" s="241"/>
      <c r="Q1148" s="241"/>
      <c r="R1148" s="241"/>
      <c r="S1148" s="241"/>
      <c r="T1148" s="241"/>
      <c r="U1148" s="241"/>
      <c r="V1148" s="241"/>
      <c r="W1148" s="241"/>
      <c r="X1148" s="242"/>
      <c r="Y1148" s="241"/>
      <c r="Z1148" s="241"/>
      <c r="AA1148" s="241"/>
      <c r="AB1148" s="241"/>
      <c r="AC1148" s="241"/>
      <c r="AD1148" s="241"/>
      <c r="AE1148" s="241"/>
      <c r="AF1148" s="241"/>
      <c r="AG1148" s="241"/>
      <c r="AH1148" s="241"/>
      <c r="AI1148" s="241"/>
      <c r="AJ1148" s="242"/>
    </row>
    <row r="1149" hidden="1">
      <c r="A1149" s="241"/>
      <c r="B1149" s="241"/>
      <c r="C1149" s="241"/>
      <c r="D1149" s="241"/>
      <c r="E1149" s="241"/>
      <c r="F1149" s="241"/>
      <c r="G1149" s="241"/>
      <c r="H1149" s="241"/>
      <c r="I1149" s="241"/>
      <c r="J1149" s="241"/>
      <c r="K1149" s="241"/>
      <c r="L1149" s="242"/>
      <c r="M1149" s="241"/>
      <c r="N1149" s="241"/>
      <c r="O1149" s="241"/>
      <c r="P1149" s="241"/>
      <c r="Q1149" s="241"/>
      <c r="R1149" s="241"/>
      <c r="S1149" s="241"/>
      <c r="T1149" s="241"/>
      <c r="U1149" s="241"/>
      <c r="V1149" s="241"/>
      <c r="W1149" s="241"/>
      <c r="X1149" s="242"/>
      <c r="Y1149" s="241"/>
      <c r="Z1149" s="241"/>
      <c r="AA1149" s="241"/>
      <c r="AB1149" s="241"/>
      <c r="AC1149" s="241"/>
      <c r="AD1149" s="241"/>
      <c r="AE1149" s="241"/>
      <c r="AF1149" s="241"/>
      <c r="AG1149" s="241"/>
      <c r="AH1149" s="241"/>
      <c r="AI1149" s="241"/>
      <c r="AJ1149" s="242"/>
    </row>
    <row r="1150" hidden="1">
      <c r="A1150" s="241"/>
      <c r="B1150" s="241"/>
      <c r="C1150" s="241"/>
      <c r="D1150" s="241"/>
      <c r="E1150" s="241"/>
      <c r="F1150" s="241"/>
      <c r="G1150" s="241"/>
      <c r="H1150" s="241"/>
      <c r="I1150" s="241"/>
      <c r="J1150" s="241"/>
      <c r="K1150" s="241"/>
      <c r="L1150" s="242"/>
      <c r="M1150" s="241"/>
      <c r="N1150" s="241"/>
      <c r="O1150" s="241"/>
      <c r="P1150" s="241"/>
      <c r="Q1150" s="241"/>
      <c r="R1150" s="241"/>
      <c r="S1150" s="241"/>
      <c r="T1150" s="241"/>
      <c r="U1150" s="241"/>
      <c r="V1150" s="241"/>
      <c r="W1150" s="241"/>
      <c r="X1150" s="242"/>
      <c r="Y1150" s="241"/>
      <c r="Z1150" s="241"/>
      <c r="AA1150" s="241"/>
      <c r="AB1150" s="241"/>
      <c r="AC1150" s="241"/>
      <c r="AD1150" s="241"/>
      <c r="AE1150" s="241"/>
      <c r="AF1150" s="241"/>
      <c r="AG1150" s="241"/>
      <c r="AH1150" s="241"/>
      <c r="AI1150" s="241"/>
      <c r="AJ1150" s="242"/>
    </row>
    <row r="1151" hidden="1">
      <c r="A1151" s="241"/>
      <c r="B1151" s="241"/>
      <c r="C1151" s="241"/>
      <c r="D1151" s="241"/>
      <c r="E1151" s="241"/>
      <c r="F1151" s="241"/>
      <c r="G1151" s="241"/>
      <c r="H1151" s="241"/>
      <c r="I1151" s="241"/>
      <c r="J1151" s="241"/>
      <c r="K1151" s="241"/>
      <c r="L1151" s="242"/>
      <c r="M1151" s="241"/>
      <c r="N1151" s="241"/>
      <c r="O1151" s="241"/>
      <c r="P1151" s="241"/>
      <c r="Q1151" s="241"/>
      <c r="R1151" s="241"/>
      <c r="S1151" s="241"/>
      <c r="T1151" s="241"/>
      <c r="U1151" s="241"/>
      <c r="V1151" s="241"/>
      <c r="W1151" s="241"/>
      <c r="X1151" s="242"/>
      <c r="Y1151" s="241"/>
      <c r="Z1151" s="241"/>
      <c r="AA1151" s="241"/>
      <c r="AB1151" s="241"/>
      <c r="AC1151" s="241"/>
      <c r="AD1151" s="241"/>
      <c r="AE1151" s="241"/>
      <c r="AF1151" s="241"/>
      <c r="AG1151" s="241"/>
      <c r="AH1151" s="241"/>
      <c r="AI1151" s="241"/>
      <c r="AJ1151" s="242"/>
    </row>
    <row r="1152" hidden="1">
      <c r="A1152" s="241"/>
      <c r="B1152" s="241"/>
      <c r="C1152" s="241"/>
      <c r="D1152" s="241"/>
      <c r="E1152" s="241"/>
      <c r="F1152" s="241"/>
      <c r="G1152" s="241"/>
      <c r="H1152" s="241"/>
      <c r="I1152" s="241"/>
      <c r="J1152" s="241"/>
      <c r="K1152" s="241"/>
      <c r="L1152" s="242"/>
      <c r="M1152" s="241"/>
      <c r="N1152" s="241"/>
      <c r="O1152" s="241"/>
      <c r="P1152" s="241"/>
      <c r="Q1152" s="241"/>
      <c r="R1152" s="241"/>
      <c r="S1152" s="241"/>
      <c r="T1152" s="241"/>
      <c r="U1152" s="241"/>
      <c r="V1152" s="241"/>
      <c r="W1152" s="241"/>
      <c r="X1152" s="242"/>
      <c r="Y1152" s="241"/>
      <c r="Z1152" s="241"/>
      <c r="AA1152" s="241"/>
      <c r="AB1152" s="241"/>
      <c r="AC1152" s="241"/>
      <c r="AD1152" s="241"/>
      <c r="AE1152" s="241"/>
      <c r="AF1152" s="241"/>
      <c r="AG1152" s="241"/>
      <c r="AH1152" s="241"/>
      <c r="AI1152" s="241"/>
      <c r="AJ1152" s="242"/>
    </row>
    <row r="1153" hidden="1">
      <c r="A1153" s="241"/>
      <c r="B1153" s="241"/>
      <c r="C1153" s="241"/>
      <c r="D1153" s="241"/>
      <c r="E1153" s="241"/>
      <c r="F1153" s="241"/>
      <c r="G1153" s="241"/>
      <c r="H1153" s="241"/>
      <c r="I1153" s="241"/>
      <c r="J1153" s="241"/>
      <c r="K1153" s="241"/>
      <c r="L1153" s="242"/>
      <c r="M1153" s="241"/>
      <c r="N1153" s="241"/>
      <c r="O1153" s="241"/>
      <c r="P1153" s="241"/>
      <c r="Q1153" s="241"/>
      <c r="R1153" s="241"/>
      <c r="S1153" s="241"/>
      <c r="T1153" s="241"/>
      <c r="U1153" s="241"/>
      <c r="V1153" s="241"/>
      <c r="W1153" s="241"/>
      <c r="X1153" s="242"/>
      <c r="Y1153" s="241"/>
      <c r="Z1153" s="241"/>
      <c r="AA1153" s="241"/>
      <c r="AB1153" s="241"/>
      <c r="AC1153" s="241"/>
      <c r="AD1153" s="241"/>
      <c r="AE1153" s="241"/>
      <c r="AF1153" s="241"/>
      <c r="AG1153" s="241"/>
      <c r="AH1153" s="241"/>
      <c r="AI1153" s="241"/>
      <c r="AJ1153" s="242"/>
    </row>
    <row r="1154" hidden="1">
      <c r="A1154" s="241"/>
      <c r="B1154" s="241"/>
      <c r="C1154" s="241"/>
      <c r="D1154" s="241"/>
      <c r="E1154" s="241"/>
      <c r="F1154" s="241"/>
      <c r="G1154" s="241"/>
      <c r="H1154" s="241"/>
      <c r="I1154" s="241"/>
      <c r="J1154" s="241"/>
      <c r="K1154" s="241"/>
      <c r="L1154" s="242"/>
      <c r="M1154" s="241"/>
      <c r="N1154" s="241"/>
      <c r="O1154" s="241"/>
      <c r="P1154" s="241"/>
      <c r="Q1154" s="241"/>
      <c r="R1154" s="241"/>
      <c r="S1154" s="241"/>
      <c r="T1154" s="241"/>
      <c r="U1154" s="241"/>
      <c r="V1154" s="241"/>
      <c r="W1154" s="241"/>
      <c r="X1154" s="242"/>
      <c r="Y1154" s="241"/>
      <c r="Z1154" s="241"/>
      <c r="AA1154" s="241"/>
      <c r="AB1154" s="241"/>
      <c r="AC1154" s="241"/>
      <c r="AD1154" s="241"/>
      <c r="AE1154" s="241"/>
      <c r="AF1154" s="241"/>
      <c r="AG1154" s="241"/>
      <c r="AH1154" s="241"/>
      <c r="AI1154" s="241"/>
      <c r="AJ1154" s="242"/>
    </row>
    <row r="1155" hidden="1">
      <c r="A1155" s="241"/>
      <c r="B1155" s="241"/>
      <c r="C1155" s="241"/>
      <c r="D1155" s="241"/>
      <c r="E1155" s="241"/>
      <c r="F1155" s="241"/>
      <c r="G1155" s="241"/>
      <c r="H1155" s="241"/>
      <c r="I1155" s="241"/>
      <c r="J1155" s="241"/>
      <c r="K1155" s="241"/>
      <c r="L1155" s="242"/>
      <c r="M1155" s="241"/>
      <c r="N1155" s="241"/>
      <c r="O1155" s="241"/>
      <c r="P1155" s="241"/>
      <c r="Q1155" s="241"/>
      <c r="R1155" s="241"/>
      <c r="S1155" s="241"/>
      <c r="T1155" s="241"/>
      <c r="U1155" s="241"/>
      <c r="V1155" s="241"/>
      <c r="W1155" s="241"/>
      <c r="X1155" s="242"/>
      <c r="Y1155" s="241"/>
      <c r="Z1155" s="241"/>
      <c r="AA1155" s="241"/>
      <c r="AB1155" s="241"/>
      <c r="AC1155" s="241"/>
      <c r="AD1155" s="241"/>
      <c r="AE1155" s="241"/>
      <c r="AF1155" s="241"/>
      <c r="AG1155" s="241"/>
      <c r="AH1155" s="241"/>
      <c r="AI1155" s="241"/>
      <c r="AJ1155" s="242"/>
    </row>
    <row r="1156" hidden="1">
      <c r="A1156" s="241"/>
      <c r="B1156" s="241"/>
      <c r="C1156" s="241"/>
      <c r="D1156" s="241"/>
      <c r="E1156" s="241"/>
      <c r="F1156" s="241"/>
      <c r="G1156" s="241"/>
      <c r="H1156" s="241"/>
      <c r="I1156" s="241"/>
      <c r="J1156" s="241"/>
      <c r="K1156" s="241"/>
      <c r="L1156" s="242"/>
      <c r="M1156" s="241"/>
      <c r="N1156" s="241"/>
      <c r="O1156" s="241"/>
      <c r="P1156" s="241"/>
      <c r="Q1156" s="241"/>
      <c r="R1156" s="241"/>
      <c r="S1156" s="241"/>
      <c r="T1156" s="241"/>
      <c r="U1156" s="241"/>
      <c r="V1156" s="241"/>
      <c r="W1156" s="241"/>
      <c r="X1156" s="242"/>
      <c r="Y1156" s="241"/>
      <c r="Z1156" s="241"/>
      <c r="AA1156" s="241"/>
      <c r="AB1156" s="241"/>
      <c r="AC1156" s="241"/>
      <c r="AD1156" s="241"/>
      <c r="AE1156" s="241"/>
      <c r="AF1156" s="241"/>
      <c r="AG1156" s="241"/>
      <c r="AH1156" s="241"/>
      <c r="AI1156" s="241"/>
      <c r="AJ1156" s="242"/>
    </row>
    <row r="1157" hidden="1">
      <c r="A1157" s="241"/>
      <c r="B1157" s="241"/>
      <c r="C1157" s="241"/>
      <c r="D1157" s="241"/>
      <c r="E1157" s="241"/>
      <c r="F1157" s="241"/>
      <c r="G1157" s="241"/>
      <c r="H1157" s="241"/>
      <c r="I1157" s="241"/>
      <c r="J1157" s="241"/>
      <c r="K1157" s="241"/>
      <c r="L1157" s="242"/>
      <c r="M1157" s="241"/>
      <c r="N1157" s="241"/>
      <c r="O1157" s="241"/>
      <c r="P1157" s="241"/>
      <c r="Q1157" s="241"/>
      <c r="R1157" s="241"/>
      <c r="S1157" s="241"/>
      <c r="T1157" s="241"/>
      <c r="U1157" s="241"/>
      <c r="V1157" s="241"/>
      <c r="W1157" s="241"/>
      <c r="X1157" s="242"/>
      <c r="Y1157" s="241"/>
      <c r="Z1157" s="241"/>
      <c r="AA1157" s="241"/>
      <c r="AB1157" s="241"/>
      <c r="AC1157" s="241"/>
      <c r="AD1157" s="241"/>
      <c r="AE1157" s="241"/>
      <c r="AF1157" s="241"/>
      <c r="AG1157" s="241"/>
      <c r="AH1157" s="241"/>
      <c r="AI1157" s="241"/>
      <c r="AJ1157" s="242"/>
    </row>
    <row r="1158" hidden="1">
      <c r="A1158" s="241"/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2"/>
      <c r="M1158" s="241"/>
      <c r="N1158" s="241"/>
      <c r="O1158" s="241"/>
      <c r="P1158" s="241"/>
      <c r="Q1158" s="241"/>
      <c r="R1158" s="241"/>
      <c r="S1158" s="241"/>
      <c r="T1158" s="241"/>
      <c r="U1158" s="241"/>
      <c r="V1158" s="241"/>
      <c r="W1158" s="241"/>
      <c r="X1158" s="242"/>
      <c r="Y1158" s="241"/>
      <c r="Z1158" s="241"/>
      <c r="AA1158" s="241"/>
      <c r="AB1158" s="241"/>
      <c r="AC1158" s="241"/>
      <c r="AD1158" s="241"/>
      <c r="AE1158" s="241"/>
      <c r="AF1158" s="241"/>
      <c r="AG1158" s="241"/>
      <c r="AH1158" s="241"/>
      <c r="AI1158" s="241"/>
      <c r="AJ1158" s="242"/>
    </row>
    <row r="1159" hidden="1">
      <c r="A1159" s="241"/>
      <c r="B1159" s="241"/>
      <c r="C1159" s="241"/>
      <c r="D1159" s="241"/>
      <c r="E1159" s="241"/>
      <c r="F1159" s="241"/>
      <c r="G1159" s="241"/>
      <c r="H1159" s="241"/>
      <c r="I1159" s="241"/>
      <c r="J1159" s="241"/>
      <c r="K1159" s="241"/>
      <c r="L1159" s="242"/>
      <c r="M1159" s="241"/>
      <c r="N1159" s="241"/>
      <c r="O1159" s="241"/>
      <c r="P1159" s="241"/>
      <c r="Q1159" s="241"/>
      <c r="R1159" s="241"/>
      <c r="S1159" s="241"/>
      <c r="T1159" s="241"/>
      <c r="U1159" s="241"/>
      <c r="V1159" s="241"/>
      <c r="W1159" s="241"/>
      <c r="X1159" s="242"/>
      <c r="Y1159" s="241"/>
      <c r="Z1159" s="241"/>
      <c r="AA1159" s="241"/>
      <c r="AB1159" s="241"/>
      <c r="AC1159" s="241"/>
      <c r="AD1159" s="241"/>
      <c r="AE1159" s="241"/>
      <c r="AF1159" s="241"/>
      <c r="AG1159" s="241"/>
      <c r="AH1159" s="241"/>
      <c r="AI1159" s="241"/>
      <c r="AJ1159" s="242"/>
    </row>
    <row r="1160" hidden="1">
      <c r="A1160" s="241"/>
      <c r="B1160" s="241"/>
      <c r="C1160" s="241"/>
      <c r="D1160" s="241"/>
      <c r="E1160" s="241"/>
      <c r="F1160" s="241"/>
      <c r="G1160" s="241"/>
      <c r="H1160" s="241"/>
      <c r="I1160" s="241"/>
      <c r="J1160" s="241"/>
      <c r="K1160" s="241"/>
      <c r="L1160" s="242"/>
      <c r="M1160" s="241"/>
      <c r="N1160" s="241"/>
      <c r="O1160" s="241"/>
      <c r="P1160" s="241"/>
      <c r="Q1160" s="241"/>
      <c r="R1160" s="241"/>
      <c r="S1160" s="241"/>
      <c r="T1160" s="241"/>
      <c r="U1160" s="241"/>
      <c r="V1160" s="241"/>
      <c r="W1160" s="241"/>
      <c r="X1160" s="242"/>
      <c r="Y1160" s="241"/>
      <c r="Z1160" s="241"/>
      <c r="AA1160" s="241"/>
      <c r="AB1160" s="241"/>
      <c r="AC1160" s="241"/>
      <c r="AD1160" s="241"/>
      <c r="AE1160" s="241"/>
      <c r="AF1160" s="241"/>
      <c r="AG1160" s="241"/>
      <c r="AH1160" s="241"/>
      <c r="AI1160" s="241"/>
      <c r="AJ1160" s="242"/>
    </row>
    <row r="1161" hidden="1">
      <c r="A1161" s="241"/>
      <c r="B1161" s="241"/>
      <c r="C1161" s="241"/>
      <c r="D1161" s="241"/>
      <c r="E1161" s="241"/>
      <c r="F1161" s="241"/>
      <c r="G1161" s="241"/>
      <c r="H1161" s="241"/>
      <c r="I1161" s="241"/>
      <c r="J1161" s="241"/>
      <c r="K1161" s="241"/>
      <c r="L1161" s="242"/>
      <c r="M1161" s="241"/>
      <c r="N1161" s="241"/>
      <c r="O1161" s="241"/>
      <c r="P1161" s="241"/>
      <c r="Q1161" s="241"/>
      <c r="R1161" s="241"/>
      <c r="S1161" s="241"/>
      <c r="T1161" s="241"/>
      <c r="U1161" s="241"/>
      <c r="V1161" s="241"/>
      <c r="W1161" s="241"/>
      <c r="X1161" s="242"/>
      <c r="Y1161" s="241"/>
      <c r="Z1161" s="241"/>
      <c r="AA1161" s="241"/>
      <c r="AB1161" s="241"/>
      <c r="AC1161" s="241"/>
      <c r="AD1161" s="241"/>
      <c r="AE1161" s="241"/>
      <c r="AF1161" s="241"/>
      <c r="AG1161" s="241"/>
      <c r="AH1161" s="241"/>
      <c r="AI1161" s="241"/>
      <c r="AJ1161" s="242"/>
    </row>
    <row r="1162" hidden="1">
      <c r="A1162" s="241"/>
      <c r="B1162" s="241"/>
      <c r="C1162" s="241"/>
      <c r="D1162" s="241"/>
      <c r="E1162" s="241"/>
      <c r="F1162" s="241"/>
      <c r="G1162" s="241"/>
      <c r="H1162" s="241"/>
      <c r="I1162" s="241"/>
      <c r="J1162" s="241"/>
      <c r="K1162" s="241"/>
      <c r="L1162" s="242"/>
      <c r="M1162" s="241"/>
      <c r="N1162" s="241"/>
      <c r="O1162" s="241"/>
      <c r="P1162" s="241"/>
      <c r="Q1162" s="241"/>
      <c r="R1162" s="241"/>
      <c r="S1162" s="241"/>
      <c r="T1162" s="241"/>
      <c r="U1162" s="241"/>
      <c r="V1162" s="241"/>
      <c r="W1162" s="241"/>
      <c r="X1162" s="242"/>
      <c r="Y1162" s="241"/>
      <c r="Z1162" s="241"/>
      <c r="AA1162" s="241"/>
      <c r="AB1162" s="241"/>
      <c r="AC1162" s="241"/>
      <c r="AD1162" s="241"/>
      <c r="AE1162" s="241"/>
      <c r="AF1162" s="241"/>
      <c r="AG1162" s="241"/>
      <c r="AH1162" s="241"/>
      <c r="AI1162" s="241"/>
      <c r="AJ1162" s="242"/>
    </row>
    <row r="1163" hidden="1">
      <c r="A1163" s="241"/>
      <c r="B1163" s="241"/>
      <c r="C1163" s="241"/>
      <c r="D1163" s="241"/>
      <c r="E1163" s="241"/>
      <c r="F1163" s="241"/>
      <c r="G1163" s="241"/>
      <c r="H1163" s="241"/>
      <c r="I1163" s="241"/>
      <c r="J1163" s="241"/>
      <c r="K1163" s="241"/>
      <c r="L1163" s="242"/>
      <c r="M1163" s="241"/>
      <c r="N1163" s="241"/>
      <c r="O1163" s="241"/>
      <c r="P1163" s="241"/>
      <c r="Q1163" s="241"/>
      <c r="R1163" s="241"/>
      <c r="S1163" s="241"/>
      <c r="T1163" s="241"/>
      <c r="U1163" s="241"/>
      <c r="V1163" s="241"/>
      <c r="W1163" s="241"/>
      <c r="X1163" s="242"/>
      <c r="Y1163" s="241"/>
      <c r="Z1163" s="241"/>
      <c r="AA1163" s="241"/>
      <c r="AB1163" s="241"/>
      <c r="AC1163" s="241"/>
      <c r="AD1163" s="241"/>
      <c r="AE1163" s="241"/>
      <c r="AF1163" s="241"/>
      <c r="AG1163" s="241"/>
      <c r="AH1163" s="241"/>
      <c r="AI1163" s="241"/>
      <c r="AJ1163" s="242"/>
    </row>
    <row r="1164" hidden="1">
      <c r="A1164" s="241"/>
      <c r="B1164" s="241"/>
      <c r="C1164" s="241"/>
      <c r="D1164" s="241"/>
      <c r="E1164" s="241"/>
      <c r="F1164" s="241"/>
      <c r="G1164" s="241"/>
      <c r="H1164" s="241"/>
      <c r="I1164" s="241"/>
      <c r="J1164" s="241"/>
      <c r="K1164" s="241"/>
      <c r="L1164" s="242"/>
      <c r="M1164" s="241"/>
      <c r="N1164" s="241"/>
      <c r="O1164" s="241"/>
      <c r="P1164" s="241"/>
      <c r="Q1164" s="241"/>
      <c r="R1164" s="241"/>
      <c r="S1164" s="241"/>
      <c r="T1164" s="241"/>
      <c r="U1164" s="241"/>
      <c r="V1164" s="241"/>
      <c r="W1164" s="241"/>
      <c r="X1164" s="242"/>
      <c r="Y1164" s="241"/>
      <c r="Z1164" s="241"/>
      <c r="AA1164" s="241"/>
      <c r="AB1164" s="241"/>
      <c r="AC1164" s="241"/>
      <c r="AD1164" s="241"/>
      <c r="AE1164" s="241"/>
      <c r="AF1164" s="241"/>
      <c r="AG1164" s="241"/>
      <c r="AH1164" s="241"/>
      <c r="AI1164" s="241"/>
      <c r="AJ1164" s="242"/>
    </row>
    <row r="1165" hidden="1">
      <c r="A1165" s="241"/>
      <c r="B1165" s="241"/>
      <c r="C1165" s="241"/>
      <c r="D1165" s="241"/>
      <c r="E1165" s="241"/>
      <c r="F1165" s="241"/>
      <c r="G1165" s="241"/>
      <c r="H1165" s="241"/>
      <c r="I1165" s="241"/>
      <c r="J1165" s="241"/>
      <c r="K1165" s="241"/>
      <c r="L1165" s="242"/>
      <c r="M1165" s="241"/>
      <c r="N1165" s="241"/>
      <c r="O1165" s="241"/>
      <c r="P1165" s="241"/>
      <c r="Q1165" s="241"/>
      <c r="R1165" s="241"/>
      <c r="S1165" s="241"/>
      <c r="T1165" s="241"/>
      <c r="U1165" s="241"/>
      <c r="V1165" s="241"/>
      <c r="W1165" s="241"/>
      <c r="X1165" s="242"/>
      <c r="Y1165" s="241"/>
      <c r="Z1165" s="241"/>
      <c r="AA1165" s="241"/>
      <c r="AB1165" s="241"/>
      <c r="AC1165" s="241"/>
      <c r="AD1165" s="241"/>
      <c r="AE1165" s="241"/>
      <c r="AF1165" s="241"/>
      <c r="AG1165" s="241"/>
      <c r="AH1165" s="241"/>
      <c r="AI1165" s="241"/>
      <c r="AJ1165" s="242"/>
    </row>
    <row r="1166" hidden="1">
      <c r="A1166" s="241"/>
      <c r="B1166" s="241"/>
      <c r="C1166" s="241"/>
      <c r="D1166" s="241"/>
      <c r="E1166" s="241"/>
      <c r="F1166" s="241"/>
      <c r="G1166" s="241"/>
      <c r="H1166" s="241"/>
      <c r="I1166" s="241"/>
      <c r="J1166" s="241"/>
      <c r="K1166" s="241"/>
      <c r="L1166" s="242"/>
      <c r="M1166" s="241"/>
      <c r="N1166" s="241"/>
      <c r="O1166" s="241"/>
      <c r="P1166" s="241"/>
      <c r="Q1166" s="241"/>
      <c r="R1166" s="241"/>
      <c r="S1166" s="241"/>
      <c r="T1166" s="241"/>
      <c r="U1166" s="241"/>
      <c r="V1166" s="241"/>
      <c r="W1166" s="241"/>
      <c r="X1166" s="242"/>
      <c r="Y1166" s="241"/>
      <c r="Z1166" s="241"/>
      <c r="AA1166" s="241"/>
      <c r="AB1166" s="241"/>
      <c r="AC1166" s="241"/>
      <c r="AD1166" s="241"/>
      <c r="AE1166" s="241"/>
      <c r="AF1166" s="241"/>
      <c r="AG1166" s="241"/>
      <c r="AH1166" s="241"/>
      <c r="AI1166" s="241"/>
      <c r="AJ1166" s="242"/>
    </row>
    <row r="1167" hidden="1">
      <c r="A1167" s="241"/>
      <c r="B1167" s="241"/>
      <c r="C1167" s="241"/>
      <c r="D1167" s="241"/>
      <c r="E1167" s="241"/>
      <c r="F1167" s="241"/>
      <c r="G1167" s="241"/>
      <c r="H1167" s="241"/>
      <c r="I1167" s="241"/>
      <c r="J1167" s="241"/>
      <c r="K1167" s="241"/>
      <c r="L1167" s="242"/>
      <c r="M1167" s="241"/>
      <c r="N1167" s="241"/>
      <c r="O1167" s="241"/>
      <c r="P1167" s="241"/>
      <c r="Q1167" s="241"/>
      <c r="R1167" s="241"/>
      <c r="S1167" s="241"/>
      <c r="T1167" s="241"/>
      <c r="U1167" s="241"/>
      <c r="V1167" s="241"/>
      <c r="W1167" s="241"/>
      <c r="X1167" s="242"/>
      <c r="Y1167" s="241"/>
      <c r="Z1167" s="241"/>
      <c r="AA1167" s="241"/>
      <c r="AB1167" s="241"/>
      <c r="AC1167" s="241"/>
      <c r="AD1167" s="241"/>
      <c r="AE1167" s="241"/>
      <c r="AF1167" s="241"/>
      <c r="AG1167" s="241"/>
      <c r="AH1167" s="241"/>
      <c r="AI1167" s="241"/>
      <c r="AJ1167" s="242"/>
    </row>
    <row r="1168" hidden="1">
      <c r="A1168" s="241"/>
      <c r="B1168" s="241"/>
      <c r="C1168" s="241"/>
      <c r="D1168" s="241"/>
      <c r="E1168" s="241"/>
      <c r="F1168" s="241"/>
      <c r="G1168" s="241"/>
      <c r="H1168" s="241"/>
      <c r="I1168" s="241"/>
      <c r="J1168" s="241"/>
      <c r="K1168" s="241"/>
      <c r="L1168" s="242"/>
      <c r="M1168" s="241"/>
      <c r="N1168" s="241"/>
      <c r="O1168" s="241"/>
      <c r="P1168" s="241"/>
      <c r="Q1168" s="241"/>
      <c r="R1168" s="241"/>
      <c r="S1168" s="241"/>
      <c r="T1168" s="241"/>
      <c r="U1168" s="241"/>
      <c r="V1168" s="241"/>
      <c r="W1168" s="241"/>
      <c r="X1168" s="242"/>
      <c r="Y1168" s="241"/>
      <c r="Z1168" s="241"/>
      <c r="AA1168" s="241"/>
      <c r="AB1168" s="241"/>
      <c r="AC1168" s="241"/>
      <c r="AD1168" s="241"/>
      <c r="AE1168" s="241"/>
      <c r="AF1168" s="241"/>
      <c r="AG1168" s="241"/>
      <c r="AH1168" s="241"/>
      <c r="AI1168" s="241"/>
      <c r="AJ1168" s="242"/>
    </row>
    <row r="1169" hidden="1">
      <c r="A1169" s="241"/>
      <c r="B1169" s="241"/>
      <c r="C1169" s="241"/>
      <c r="D1169" s="241"/>
      <c r="E1169" s="241"/>
      <c r="F1169" s="241"/>
      <c r="G1169" s="241"/>
      <c r="H1169" s="241"/>
      <c r="I1169" s="241"/>
      <c r="J1169" s="241"/>
      <c r="K1169" s="241"/>
      <c r="L1169" s="242"/>
      <c r="M1169" s="241"/>
      <c r="N1169" s="241"/>
      <c r="O1169" s="241"/>
      <c r="P1169" s="241"/>
      <c r="Q1169" s="241"/>
      <c r="R1169" s="241"/>
      <c r="S1169" s="241"/>
      <c r="T1169" s="241"/>
      <c r="U1169" s="241"/>
      <c r="V1169" s="241"/>
      <c r="W1169" s="241"/>
      <c r="X1169" s="242"/>
      <c r="Y1169" s="241"/>
      <c r="Z1169" s="241"/>
      <c r="AA1169" s="241"/>
      <c r="AB1169" s="241"/>
      <c r="AC1169" s="241"/>
      <c r="AD1169" s="241"/>
      <c r="AE1169" s="241"/>
      <c r="AF1169" s="241"/>
      <c r="AG1169" s="241"/>
      <c r="AH1169" s="241"/>
      <c r="AI1169" s="241"/>
      <c r="AJ1169" s="242"/>
    </row>
    <row r="1170" hidden="1">
      <c r="A1170" s="241"/>
      <c r="B1170" s="241"/>
      <c r="C1170" s="241"/>
      <c r="D1170" s="241"/>
      <c r="E1170" s="241"/>
      <c r="F1170" s="241"/>
      <c r="G1170" s="241"/>
      <c r="H1170" s="241"/>
      <c r="I1170" s="241"/>
      <c r="J1170" s="241"/>
      <c r="K1170" s="241"/>
      <c r="L1170" s="242"/>
      <c r="M1170" s="241"/>
      <c r="N1170" s="241"/>
      <c r="O1170" s="241"/>
      <c r="P1170" s="241"/>
      <c r="Q1170" s="241"/>
      <c r="R1170" s="241"/>
      <c r="S1170" s="241"/>
      <c r="T1170" s="241"/>
      <c r="U1170" s="241"/>
      <c r="V1170" s="241"/>
      <c r="W1170" s="241"/>
      <c r="X1170" s="242"/>
      <c r="Y1170" s="241"/>
      <c r="Z1170" s="241"/>
      <c r="AA1170" s="241"/>
      <c r="AB1170" s="241"/>
      <c r="AC1170" s="241"/>
      <c r="AD1170" s="241"/>
      <c r="AE1170" s="241"/>
      <c r="AF1170" s="241"/>
      <c r="AG1170" s="241"/>
      <c r="AH1170" s="241"/>
      <c r="AI1170" s="241"/>
      <c r="AJ1170" s="242"/>
    </row>
    <row r="1171" hidden="1">
      <c r="A1171" s="241"/>
      <c r="B1171" s="241"/>
      <c r="C1171" s="241"/>
      <c r="D1171" s="241"/>
      <c r="E1171" s="241"/>
      <c r="F1171" s="241"/>
      <c r="G1171" s="241"/>
      <c r="H1171" s="241"/>
      <c r="I1171" s="241"/>
      <c r="J1171" s="241"/>
      <c r="K1171" s="241"/>
      <c r="L1171" s="242"/>
      <c r="M1171" s="241"/>
      <c r="N1171" s="241"/>
      <c r="O1171" s="241"/>
      <c r="P1171" s="241"/>
      <c r="Q1171" s="241"/>
      <c r="R1171" s="241"/>
      <c r="S1171" s="241"/>
      <c r="T1171" s="241"/>
      <c r="U1171" s="241"/>
      <c r="V1171" s="241"/>
      <c r="W1171" s="241"/>
      <c r="X1171" s="242"/>
      <c r="Y1171" s="241"/>
      <c r="Z1171" s="241"/>
      <c r="AA1171" s="241"/>
      <c r="AB1171" s="241"/>
      <c r="AC1171" s="241"/>
      <c r="AD1171" s="241"/>
      <c r="AE1171" s="241"/>
      <c r="AF1171" s="241"/>
      <c r="AG1171" s="241"/>
      <c r="AH1171" s="241"/>
      <c r="AI1171" s="241"/>
      <c r="AJ1171" s="242"/>
    </row>
    <row r="1172" hidden="1">
      <c r="A1172" s="241"/>
      <c r="B1172" s="241"/>
      <c r="C1172" s="241"/>
      <c r="D1172" s="241"/>
      <c r="E1172" s="241"/>
      <c r="F1172" s="241"/>
      <c r="G1172" s="241"/>
      <c r="H1172" s="241"/>
      <c r="I1172" s="241"/>
      <c r="J1172" s="241"/>
      <c r="K1172" s="241"/>
      <c r="L1172" s="242"/>
      <c r="M1172" s="241"/>
      <c r="N1172" s="241"/>
      <c r="O1172" s="241"/>
      <c r="P1172" s="241"/>
      <c r="Q1172" s="241"/>
      <c r="R1172" s="241"/>
      <c r="S1172" s="241"/>
      <c r="T1172" s="241"/>
      <c r="U1172" s="241"/>
      <c r="V1172" s="241"/>
      <c r="W1172" s="241"/>
      <c r="X1172" s="242"/>
      <c r="Y1172" s="241"/>
      <c r="Z1172" s="241"/>
      <c r="AA1172" s="241"/>
      <c r="AB1172" s="241"/>
      <c r="AC1172" s="241"/>
      <c r="AD1172" s="241"/>
      <c r="AE1172" s="241"/>
      <c r="AF1172" s="241"/>
      <c r="AG1172" s="241"/>
      <c r="AH1172" s="241"/>
      <c r="AI1172" s="241"/>
      <c r="AJ1172" s="242"/>
    </row>
    <row r="1173" hidden="1">
      <c r="A1173" s="241"/>
      <c r="B1173" s="241"/>
      <c r="C1173" s="241"/>
      <c r="D1173" s="241"/>
      <c r="E1173" s="241"/>
      <c r="F1173" s="241"/>
      <c r="G1173" s="241"/>
      <c r="H1173" s="241"/>
      <c r="I1173" s="241"/>
      <c r="J1173" s="241"/>
      <c r="K1173" s="241"/>
      <c r="L1173" s="242"/>
      <c r="M1173" s="241"/>
      <c r="N1173" s="241"/>
      <c r="O1173" s="241"/>
      <c r="P1173" s="241"/>
      <c r="Q1173" s="241"/>
      <c r="R1173" s="241"/>
      <c r="S1173" s="241"/>
      <c r="T1173" s="241"/>
      <c r="U1173" s="241"/>
      <c r="V1173" s="241"/>
      <c r="W1173" s="241"/>
      <c r="X1173" s="242"/>
      <c r="Y1173" s="241"/>
      <c r="Z1173" s="241"/>
      <c r="AA1173" s="241"/>
      <c r="AB1173" s="241"/>
      <c r="AC1173" s="241"/>
      <c r="AD1173" s="241"/>
      <c r="AE1173" s="241"/>
      <c r="AF1173" s="241"/>
      <c r="AG1173" s="241"/>
      <c r="AH1173" s="241"/>
      <c r="AI1173" s="241"/>
      <c r="AJ1173" s="242"/>
    </row>
    <row r="1174" hidden="1">
      <c r="A1174" s="241"/>
      <c r="B1174" s="241"/>
      <c r="C1174" s="241"/>
      <c r="D1174" s="241"/>
      <c r="E1174" s="241"/>
      <c r="F1174" s="241"/>
      <c r="G1174" s="241"/>
      <c r="H1174" s="241"/>
      <c r="I1174" s="241"/>
      <c r="J1174" s="241"/>
      <c r="K1174" s="241"/>
      <c r="L1174" s="242"/>
      <c r="M1174" s="241"/>
      <c r="N1174" s="241"/>
      <c r="O1174" s="241"/>
      <c r="P1174" s="241"/>
      <c r="Q1174" s="241"/>
      <c r="R1174" s="241"/>
      <c r="S1174" s="241"/>
      <c r="T1174" s="241"/>
      <c r="U1174" s="241"/>
      <c r="V1174" s="241"/>
      <c r="W1174" s="241"/>
      <c r="X1174" s="242"/>
      <c r="Y1174" s="241"/>
      <c r="Z1174" s="241"/>
      <c r="AA1174" s="241"/>
      <c r="AB1174" s="241"/>
      <c r="AC1174" s="241"/>
      <c r="AD1174" s="241"/>
      <c r="AE1174" s="241"/>
      <c r="AF1174" s="241"/>
      <c r="AG1174" s="241"/>
      <c r="AH1174" s="241"/>
      <c r="AI1174" s="241"/>
      <c r="AJ1174" s="242"/>
    </row>
    <row r="1175" hidden="1">
      <c r="A1175" s="241"/>
      <c r="B1175" s="241"/>
      <c r="C1175" s="241"/>
      <c r="D1175" s="241"/>
      <c r="E1175" s="241"/>
      <c r="F1175" s="241"/>
      <c r="G1175" s="241"/>
      <c r="H1175" s="241"/>
      <c r="I1175" s="241"/>
      <c r="J1175" s="241"/>
      <c r="K1175" s="241"/>
      <c r="L1175" s="242"/>
      <c r="M1175" s="241"/>
      <c r="N1175" s="241"/>
      <c r="O1175" s="241"/>
      <c r="P1175" s="241"/>
      <c r="Q1175" s="241"/>
      <c r="R1175" s="241"/>
      <c r="S1175" s="241"/>
      <c r="T1175" s="241"/>
      <c r="U1175" s="241"/>
      <c r="V1175" s="241"/>
      <c r="W1175" s="241"/>
      <c r="X1175" s="242"/>
      <c r="Y1175" s="241"/>
      <c r="Z1175" s="241"/>
      <c r="AA1175" s="241"/>
      <c r="AB1175" s="241"/>
      <c r="AC1175" s="241"/>
      <c r="AD1175" s="241"/>
      <c r="AE1175" s="241"/>
      <c r="AF1175" s="241"/>
      <c r="AG1175" s="241"/>
      <c r="AH1175" s="241"/>
      <c r="AI1175" s="241"/>
      <c r="AJ1175" s="242"/>
    </row>
    <row r="1176" hidden="1">
      <c r="A1176" s="241"/>
      <c r="B1176" s="241"/>
      <c r="C1176" s="241"/>
      <c r="D1176" s="241"/>
      <c r="E1176" s="241"/>
      <c r="F1176" s="241"/>
      <c r="G1176" s="241"/>
      <c r="H1176" s="241"/>
      <c r="I1176" s="241"/>
      <c r="J1176" s="241"/>
      <c r="K1176" s="241"/>
      <c r="L1176" s="242"/>
      <c r="M1176" s="241"/>
      <c r="N1176" s="241"/>
      <c r="O1176" s="241"/>
      <c r="P1176" s="241"/>
      <c r="Q1176" s="241"/>
      <c r="R1176" s="241"/>
      <c r="S1176" s="241"/>
      <c r="T1176" s="241"/>
      <c r="U1176" s="241"/>
      <c r="V1176" s="241"/>
      <c r="W1176" s="241"/>
      <c r="X1176" s="242"/>
      <c r="Y1176" s="241"/>
      <c r="Z1176" s="241"/>
      <c r="AA1176" s="241"/>
      <c r="AB1176" s="241"/>
      <c r="AC1176" s="241"/>
      <c r="AD1176" s="241"/>
      <c r="AE1176" s="241"/>
      <c r="AF1176" s="241"/>
      <c r="AG1176" s="241"/>
      <c r="AH1176" s="241"/>
      <c r="AI1176" s="241"/>
      <c r="AJ1176" s="242"/>
    </row>
    <row r="1177" hidden="1">
      <c r="A1177" s="241"/>
      <c r="B1177" s="241"/>
      <c r="C1177" s="241"/>
      <c r="D1177" s="241"/>
      <c r="E1177" s="241"/>
      <c r="F1177" s="241"/>
      <c r="G1177" s="241"/>
      <c r="H1177" s="241"/>
      <c r="I1177" s="241"/>
      <c r="J1177" s="241"/>
      <c r="K1177" s="241"/>
      <c r="L1177" s="242"/>
      <c r="M1177" s="241"/>
      <c r="N1177" s="241"/>
      <c r="O1177" s="241"/>
      <c r="P1177" s="241"/>
      <c r="Q1177" s="241"/>
      <c r="R1177" s="241"/>
      <c r="S1177" s="241"/>
      <c r="T1177" s="241"/>
      <c r="U1177" s="241"/>
      <c r="V1177" s="241"/>
      <c r="W1177" s="241"/>
      <c r="X1177" s="242"/>
      <c r="Y1177" s="241"/>
      <c r="Z1177" s="241"/>
      <c r="AA1177" s="241"/>
      <c r="AB1177" s="241"/>
      <c r="AC1177" s="241"/>
      <c r="AD1177" s="241"/>
      <c r="AE1177" s="241"/>
      <c r="AF1177" s="241"/>
      <c r="AG1177" s="241"/>
      <c r="AH1177" s="241"/>
      <c r="AI1177" s="241"/>
      <c r="AJ1177" s="242"/>
    </row>
    <row r="1178" hidden="1">
      <c r="A1178" s="241"/>
      <c r="B1178" s="241"/>
      <c r="C1178" s="241"/>
      <c r="D1178" s="241"/>
      <c r="E1178" s="241"/>
      <c r="F1178" s="241"/>
      <c r="G1178" s="241"/>
      <c r="H1178" s="241"/>
      <c r="I1178" s="241"/>
      <c r="J1178" s="241"/>
      <c r="K1178" s="241"/>
      <c r="L1178" s="242"/>
      <c r="M1178" s="241"/>
      <c r="N1178" s="241"/>
      <c r="O1178" s="241"/>
      <c r="P1178" s="241"/>
      <c r="Q1178" s="241"/>
      <c r="R1178" s="241"/>
      <c r="S1178" s="241"/>
      <c r="T1178" s="241"/>
      <c r="U1178" s="241"/>
      <c r="V1178" s="241"/>
      <c r="W1178" s="241"/>
      <c r="X1178" s="242"/>
      <c r="Y1178" s="241"/>
      <c r="Z1178" s="241"/>
      <c r="AA1178" s="241"/>
      <c r="AB1178" s="241"/>
      <c r="AC1178" s="241"/>
      <c r="AD1178" s="241"/>
      <c r="AE1178" s="241"/>
      <c r="AF1178" s="241"/>
      <c r="AG1178" s="241"/>
      <c r="AH1178" s="241"/>
      <c r="AI1178" s="241"/>
      <c r="AJ1178" s="242"/>
    </row>
    <row r="1179" hidden="1">
      <c r="A1179" s="241"/>
      <c r="B1179" s="241"/>
      <c r="C1179" s="241"/>
      <c r="D1179" s="241"/>
      <c r="E1179" s="241"/>
      <c r="F1179" s="241"/>
      <c r="G1179" s="241"/>
      <c r="H1179" s="241"/>
      <c r="I1179" s="241"/>
      <c r="J1179" s="241"/>
      <c r="K1179" s="241"/>
      <c r="L1179" s="242"/>
      <c r="M1179" s="241"/>
      <c r="N1179" s="241"/>
      <c r="O1179" s="241"/>
      <c r="P1179" s="241"/>
      <c r="Q1179" s="241"/>
      <c r="R1179" s="241"/>
      <c r="S1179" s="241"/>
      <c r="T1179" s="241"/>
      <c r="U1179" s="241"/>
      <c r="V1179" s="241"/>
      <c r="W1179" s="241"/>
      <c r="X1179" s="242"/>
      <c r="Y1179" s="241"/>
      <c r="Z1179" s="241"/>
      <c r="AA1179" s="241"/>
      <c r="AB1179" s="241"/>
      <c r="AC1179" s="241"/>
      <c r="AD1179" s="241"/>
      <c r="AE1179" s="241"/>
      <c r="AF1179" s="241"/>
      <c r="AG1179" s="241"/>
      <c r="AH1179" s="241"/>
      <c r="AI1179" s="241"/>
      <c r="AJ1179" s="242"/>
    </row>
    <row r="1180" hidden="1">
      <c r="A1180" s="241"/>
      <c r="B1180" s="241"/>
      <c r="C1180" s="241"/>
      <c r="D1180" s="241"/>
      <c r="E1180" s="241"/>
      <c r="F1180" s="241"/>
      <c r="G1180" s="241"/>
      <c r="H1180" s="241"/>
      <c r="I1180" s="241"/>
      <c r="J1180" s="241"/>
      <c r="K1180" s="241"/>
      <c r="L1180" s="242"/>
      <c r="M1180" s="241"/>
      <c r="N1180" s="241"/>
      <c r="O1180" s="241"/>
      <c r="P1180" s="241"/>
      <c r="Q1180" s="241"/>
      <c r="R1180" s="241"/>
      <c r="S1180" s="241"/>
      <c r="T1180" s="241"/>
      <c r="U1180" s="241"/>
      <c r="V1180" s="241"/>
      <c r="W1180" s="241"/>
      <c r="X1180" s="242"/>
      <c r="Y1180" s="241"/>
      <c r="Z1180" s="241"/>
      <c r="AA1180" s="241"/>
      <c r="AB1180" s="241"/>
      <c r="AC1180" s="241"/>
      <c r="AD1180" s="241"/>
      <c r="AE1180" s="241"/>
      <c r="AF1180" s="241"/>
      <c r="AG1180" s="241"/>
      <c r="AH1180" s="241"/>
      <c r="AI1180" s="241"/>
      <c r="AJ1180" s="242"/>
    </row>
    <row r="1181" hidden="1">
      <c r="A1181" s="241"/>
      <c r="B1181" s="241"/>
      <c r="C1181" s="241"/>
      <c r="D1181" s="241"/>
      <c r="E1181" s="241"/>
      <c r="F1181" s="241"/>
      <c r="G1181" s="241"/>
      <c r="H1181" s="241"/>
      <c r="I1181" s="241"/>
      <c r="J1181" s="241"/>
      <c r="K1181" s="241"/>
      <c r="L1181" s="242"/>
      <c r="M1181" s="241"/>
      <c r="N1181" s="241"/>
      <c r="O1181" s="241"/>
      <c r="P1181" s="241"/>
      <c r="Q1181" s="241"/>
      <c r="R1181" s="241"/>
      <c r="S1181" s="241"/>
      <c r="T1181" s="241"/>
      <c r="U1181" s="241"/>
      <c r="V1181" s="241"/>
      <c r="W1181" s="241"/>
      <c r="X1181" s="242"/>
      <c r="Y1181" s="241"/>
      <c r="Z1181" s="241"/>
      <c r="AA1181" s="241"/>
      <c r="AB1181" s="241"/>
      <c r="AC1181" s="241"/>
      <c r="AD1181" s="241"/>
      <c r="AE1181" s="241"/>
      <c r="AF1181" s="241"/>
      <c r="AG1181" s="241"/>
      <c r="AH1181" s="241"/>
      <c r="AI1181" s="241"/>
      <c r="AJ1181" s="242"/>
    </row>
    <row r="1182" hidden="1">
      <c r="A1182" s="241"/>
      <c r="B1182" s="241"/>
      <c r="C1182" s="241"/>
      <c r="D1182" s="241"/>
      <c r="E1182" s="241"/>
      <c r="F1182" s="241"/>
      <c r="G1182" s="241"/>
      <c r="H1182" s="241"/>
      <c r="I1182" s="241"/>
      <c r="J1182" s="241"/>
      <c r="K1182" s="241"/>
      <c r="L1182" s="242"/>
      <c r="M1182" s="241"/>
      <c r="N1182" s="241"/>
      <c r="O1182" s="241"/>
      <c r="P1182" s="241"/>
      <c r="Q1182" s="241"/>
      <c r="R1182" s="241"/>
      <c r="S1182" s="241"/>
      <c r="T1182" s="241"/>
      <c r="U1182" s="241"/>
      <c r="V1182" s="241"/>
      <c r="W1182" s="241"/>
      <c r="X1182" s="242"/>
      <c r="Y1182" s="241"/>
      <c r="Z1182" s="241"/>
      <c r="AA1182" s="241"/>
      <c r="AB1182" s="241"/>
      <c r="AC1182" s="241"/>
      <c r="AD1182" s="241"/>
      <c r="AE1182" s="241"/>
      <c r="AF1182" s="241"/>
      <c r="AG1182" s="241"/>
      <c r="AH1182" s="241"/>
      <c r="AI1182" s="241"/>
      <c r="AJ1182" s="242"/>
    </row>
    <row r="1183" hidden="1">
      <c r="A1183" s="241"/>
      <c r="B1183" s="241"/>
      <c r="C1183" s="241"/>
      <c r="D1183" s="241"/>
      <c r="E1183" s="241"/>
      <c r="F1183" s="241"/>
      <c r="G1183" s="241"/>
      <c r="H1183" s="241"/>
      <c r="I1183" s="241"/>
      <c r="J1183" s="241"/>
      <c r="K1183" s="241"/>
      <c r="L1183" s="242"/>
      <c r="M1183" s="241"/>
      <c r="N1183" s="241"/>
      <c r="O1183" s="241"/>
      <c r="P1183" s="241"/>
      <c r="Q1183" s="241"/>
      <c r="R1183" s="241"/>
      <c r="S1183" s="241"/>
      <c r="T1183" s="241"/>
      <c r="U1183" s="241"/>
      <c r="V1183" s="241"/>
      <c r="W1183" s="241"/>
      <c r="X1183" s="242"/>
      <c r="Y1183" s="241"/>
      <c r="Z1183" s="241"/>
      <c r="AA1183" s="241"/>
      <c r="AB1183" s="241"/>
      <c r="AC1183" s="241"/>
      <c r="AD1183" s="241"/>
      <c r="AE1183" s="241"/>
      <c r="AF1183" s="241"/>
      <c r="AG1183" s="241"/>
      <c r="AH1183" s="241"/>
      <c r="AI1183" s="241"/>
      <c r="AJ1183" s="242"/>
    </row>
    <row r="1184" hidden="1">
      <c r="A1184" s="241"/>
      <c r="B1184" s="241"/>
      <c r="C1184" s="241"/>
      <c r="D1184" s="241"/>
      <c r="E1184" s="241"/>
      <c r="F1184" s="241"/>
      <c r="G1184" s="241"/>
      <c r="H1184" s="241"/>
      <c r="I1184" s="241"/>
      <c r="J1184" s="241"/>
      <c r="K1184" s="241"/>
      <c r="L1184" s="242"/>
      <c r="M1184" s="241"/>
      <c r="N1184" s="241"/>
      <c r="O1184" s="241"/>
      <c r="P1184" s="241"/>
      <c r="Q1184" s="241"/>
      <c r="R1184" s="241"/>
      <c r="S1184" s="241"/>
      <c r="T1184" s="241"/>
      <c r="U1184" s="241"/>
      <c r="V1184" s="241"/>
      <c r="W1184" s="241"/>
      <c r="X1184" s="242"/>
      <c r="Y1184" s="241"/>
      <c r="Z1184" s="241"/>
      <c r="AA1184" s="241"/>
      <c r="AB1184" s="241"/>
      <c r="AC1184" s="241"/>
      <c r="AD1184" s="241"/>
      <c r="AE1184" s="241"/>
      <c r="AF1184" s="241"/>
      <c r="AG1184" s="241"/>
      <c r="AH1184" s="241"/>
      <c r="AI1184" s="241"/>
      <c r="AJ1184" s="242"/>
    </row>
    <row r="1185" hidden="1">
      <c r="A1185" s="241"/>
      <c r="B1185" s="241"/>
      <c r="C1185" s="241"/>
      <c r="D1185" s="241"/>
      <c r="E1185" s="241"/>
      <c r="F1185" s="241"/>
      <c r="G1185" s="241"/>
      <c r="H1185" s="241"/>
      <c r="I1185" s="241"/>
      <c r="J1185" s="241"/>
      <c r="K1185" s="241"/>
      <c r="L1185" s="242"/>
      <c r="M1185" s="241"/>
      <c r="N1185" s="241"/>
      <c r="O1185" s="241"/>
      <c r="P1185" s="241"/>
      <c r="Q1185" s="241"/>
      <c r="R1185" s="241"/>
      <c r="S1185" s="241"/>
      <c r="T1185" s="241"/>
      <c r="U1185" s="241"/>
      <c r="V1185" s="241"/>
      <c r="W1185" s="241"/>
      <c r="X1185" s="242"/>
      <c r="Y1185" s="241"/>
      <c r="Z1185" s="241"/>
      <c r="AA1185" s="241"/>
      <c r="AB1185" s="241"/>
      <c r="AC1185" s="241"/>
      <c r="AD1185" s="241"/>
      <c r="AE1185" s="241"/>
      <c r="AF1185" s="241"/>
      <c r="AG1185" s="241"/>
      <c r="AH1185" s="241"/>
      <c r="AI1185" s="241"/>
      <c r="AJ1185" s="242"/>
    </row>
    <row r="1186" hidden="1">
      <c r="A1186" s="241"/>
      <c r="B1186" s="241"/>
      <c r="C1186" s="241"/>
      <c r="D1186" s="241"/>
      <c r="E1186" s="241"/>
      <c r="F1186" s="241"/>
      <c r="G1186" s="241"/>
      <c r="H1186" s="241"/>
      <c r="I1186" s="241"/>
      <c r="J1186" s="241"/>
      <c r="K1186" s="241"/>
      <c r="L1186" s="242"/>
      <c r="M1186" s="241"/>
      <c r="N1186" s="241"/>
      <c r="O1186" s="241"/>
      <c r="P1186" s="241"/>
      <c r="Q1186" s="241"/>
      <c r="R1186" s="241"/>
      <c r="S1186" s="241"/>
      <c r="T1186" s="241"/>
      <c r="U1186" s="241"/>
      <c r="V1186" s="241"/>
      <c r="W1186" s="241"/>
      <c r="X1186" s="242"/>
      <c r="Y1186" s="241"/>
      <c r="Z1186" s="241"/>
      <c r="AA1186" s="241"/>
      <c r="AB1186" s="241"/>
      <c r="AC1186" s="241"/>
      <c r="AD1186" s="241"/>
      <c r="AE1186" s="241"/>
      <c r="AF1186" s="241"/>
      <c r="AG1186" s="241"/>
      <c r="AH1186" s="241"/>
      <c r="AI1186" s="241"/>
      <c r="AJ1186" s="242"/>
    </row>
    <row r="1187" hidden="1">
      <c r="A1187" s="241"/>
      <c r="B1187" s="241"/>
      <c r="C1187" s="241"/>
      <c r="D1187" s="241"/>
      <c r="E1187" s="241"/>
      <c r="F1187" s="241"/>
      <c r="G1187" s="241"/>
      <c r="H1187" s="241"/>
      <c r="I1187" s="241"/>
      <c r="J1187" s="241"/>
      <c r="K1187" s="241"/>
      <c r="L1187" s="242"/>
      <c r="M1187" s="241"/>
      <c r="N1187" s="241"/>
      <c r="O1187" s="241"/>
      <c r="P1187" s="241"/>
      <c r="Q1187" s="241"/>
      <c r="R1187" s="241"/>
      <c r="S1187" s="241"/>
      <c r="T1187" s="241"/>
      <c r="U1187" s="241"/>
      <c r="V1187" s="241"/>
      <c r="W1187" s="241"/>
      <c r="X1187" s="242"/>
      <c r="Y1187" s="241"/>
      <c r="Z1187" s="241"/>
      <c r="AA1187" s="241"/>
      <c r="AB1187" s="241"/>
      <c r="AC1187" s="241"/>
      <c r="AD1187" s="241"/>
      <c r="AE1187" s="241"/>
      <c r="AF1187" s="241"/>
      <c r="AG1187" s="241"/>
      <c r="AH1187" s="241"/>
      <c r="AI1187" s="241"/>
      <c r="AJ1187" s="242"/>
    </row>
    <row r="1188" hidden="1">
      <c r="A1188" s="241"/>
      <c r="B1188" s="241"/>
      <c r="C1188" s="241"/>
      <c r="D1188" s="241"/>
      <c r="E1188" s="241"/>
      <c r="F1188" s="241"/>
      <c r="G1188" s="241"/>
      <c r="H1188" s="241"/>
      <c r="I1188" s="241"/>
      <c r="J1188" s="241"/>
      <c r="K1188" s="241"/>
      <c r="L1188" s="242"/>
      <c r="M1188" s="241"/>
      <c r="N1188" s="241"/>
      <c r="O1188" s="241"/>
      <c r="P1188" s="241"/>
      <c r="Q1188" s="241"/>
      <c r="R1188" s="241"/>
      <c r="S1188" s="241"/>
      <c r="T1188" s="241"/>
      <c r="U1188" s="241"/>
      <c r="V1188" s="241"/>
      <c r="W1188" s="241"/>
      <c r="X1188" s="242"/>
      <c r="Y1188" s="241"/>
      <c r="Z1188" s="241"/>
      <c r="AA1188" s="241"/>
      <c r="AB1188" s="241"/>
      <c r="AC1188" s="241"/>
      <c r="AD1188" s="241"/>
      <c r="AE1188" s="241"/>
      <c r="AF1188" s="241"/>
      <c r="AG1188" s="241"/>
      <c r="AH1188" s="241"/>
      <c r="AI1188" s="241"/>
      <c r="AJ1188" s="242"/>
    </row>
    <row r="1189" hidden="1">
      <c r="A1189" s="241"/>
      <c r="B1189" s="241"/>
      <c r="C1189" s="241"/>
      <c r="D1189" s="241"/>
      <c r="E1189" s="241"/>
      <c r="F1189" s="241"/>
      <c r="G1189" s="241"/>
      <c r="H1189" s="241"/>
      <c r="I1189" s="241"/>
      <c r="J1189" s="241"/>
      <c r="K1189" s="241"/>
      <c r="L1189" s="242"/>
      <c r="M1189" s="241"/>
      <c r="N1189" s="241"/>
      <c r="O1189" s="241"/>
      <c r="P1189" s="241"/>
      <c r="Q1189" s="241"/>
      <c r="R1189" s="241"/>
      <c r="S1189" s="241"/>
      <c r="T1189" s="241"/>
      <c r="U1189" s="241"/>
      <c r="V1189" s="241"/>
      <c r="W1189" s="241"/>
      <c r="X1189" s="242"/>
      <c r="Y1189" s="241"/>
      <c r="Z1189" s="241"/>
      <c r="AA1189" s="241"/>
      <c r="AB1189" s="241"/>
      <c r="AC1189" s="241"/>
      <c r="AD1189" s="241"/>
      <c r="AE1189" s="241"/>
      <c r="AF1189" s="241"/>
      <c r="AG1189" s="241"/>
      <c r="AH1189" s="241"/>
      <c r="AI1189" s="241"/>
      <c r="AJ1189" s="242"/>
    </row>
    <row r="1190" hidden="1">
      <c r="A1190" s="241"/>
      <c r="B1190" s="241"/>
      <c r="C1190" s="241"/>
      <c r="D1190" s="241"/>
      <c r="E1190" s="241"/>
      <c r="F1190" s="241"/>
      <c r="G1190" s="241"/>
      <c r="H1190" s="241"/>
      <c r="I1190" s="241"/>
      <c r="J1190" s="241"/>
      <c r="K1190" s="241"/>
      <c r="L1190" s="242"/>
      <c r="M1190" s="241"/>
      <c r="N1190" s="241"/>
      <c r="O1190" s="241"/>
      <c r="P1190" s="241"/>
      <c r="Q1190" s="241"/>
      <c r="R1190" s="241"/>
      <c r="S1190" s="241"/>
      <c r="T1190" s="241"/>
      <c r="U1190" s="241"/>
      <c r="V1190" s="241"/>
      <c r="W1190" s="241"/>
      <c r="X1190" s="242"/>
      <c r="Y1190" s="241"/>
      <c r="Z1190" s="241"/>
      <c r="AA1190" s="241"/>
      <c r="AB1190" s="241"/>
      <c r="AC1190" s="241"/>
      <c r="AD1190" s="241"/>
      <c r="AE1190" s="241"/>
      <c r="AF1190" s="241"/>
      <c r="AG1190" s="241"/>
      <c r="AH1190" s="241"/>
      <c r="AI1190" s="241"/>
      <c r="AJ1190" s="242"/>
    </row>
    <row r="1191">
      <c r="A1191" s="242"/>
      <c r="B1191" s="242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2"/>
      <c r="P1191" s="242"/>
      <c r="Q1191" s="242"/>
      <c r="R1191" s="242"/>
      <c r="S1191" s="242"/>
      <c r="T1191" s="242"/>
      <c r="U1191" s="242"/>
      <c r="V1191" s="242"/>
      <c r="W1191" s="242"/>
      <c r="X1191" s="242"/>
      <c r="Y1191" s="242"/>
      <c r="Z1191" s="242"/>
      <c r="AA1191" s="242"/>
      <c r="AB1191" s="242"/>
      <c r="AC1191" s="242"/>
      <c r="AD1191" s="242"/>
      <c r="AE1191" s="242"/>
      <c r="AF1191" s="242"/>
      <c r="AG1191" s="242"/>
      <c r="AH1191" s="242"/>
      <c r="AI1191" s="242"/>
      <c r="AJ1191" s="242"/>
    </row>
    <row r="1192">
      <c r="A1192" s="241" t="str">
        <f>IFERROR(__xludf.DUMMYFUNCTION("if('Time 4'!C3 = ""Albert"", query(IMPORTRANGE(cd_planilha, ""Armas!B3:G""), ""Select Col1 Where Col2 = '""&amp;Personagem!$B$17&amp;""' or Col2 = '""&amp;Personagem!$B$18&amp;""'""),     
if('Time 4'!C3 = ""Alicia"", query(IMPORTRANGE(cd_planilha, ""Armas!B3:G""), ""Sel"&amp;"ect Col1 Where Col2 = '""&amp;Personagem!$C$17&amp;""' or Col2 = '""&amp;Personagem!$C$18&amp;""'""),
if('Time 4'!C3 = ""Azula"", query(IMPORTRANGE(cd_planilha, ""Armas!B3:G""), ""Select Col1 Where Col2 = '""&amp;Personagem!$D$17&amp;""' or Col2 = '""&amp;Personagem!$D$18&amp;""' ""),
i"&amp;"f('Time 4'!C3 = ""Charles"", query(IMPORTRANGE(cd_planilha, ""Armas!B3:G""), ""Select Col1 Where Col2 = '""&amp;Personagem!$E$17&amp;""' or Col2 = '""&amp;Personagem!$E$18&amp;""'""),
if('Time 4'!C3 = ""Clovis"", query(IMPORTRANGE(cd_planilha, ""Armas!B3:G""), ""Select C"&amp;"ol1 Where Col2 = '""&amp;Personagem!$F$17&amp;""' or Col2 = '""&amp;Personagem!$F$18&amp;""' ""),
if('Time 4'!C3 = ""Darthos"", query(IMPORTRANGE(cd_planilha, ""Armas!B3:G""), ""Select Col1 Where Col2 = '""&amp;Personagem!$G$17&amp;""' or Col2 = '""&amp;Personagem!$G$18&amp;""'""),
if('"&amp;"Time 4'!C3 = ""Edward"", query(IMPORTRANGE(cd_planilha, ""Armas!B3:G""), ""Select Col1 Where Col2 = '""&amp;Personagem!$H$17&amp;""' or Col2 = '""&amp;Personagem!$H$18&amp;""' ""),
if('Time 4'!C3 = ""Fiora"", query(IMPORTRANGE(cd_planilha, ""Armas!B3:G""), ""Select Col1 "&amp;"Where Col2 = '""&amp;Personagem!$I$17&amp;""' or Col2 = '""&amp;Personagem!$I$18&amp;""' ""),
if('Time 4'!C3 = ""Francesca"", query(IMPORTRANGE(cd_planilha, ""Armas!B3:G""), ""Select Col1 Where Col2 = '""&amp;Personagem!$J$17&amp;""' or Col2 = '""&amp;Personagem!$J$18&amp;""'""),
if('Ti"&amp;"me 4'!C3 = ""Garreth"", query(IMPORTRANGE(cd_planilha, ""Armas!B3:G""), ""Select Col1 Where Col2 = '""&amp;Personagem!$K$17&amp;""' or Col2 = '""&amp;Personagem!$K$18&amp;""'""),
if('Time 4'!C3 = ""Gauvin"", query(IMPORTRANGE(cd_planilha, ""Armas!B3:G""), ""Select Col1 W"&amp;"here Col2 = '""&amp;Personagem!$L$17&amp;""' or Col2 = '""&amp;Personagem!$L$18&amp;""' ""),
if('Time 4'!C3 = ""Irene"", query(IMPORTRANGE(cd_planilha, ""Armas!B3:G""), ""Select Col1 Where Col2 = '""&amp;Personagem!$M$17&amp;""' or Col2 = '""&amp;Personagem!$M$18&amp;""' ""),
if('Time 4"&amp;"'!C3 = ""Karal"", query(IMPORTRANGE(cd_planilha, ""Armas!B3:G""), ""Select Col1 Where Col2 = '""&amp;Personagem!$N$17&amp;""' or Col2 = '""&amp;Personagem!$N$18&amp;""' ""),
if('Time 4'!C3 = ""Kuro Shobi"", query(IMPORTRANGE(cd_planilha, ""Armas!B3:G""), ""Select Col1 Wh"&amp;"ere Col2 = '""&amp;Personagem!$O$17&amp;""' or Col2 = '""&amp;Personagem!$O$18&amp;""'""),
if('Time 4'!C3 = ""Kurul"", query(IMPORTRANGE(cd_planilha, ""Armas!B3:G""), ""Select Col1 Where Col2 = '""&amp;Personagem!$P$17&amp;""' or Col2 = '""&amp;Personagem!$P$18&amp;""' ""),
if('Time 4'!"&amp;"C3 = ""Lancaster"", query(IMPORTRANGE(cd_planilha, ""Armas!B3:G""), ""Select Col1 Where Col2 = '""&amp;Personagem!$Q$17&amp;""' or Col2 = '""&amp;Personagem!$Q$18&amp;""'""),
if('Time 4'!C3 = ""Lorelei"", query(IMPORTRANGE(cd_planilha, ""Armas!B3:G""), ""Select Col1 Wher"&amp;"e Col2 = '""&amp;Personagem!$R$17&amp;""' or Col2 = '""&amp;Personagem!$R$18&amp;""' ""),
if('Time 4'!C3 = ""Louca"", query(IMPORTRANGE(cd_planilha, ""Armas!B3:G""), ""Select Col1 Where Col2 = '""&amp;Personagem!$S$17&amp;""' or Col2 = '""&amp;Personagem!$S$18&amp;""' ""),
if('Time 4'!C"&amp;"3 = ""Melina"", query(IMPORTRANGE(cd_planilha, ""Armas!B3:G""), ""Select Col1 Where Col2 = '""&amp;Personagem!$T$17&amp;""' or Col2 = '""&amp;Personagem!$T$18&amp;""'""),
if('Time 4'!C3 = ""Mila"", query(IMPORTRANGE(cd_planilha, ""Armas!B3:G""), ""Select Col1 Where Col2 "&amp;"= '""&amp;Personagem!$U$17&amp;""' or Col2 = '""&amp;Personagem!$U$18&amp;""' ""),
if('Time 4'!C3 = ""Minh"", query(IMPORTRANGE(cd_planilha, ""Armas!B3:G""), ""Select Col1 Where Col2 = '""&amp;Personagem!$V$17&amp;""' or Col2 = '""&amp;Personagem!$V$18&amp;""' ""),
if('Time 4'!C3 = ""Mo"&amp;"jian"", query(IMPORTRANGE(cd_planilha, ""Armas!B3:G""), ""Select Col1 Where Col2 = '""&amp;Personagem!$W$17&amp;""' or Col2 = '""&amp;Personagem!$W$18&amp;""'""),
if('Time 4'!C3 = ""Nya"", query(IMPORTRANGE(cd_planilha, ""Armas!B3:G""), ""Select Col1 Where Col2 = '""&amp;Per"&amp;"sonagem!$X$17&amp;""' or Col2 = '""&amp;Personagem!$X$18&amp;""' ""),
if('Time 4'!C3 = ""Odette"", query(IMPORTRANGE(cd_planilha, ""Armas!B3:G""), ""Select Col1 Where Col2 = '""&amp;Personagem!$Y$17&amp;""' or Col2 = '""&amp;Personagem!$Y$18&amp;""'""),
if('Time 4'!C3 = ""Oneira"", "&amp;"query(IMPORTRANGE(cd_planilha, ""Armas!B3:G""), ""Select Col1 Where Col2 = '""&amp;Personagem!$Z$17&amp;""' or Col2 = '""&amp;Personagem!$Z$18&amp;""' ""),
if('Time 4'!C3 = ""Palash"", query(IMPORTRANGE(cd_planilha, ""Armas!B3:G""), ""Select Col1 Where Col2 = '""&amp;Persona"&amp;"gem!$AA$17&amp;""' or Col2 = '""&amp;Personagem!$AA$18&amp;""'""),
if('Time 4'!C3 = ""Theor"", query(IMPORTRANGE(cd_planilha, ""Armas!B3:G""), ""Select Col1 Where Col2 = '""&amp;Personagem!$AB$17&amp;""' or Col2 = '""&amp;Personagem!$AB$18&amp;""' ""),
if('Time 4'!C3 = ""Yue"", quer"&amp;"y(IMPORTRANGE(cd_planilha, ""Armas!B3:G""), ""Select Col1 Where Col2 = '""&amp;Personagem!$AC$17&amp;""' or Col2 = '""&amp;Personagem!$AC$18&amp;""'""
)))))))))))))))))))))))))))))"),"Agulhas Envenenadas")</f>
        <v>Agulhas Envenenadas</v>
      </c>
      <c r="B1192" s="241"/>
      <c r="C1192" s="241" t="str">
        <f>IFERROR(__xludf.DUMMYFUNCTION("if('Time 4'!C4 = ""Albert"", query(IMPORTRANGE(cd_planilha, ""Armas!B3:G""), ""Select Col1 Where Col2 = '""&amp;Personagem!$B$17&amp;""' or Col2 = '""&amp;Personagem!$B$18&amp;""'""),     
if('Time 4'!C4 = ""Alicia"", query(IMPORTRANGE(cd_planilha, ""Armas!B3:G""), ""Sel"&amp;"ect Col1 Where Col2 = '""&amp;Personagem!$C$17&amp;""' or Col2 = '""&amp;Personagem!$C$18&amp;""'""),
if('Time 4'!C4 = ""Azula"", query(IMPORTRANGE(cd_planilha, ""Armas!B3:G""), ""Select Col1 Where Col2 = '""&amp;Personagem!$D$17&amp;""' or Col2 = '""&amp;Personagem!$D$18&amp;""' ""),
i"&amp;"f('Time 4'!C4 = ""Charles"", query(IMPORTRANGE(cd_planilha, ""Armas!B3:G""), ""Select Col1 Where Col2 = '""&amp;Personagem!$E$17&amp;""' or Col2 = '""&amp;Personagem!$E$18&amp;""'""),
if('Time 4'!C4 = ""Clovis"", query(IMPORTRANGE(cd_planilha, ""Armas!B3:G""), ""Select C"&amp;"ol1 Where Col2 = '""&amp;Personagem!$F$17&amp;""' or Col2 = '""&amp;Personagem!$F$18&amp;""' ""),
if('Time 4'!C4 = ""Darthos"", query(IMPORTRANGE(cd_planilha, ""Armas!B3:G""), ""Select Col1 Where Col2 = '""&amp;Personagem!$G$17&amp;""' or Col2 = '""&amp;Personagem!$G$18&amp;""'""),
if('"&amp;"Time 4'!C4 = ""Edward"", query(IMPORTRANGE(cd_planilha, ""Armas!B3:G""), ""Select Col1 Where Col2 = '""&amp;Personagem!$H$17&amp;""' or Col2 = '""&amp;Personagem!$H$18&amp;""' ""),
if('Time 4'!C4 = ""Fiora"", query(IMPORTRANGE(cd_planilha, ""Armas!B3:G""), ""Select Col1 "&amp;"Where Col2 = '""&amp;Personagem!$I$17&amp;""' or Col2 = '""&amp;Personagem!$I$18&amp;""' ""),
if('Time 4'!C4 = ""Francesca"", query(IMPORTRANGE(cd_planilha, ""Armas!B3:G""), ""Select Col1 Where Col2 = '""&amp;Personagem!$J$17&amp;""' or Col2 = '""&amp;Personagem!$J$18&amp;""'""),
if('Ti"&amp;"me 4'!C4 = ""Garreth"", query(IMPORTRANGE(cd_planilha, ""Armas!B3:G""), ""Select Col1 Where Col2 = '""&amp;Personagem!$K$17&amp;""' or Col2 = '""&amp;Personagem!$K$18&amp;""'""),
if('Time 4'!C4 = ""Gauvin"", query(IMPORTRANGE(cd_planilha, ""Armas!B3:G""), ""Select Col1 W"&amp;"here Col2 = '""&amp;Personagem!$L$17&amp;""' or Col2 = '""&amp;Personagem!$L$18&amp;""' ""),
if('Time 4'!C4 = ""Irene"", query(IMPORTRANGE(cd_planilha, ""Armas!B3:G""), ""Select Col1 Where Col2 = '""&amp;Personagem!$M$17&amp;""' or Col2 = '""&amp;Personagem!$M$18&amp;""' ""),
if('Time 4"&amp;"'!C4 = ""Karal"", query(IMPORTRANGE(cd_planilha, ""Armas!B3:G""), ""Select Col1 Where Col2 = '""&amp;Personagem!$N$17&amp;""' or Col2 = '""&amp;Personagem!$N$18&amp;""' ""),
if('Time 4'!C4 = ""Kuro Shobi"", query(IMPORTRANGE(cd_planilha, ""Armas!B3:G""), ""Select Col1 Wh"&amp;"ere Col2 = '""&amp;Personagem!$O$17&amp;""' or Col2 = '""&amp;Personagem!$O$18&amp;""'""),
if('Time 4'!C4 = ""Kurul"", query(IMPORTRANGE(cd_planilha, ""Armas!B3:G""), ""Select Col1 Where Col2 = '""&amp;Personagem!$P$17&amp;""' or Col2 = '""&amp;Personagem!$P$18&amp;""' ""),
if('Time 4'!"&amp;"C4 = ""Lancaster"", query(IMPORTRANGE(cd_planilha, ""Armas!B3:G""), ""Select Col1 Where Col2 = '""&amp;Personagem!$Q$17&amp;""' or Col2 = '""&amp;Personagem!$Q$18&amp;""'""),
if('Time 4'!C4 = ""Lorelei"", query(IMPORTRANGE(cd_planilha, ""Armas!B3:G""), ""Select Col1 Wher"&amp;"e Col2 = '""&amp;Personagem!$R$17&amp;""' or Col2 = '""&amp;Personagem!$R$18&amp;""' ""),
if('Time 4'!C4 = ""Louca"", query(IMPORTRANGE(cd_planilha, ""Armas!B3:G""), ""Select Col1 Where Col2 = '""&amp;Personagem!$S$17&amp;""' or Col2 = '""&amp;Personagem!$S$18&amp;""' ""),
if('Time 4'!C"&amp;"4 = ""Melina"", query(IMPORTRANGE(cd_planilha, ""Armas!B3:G""), ""Select Col1 Where Col2 = '""&amp;Personagem!$T$17&amp;""' or Col2 = '""&amp;Personagem!$T$18&amp;""'""),
if('Time 4'!C4 = ""Mila"", query(IMPORTRANGE(cd_planilha, ""Armas!B3:G""), ""Select Col1 Where Col2 "&amp;"= '""&amp;Personagem!$U$17&amp;""' or Col2 = '""&amp;Personagem!$U$18&amp;""' ""),
if('Time 4'!C4 = ""Minh"", query(IMPORTRANGE(cd_planilha, ""Armas!B3:G""), ""Select Col1 Where Col2 = '""&amp;Personagem!$V$17&amp;""' or Col2 = '""&amp;Personagem!$V$18&amp;""' ""),
if('Time 4'!C4 = ""Mo"&amp;"jian"", query(IMPORTRANGE(cd_planilha, ""Armas!B3:G""), ""Select Col1 Where Col2 = '""&amp;Personagem!$W$17&amp;""' or Col2 = '""&amp;Personagem!$W$18&amp;""'""),
if('Time 4'!C4 = ""Nya"", query(IMPORTRANGE(cd_planilha, ""Armas!B3:G""), ""Select Col1 Where Col2 = '""&amp;Per"&amp;"sonagem!$X$17&amp;""' or Col2 = '""&amp;Personagem!$X$18&amp;""' ""),
if('Time 4'!C4 = ""Odette"", query(IMPORTRANGE(cd_planilha, ""Armas!B3:G""), ""Select Col1 Where Col2 = '""&amp;Personagem!$Y$17&amp;""' or Col2 = '""&amp;Personagem!$Y$18&amp;""'""),
if('Time 4'!C4 = ""Oneira"", "&amp;"query(IMPORTRANGE(cd_planilha, ""Armas!B3:G""), ""Select Col1 Where Col2 = '""&amp;Personagem!$Z$17&amp;""' or Col2 = '""&amp;Personagem!$Z$18&amp;""' ""),
if('Time 4'!C4 = ""Palash"", query(IMPORTRANGE(cd_planilha, ""Armas!B3:G""), ""Select Col1 Where Col2 = '""&amp;Persona"&amp;"gem!$AA$17&amp;""' or Col2 = '""&amp;Personagem!$AA$18&amp;""'""),
if('Time 4'!C4 = ""Theor"", query(IMPORTRANGE(cd_planilha, ""Armas!B3:G""), ""Select Col1 Where Col2 = '""&amp;Personagem!$AB$17&amp;""' or Col2 = '""&amp;Personagem!$AB$18&amp;""' ""),
if('Time 4'!C4 = ""Yue"", quer"&amp;"y(IMPORTRANGE(cd_planilha, ""Armas!B3:G""), ""Select Col1 Where Col2 = '""&amp;Personagem!$AC$17&amp;""' or Col2 = '""&amp;Personagem!$AC$18&amp;""'""
)))))))))))))))))))))))))))))"),"Totem da Dor")</f>
        <v>Totem da Dor</v>
      </c>
      <c r="D1192" s="241"/>
      <c r="E1192" s="241" t="str">
        <f>IFERROR(__xludf.DUMMYFUNCTION("if('Time 4'!C5 = ""Albert"", query(IMPORTRANGE(cd_planilha, ""Armas!B3:G""), ""Select Col1 Where Col2 = '""&amp;Personagem!$B$17&amp;""' or Col2 = '""&amp;Personagem!$B$18&amp;""'""),     
if('Time 4'!C5 = ""Alicia"", query(IMPORTRANGE(cd_planilha, ""Armas!B3:G""), ""Sel"&amp;"ect Col1 Where Col2 = '""&amp;Personagem!$C$17&amp;""' or Col2 = '""&amp;Personagem!$C$18&amp;""'""),
if('Time 4'!C5 = ""Azula"", query(IMPORTRANGE(cd_planilha, ""Armas!B3:G""), ""Select Col1 Where Col2 = '""&amp;Personagem!$D$17&amp;""' or Col2 = '""&amp;Personagem!$D$18&amp;""' ""),
i"&amp;"f('Time 4'!C5 = ""Charles"", query(IMPORTRANGE(cd_planilha, ""Armas!B3:G""), ""Select Col1 Where Col2 = '""&amp;Personagem!$E$17&amp;""' or Col2 = '""&amp;Personagem!$E$18&amp;""'""),
if('Time 4'!C5 = ""Clovis"", query(IMPORTRANGE(cd_planilha, ""Armas!B3:G""), ""Select C"&amp;"ol1 Where Col2 = '""&amp;Personagem!$F$17&amp;""' or Col2 = '""&amp;Personagem!$F$18&amp;""' ""),
if('Time 4'!C5 = ""Darthos"", query(IMPORTRANGE(cd_planilha, ""Armas!B3:G""), ""Select Col1 Where Col2 = '""&amp;Personagem!$G$17&amp;""' or Col2 = '""&amp;Personagem!$G$18&amp;""'""),
if('"&amp;"Time 4'!C5 = ""Edward"", query(IMPORTRANGE(cd_planilha, ""Armas!B3:G""), ""Select Col1 Where Col2 = '""&amp;Personagem!$H$17&amp;""' or Col2 = '""&amp;Personagem!$H$18&amp;""' ""),
if('Time 4'!C5 = ""Fiora"", query(IMPORTRANGE(cd_planilha, ""Armas!B3:G""), ""Select Col1 "&amp;"Where Col2 = '""&amp;Personagem!$I$17&amp;""' or Col2 = '""&amp;Personagem!$I$18&amp;""' ""),
if('Time 4'!C5 = ""Francesca"", query(IMPORTRANGE(cd_planilha, ""Armas!B3:G""), ""Select Col1 Where Col2 = '""&amp;Personagem!$J$17&amp;""' or Col2 = '""&amp;Personagem!$J$18&amp;""'""),
if('Ti"&amp;"me 4'!C5 = ""Garreth"", query(IMPORTRANGE(cd_planilha, ""Armas!B3:G""), ""Select Col1 Where Col2 = '""&amp;Personagem!$K$17&amp;""' or Col2 = '""&amp;Personagem!$K$18&amp;""'""),
if('Time 4'!C5 = ""Gauvin"", query(IMPORTRANGE(cd_planilha, ""Armas!B3:G""), ""Select Col1 W"&amp;"here Col2 = '""&amp;Personagem!$L$17&amp;""' or Col2 = '""&amp;Personagem!$L$18&amp;""' ""),
if('Time 4'!C5 = ""Irene"", query(IMPORTRANGE(cd_planilha, ""Armas!B3:G""), ""Select Col1 Where Col2 = '""&amp;Personagem!$M$17&amp;""' or Col2 = '""&amp;Personagem!$M$18&amp;""' ""),
if('Time 4"&amp;"'!C5 = ""Karal"", query(IMPORTRANGE(cd_planilha, ""Armas!B3:G""), ""Select Col1 Where Col2 = '""&amp;Personagem!$N$17&amp;""' or Col2 = '""&amp;Personagem!$N$18&amp;""' ""),
if('Time 4'!C5 = ""Kuro Shobi"", query(IMPORTRANGE(cd_planilha, ""Armas!B3:G""), ""Select Col1 Wh"&amp;"ere Col2 = '""&amp;Personagem!$O$17&amp;""' or Col2 = '""&amp;Personagem!$O$18&amp;""'""),
if('Time 4'!C5 = ""Kurul"", query(IMPORTRANGE(cd_planilha, ""Armas!B3:G""), ""Select Col1 Where Col2 = '""&amp;Personagem!$P$17&amp;""' or Col2 = '""&amp;Personagem!$P$18&amp;""' ""),
if('Time 4'!"&amp;"C5 = ""Lancaster"", query(IMPORTRANGE(cd_planilha, ""Armas!B3:G""), ""Select Col1 Where Col2 = '""&amp;Personagem!$Q$17&amp;""' or Col2 = '""&amp;Personagem!$Q$18&amp;""'""),
if('Time 4'!C5 = ""Lorelei"", query(IMPORTRANGE(cd_planilha, ""Armas!B3:G""), ""Select Col1 Wher"&amp;"e Col2 = '""&amp;Personagem!$R$17&amp;""' or Col2 = '""&amp;Personagem!$R$18&amp;""' ""),
if('Time 4'!C5 = ""Louca"", query(IMPORTRANGE(cd_planilha, ""Armas!B3:G""), ""Select Col1 Where Col2 = '""&amp;Personagem!$S$17&amp;""' or Col2 = '""&amp;Personagem!$S$18&amp;""' ""),
if('Time 4'!C"&amp;"5 = ""Melina"", query(IMPORTRANGE(cd_planilha, ""Armas!B3:G""), ""Select Col1 Where Col2 = '""&amp;Personagem!$T$17&amp;""' or Col2 = '""&amp;Personagem!$T$18&amp;""'""),
if('Time 4'!C5 = ""Mila"", query(IMPORTRANGE(cd_planilha, ""Armas!B3:G""), ""Select Col1 Where Col2 "&amp;"= '""&amp;Personagem!$U$17&amp;""' or Col2 = '""&amp;Personagem!$U$18&amp;""' ""),
if('Time 4'!C5 = ""Minh"", query(IMPORTRANGE(cd_planilha, ""Armas!B3:G""), ""Select Col1 Where Col2 = '""&amp;Personagem!$V$17&amp;""' or Col2 = '""&amp;Personagem!$V$18&amp;""' ""),
if('Time 4'!C5 = ""Mo"&amp;"jian"", query(IMPORTRANGE(cd_planilha, ""Armas!B3:G""), ""Select Col1 Where Col2 = '""&amp;Personagem!$W$17&amp;""' or Col2 = '""&amp;Personagem!$W$18&amp;""'""),
if('Time 4'!C5 = ""Nya"", query(IMPORTRANGE(cd_planilha, ""Armas!B3:G""), ""Select Col1 Where Col2 = '""&amp;Per"&amp;"sonagem!$X$17&amp;""' or Col2 = '""&amp;Personagem!$X$18&amp;""' ""),
if('Time 4'!C5 = ""Odette"", query(IMPORTRANGE(cd_planilha, ""Armas!B3:G""), ""Select Col1 Where Col2 = '""&amp;Personagem!$Y$17&amp;""' or Col2 = '""&amp;Personagem!$Y$18&amp;""'""),
if('Time 4'!C5 = ""Oneira"", "&amp;"query(IMPORTRANGE(cd_planilha, ""Armas!B3:G""), ""Select Col1 Where Col2 = '""&amp;Personagem!$Z$17&amp;""' or Col2 = '""&amp;Personagem!$Z$18&amp;""' ""),
if('Time 4'!C5 = ""Palash"", query(IMPORTRANGE(cd_planilha, ""Armas!B3:G""), ""Select Col1 Where Col2 = '""&amp;Persona"&amp;"gem!$AA$17&amp;""' or Col2 = '""&amp;Personagem!$AA$18&amp;""'""),
if('Time 4'!C5 = ""Theor"", query(IMPORTRANGE(cd_planilha, ""Armas!B3:G""), ""Select Col1 Where Col2 = '""&amp;Personagem!$AB$17&amp;""' or Col2 = '""&amp;Personagem!$AB$18&amp;""' ""),
if('Time 4'!C5 = ""Yue"", quer"&amp;"y(IMPORTRANGE(cd_planilha, ""Armas!B3:G""), ""Select Col1 Where Col2 = '""&amp;Personagem!$AC$17&amp;""' or Col2 = '""&amp;Personagem!$AC$18&amp;""'""
)))))))))))))))))))))))))))))"),"Pó Colorido")</f>
        <v>Pó Colorido</v>
      </c>
      <c r="F1192" s="241"/>
      <c r="G1192" s="241" t="str">
        <f>IFERROR(__xludf.DUMMYFUNCTION("if('Time 4'!C6 = ""Albert"", query(IMPORTRANGE(cd_planilha, ""Armas!B3:G""), ""Select Col1 Where Col2 = '""&amp;Personagem!$B$17&amp;""' or Col2 = '""&amp;Personagem!$B$18&amp;""'""),     
if('Time 4'!C6 = ""Alicia"", query(IMPORTRANGE(cd_planilha, ""Armas!B3:G""), ""Sel"&amp;"ect Col1 Where Col2 = '""&amp;Personagem!$C$17&amp;""' or Col2 = '""&amp;Personagem!$C$18&amp;""'""),
if('Time 4'!C6 = ""Azula"", query(IMPORTRANGE(cd_planilha, ""Armas!B3:G""), ""Select Col1 Where Col2 = '""&amp;Personagem!$D$17&amp;""' or Col2 = '""&amp;Personagem!$D$18&amp;""' ""),
i"&amp;"f('Time 4'!C6 = ""Charles"", query(IMPORTRANGE(cd_planilha, ""Armas!B3:G""), ""Select Col1 Where Col2 = '""&amp;Personagem!$E$17&amp;""' or Col2 = '""&amp;Personagem!$E$18&amp;""'""),
if('Time 4'!C6 = ""Clovis"", query(IMPORTRANGE(cd_planilha, ""Armas!B3:G""), ""Select C"&amp;"ol1 Where Col2 = '""&amp;Personagem!$F$17&amp;""' or Col2 = '""&amp;Personagem!$F$18&amp;""' ""),
if('Time 4'!C6 = ""Darthos"", query(IMPORTRANGE(cd_planilha, ""Armas!B3:G""), ""Select Col1 Where Col2 = '""&amp;Personagem!$G$17&amp;""' or Col2 = '""&amp;Personagem!$G$18&amp;""'""),
if('"&amp;"Time 4'!C6 = ""Edward"", query(IMPORTRANGE(cd_planilha, ""Armas!B3:G""), ""Select Col1 Where Col2 = '""&amp;Personagem!$H$17&amp;""' or Col2 = '""&amp;Personagem!$H$18&amp;""' ""),
if('Time 4'!C6 = ""Fiora"", query(IMPORTRANGE(cd_planilha, ""Armas!B3:G""), ""Select Col1 "&amp;"Where Col2 = '""&amp;Personagem!$I$17&amp;""' or Col2 = '""&amp;Personagem!$I$18&amp;""' ""),
if('Time 4'!C6 = ""Francesca"", query(IMPORTRANGE(cd_planilha, ""Armas!B3:G""), ""Select Col1 Where Col2 = '""&amp;Personagem!$J$17&amp;""' or Col2 = '""&amp;Personagem!$J$18&amp;""'""),
if('Ti"&amp;"me 4'!C6 = ""Garreth"", query(IMPORTRANGE(cd_planilha, ""Armas!B3:G""), ""Select Col1 Where Col2 = '""&amp;Personagem!$K$17&amp;""' or Col2 = '""&amp;Personagem!$K$18&amp;""'""),
if('Time 4'!C6 = ""Gauvin"", query(IMPORTRANGE(cd_planilha, ""Armas!B3:G""), ""Select Col1 W"&amp;"here Col2 = '""&amp;Personagem!$L$17&amp;""' or Col2 = '""&amp;Personagem!$L$18&amp;""' ""),
if('Time 4'!C6 = ""Irene"", query(IMPORTRANGE(cd_planilha, ""Armas!B3:G""), ""Select Col1 Where Col2 = '""&amp;Personagem!$M$17&amp;""' or Col2 = '""&amp;Personagem!$M$18&amp;""' ""),
if('Time 4"&amp;"'!C6 = ""Karal"", query(IMPORTRANGE(cd_planilha, ""Armas!B3:G""), ""Select Col1 Where Col2 = '""&amp;Personagem!$N$17&amp;""' or Col2 = '""&amp;Personagem!$N$18&amp;""' ""),
if('Time 4'!C6 = ""Kuro Shobi"", query(IMPORTRANGE(cd_planilha, ""Armas!B3:G""), ""Select Col1 Wh"&amp;"ere Col2 = '""&amp;Personagem!$O$17&amp;""' or Col2 = '""&amp;Personagem!$O$18&amp;""'""),
if('Time 4'!C6 = ""Kurul"", query(IMPORTRANGE(cd_planilha, ""Armas!B3:G""), ""Select Col1 Where Col2 = '""&amp;Personagem!$P$17&amp;""' or Col2 = '""&amp;Personagem!$P$18&amp;""' ""),
if('Time 4'!"&amp;"C6 = ""Lancaster"", query(IMPORTRANGE(cd_planilha, ""Armas!B3:G""), ""Select Col1 Where Col2 = '""&amp;Personagem!$Q$17&amp;""' or Col2 = '""&amp;Personagem!$Q$18&amp;""'""),
if('Time 4'!C6 = ""Lorelei"", query(IMPORTRANGE(cd_planilha, ""Armas!B3:G""), ""Select Col1 Wher"&amp;"e Col2 = '""&amp;Personagem!$R$17&amp;""' or Col2 = '""&amp;Personagem!$R$18&amp;""' ""),
if('Time 4'!C6 = ""Louca"", query(IMPORTRANGE(cd_planilha, ""Armas!B3:G""), ""Select Col1 Where Col2 = '""&amp;Personagem!$S$17&amp;""' or Col2 = '""&amp;Personagem!$S$18&amp;""' ""),
if('Time 4'!C"&amp;"6 = ""Melina"", query(IMPORTRANGE(cd_planilha, ""Armas!B3:G""), ""Select Col1 Where Col2 = '""&amp;Personagem!$T$17&amp;""' or Col2 = '""&amp;Personagem!$T$18&amp;""'""),
if('Time 4'!C6 = ""Mila"", query(IMPORTRANGE(cd_planilha, ""Armas!B3:G""), ""Select Col1 Where Col2 "&amp;"= '""&amp;Personagem!$U$17&amp;""' or Col2 = '""&amp;Personagem!$U$18&amp;""' ""),
if('Time 4'!C6 = ""Minh"", query(IMPORTRANGE(cd_planilha, ""Armas!B3:G""), ""Select Col1 Where Col2 = '""&amp;Personagem!$V$17&amp;""' or Col2 = '""&amp;Personagem!$V$18&amp;""' ""),
if('Time 4'!C6 = ""Mo"&amp;"jian"", query(IMPORTRANGE(cd_planilha, ""Armas!B3:G""), ""Select Col1 Where Col2 = '""&amp;Personagem!$W$17&amp;""' or Col2 = '""&amp;Personagem!$W$18&amp;""'""),
if('Time 4'!C6 = ""Nya"", query(IMPORTRANGE(cd_planilha, ""Armas!B3:G""), ""Select Col1 Where Col2 = '""&amp;Per"&amp;"sonagem!$X$17&amp;""' or Col2 = '""&amp;Personagem!$X$18&amp;""' ""),
if('Time 4'!C6 = ""Odette"", query(IMPORTRANGE(cd_planilha, ""Armas!B3:G""), ""Select Col1 Where Col2 = '""&amp;Personagem!$Y$17&amp;""' or Col2 = '""&amp;Personagem!$Y$18&amp;""'""),
if('Time 4'!C6 = ""Oneira"", "&amp;"query(IMPORTRANGE(cd_planilha, ""Armas!B3:G""), ""Select Col1 Where Col2 = '""&amp;Personagem!$Z$17&amp;""' or Col2 = '""&amp;Personagem!$Z$18&amp;""' ""),
if('Time 4'!C6 = ""Palash"", query(IMPORTRANGE(cd_planilha, ""Armas!B3:G""), ""Select Col1 Where Col2 = '""&amp;Persona"&amp;"gem!$AA$17&amp;""' or Col2 = '""&amp;Personagem!$AA$18&amp;""'""),
if('Time 4'!C6 = ""Theor"", query(IMPORTRANGE(cd_planilha, ""Armas!B3:G""), ""Select Col1 Where Col2 = '""&amp;Personagem!$AB$17&amp;""' or Col2 = '""&amp;Personagem!$AB$18&amp;""' ""),
if('Time 4'!C6 = ""Yue"", quer"&amp;"y(IMPORTRANGE(cd_planilha, ""Armas!B3:G""), ""Select Col1 Where Col2 = '""&amp;Personagem!$AC$17&amp;""' or Col2 = '""&amp;Personagem!$AC$18&amp;""'""
)))))))))))))))))))))))))))))"),"Gotas de Elíxir")</f>
        <v>Gotas de Elíxir</v>
      </c>
      <c r="H1192" s="241"/>
      <c r="I1192" s="241" t="str">
        <f>IFERROR(__xludf.DUMMYFUNCTION("if('Time 4'!C7 = ""Albert"", query(IMPORTRANGE(cd_planilha, ""Armas!B3:G""), ""Select Col1 Where Col2 = '""&amp;Personagem!$B$17&amp;""' or Col2 = '""&amp;Personagem!$B$18&amp;""'""),     
if('Time 4'!C7 = ""Alicia"", query(IMPORTRANGE(cd_planilha, ""Armas!B3:G""), ""Sel"&amp;"ect Col1 Where Col2 = '""&amp;Personagem!$C$17&amp;""' or Col2 = '""&amp;Personagem!$C$18&amp;""'""),
if('Time 4'!C7 = ""Azula"", query(IMPORTRANGE(cd_planilha, ""Armas!B3:G""), ""Select Col1 Where Col2 = '""&amp;Personagem!$D$17&amp;""' or Col2 = '""&amp;Personagem!$D$18&amp;""' ""),
i"&amp;"f('Time 4'!C7 = ""Charles"", query(IMPORTRANGE(cd_planilha, ""Armas!B3:G""), ""Select Col1 Where Col2 = '""&amp;Personagem!$E$17&amp;""' or Col2 = '""&amp;Personagem!$E$18&amp;""'""),
if('Time 4'!C7 = ""Clovis"", query(IMPORTRANGE(cd_planilha, ""Armas!B3:G""), ""Select C"&amp;"ol1 Where Col2 = '""&amp;Personagem!$F$17&amp;""' or Col2 = '""&amp;Personagem!$F$18&amp;""' ""),
if('Time 4'!C7 = ""Darthos"", query(IMPORTRANGE(cd_planilha, ""Armas!B3:G""), ""Select Col1 Where Col2 = '""&amp;Personagem!$G$17&amp;""' or Col2 = '""&amp;Personagem!$G$18&amp;""'""),
if('"&amp;"Time 4'!C7 = ""Edward"", query(IMPORTRANGE(cd_planilha, ""Armas!B3:G""), ""Select Col1 Where Col2 = '""&amp;Personagem!$H$17&amp;""' or Col2 = '""&amp;Personagem!$H$18&amp;""' ""),
if('Time 4'!C7 = ""Fiora"", query(IMPORTRANGE(cd_planilha, ""Armas!B3:G""), ""Select Col1 "&amp;"Where Col2 = '""&amp;Personagem!$I$17&amp;""' or Col2 = '""&amp;Personagem!$I$18&amp;""' ""),
if('Time 4'!C7 = ""Francesca"", query(IMPORTRANGE(cd_planilha, ""Armas!B3:G""), ""Select Col1 Where Col2 = '""&amp;Personagem!$J$17&amp;""' or Col2 = '""&amp;Personagem!$J$18&amp;""'""),
if('Ti"&amp;"me 4'!C7 = ""Garreth"", query(IMPORTRANGE(cd_planilha, ""Armas!B3:G""), ""Select Col1 Where Col2 = '""&amp;Personagem!$K$17&amp;""' or Col2 = '""&amp;Personagem!$K$18&amp;""'""),
if('Time 4'!C7 = ""Gauvin"", query(IMPORTRANGE(cd_planilha, ""Armas!B3:G""), ""Select Col1 W"&amp;"here Col2 = '""&amp;Personagem!$L$17&amp;""' or Col2 = '""&amp;Personagem!$L$18&amp;""' ""),
if('Time 4'!C7 = ""Irene"", query(IMPORTRANGE(cd_planilha, ""Armas!B3:G""), ""Select Col1 Where Col2 = '""&amp;Personagem!$M$17&amp;""' or Col2 = '""&amp;Personagem!$M$18&amp;""' ""),
if('Time 4"&amp;"'!C7 = ""Karal"", query(IMPORTRANGE(cd_planilha, ""Armas!B3:G""), ""Select Col1 Where Col2 = '""&amp;Personagem!$N$17&amp;""' or Col2 = '""&amp;Personagem!$N$18&amp;""' ""),
if('Time 4'!C7 = ""Kuro Shobi"", query(IMPORTRANGE(cd_planilha, ""Armas!B3:G""), ""Select Col1 Wh"&amp;"ere Col2 = '""&amp;Personagem!$O$17&amp;""' or Col2 = '""&amp;Personagem!$O$18&amp;""'""),
if('Time 4'!C7 = ""Kurul"", query(IMPORTRANGE(cd_planilha, ""Armas!B3:G""), ""Select Col1 Where Col2 = '""&amp;Personagem!$P$17&amp;""' or Col2 = '""&amp;Personagem!$P$18&amp;""' ""),
if('Time 4'!"&amp;"C7 = ""Lancaster"", query(IMPORTRANGE(cd_planilha, ""Armas!B3:G""), ""Select Col1 Where Col2 = '""&amp;Personagem!$Q$17&amp;""' or Col2 = '""&amp;Personagem!$Q$18&amp;""'""),
if('Time 4'!C7 = ""Lorelei"", query(IMPORTRANGE(cd_planilha, ""Armas!B3:G""), ""Select Col1 Wher"&amp;"e Col2 = '""&amp;Personagem!$R$17&amp;""' or Col2 = '""&amp;Personagem!$R$18&amp;""' ""),
if('Time 4'!C7 = ""Louca"", query(IMPORTRANGE(cd_planilha, ""Armas!B3:G""), ""Select Col1 Where Col2 = '""&amp;Personagem!$S$17&amp;""' or Col2 = '""&amp;Personagem!$S$18&amp;""' ""),
if('Time 4'!C"&amp;"7 = ""Melina"", query(IMPORTRANGE(cd_planilha, ""Armas!B3:G""), ""Select Col1 Where Col2 = '""&amp;Personagem!$T$17&amp;""' or Col2 = '""&amp;Personagem!$T$18&amp;""'""),
if('Time 4'!C7 = ""Mila"", query(IMPORTRANGE(cd_planilha, ""Armas!B3:G""), ""Select Col1 Where Col2 "&amp;"= '""&amp;Personagem!$U$17&amp;""' or Col2 = '""&amp;Personagem!$U$18&amp;""' ""),
if('Time 4'!C7 = ""Minh"", query(IMPORTRANGE(cd_planilha, ""Armas!B3:G""), ""Select Col1 Where Col2 = '""&amp;Personagem!$V$17&amp;""' or Col2 = '""&amp;Personagem!$V$18&amp;""' ""),
if('Time 4'!C7 = ""Mo"&amp;"jian"", query(IMPORTRANGE(cd_planilha, ""Armas!B3:G""), ""Select Col1 Where Col2 = '""&amp;Personagem!$W$17&amp;""' or Col2 = '""&amp;Personagem!$W$18&amp;""'""),
if('Time 4'!C7 = ""Nya"", query(IMPORTRANGE(cd_planilha, ""Armas!B3:G""), ""Select Col1 Where Col2 = '""&amp;Per"&amp;"sonagem!$X$17&amp;""' or Col2 = '""&amp;Personagem!$X$18&amp;""' ""),
if('Time 4'!C7 = ""Odette"", query(IMPORTRANGE(cd_planilha, ""Armas!B3:G""), ""Select Col1 Where Col2 = '""&amp;Personagem!$Y$17&amp;""' or Col2 = '""&amp;Personagem!$Y$18&amp;""'""),
if('Time 4'!C7 = ""Oneira"", "&amp;"query(IMPORTRANGE(cd_planilha, ""Armas!B3:G""), ""Select Col1 Where Col2 = '""&amp;Personagem!$Z$17&amp;""' or Col2 = '""&amp;Personagem!$Z$18&amp;""' ""),
if('Time 4'!C7 = ""Palash"", query(IMPORTRANGE(cd_planilha, ""Armas!B3:G""), ""Select Col1 Where Col2 = '""&amp;Persona"&amp;"gem!$AA$17&amp;""' or Col2 = '""&amp;Personagem!$AA$18&amp;""'""),
if('Time 4'!C7 = ""Theor"", query(IMPORTRANGE(cd_planilha, ""Armas!B3:G""), ""Select Col1 Where Col2 = '""&amp;Personagem!$AB$17&amp;""' or Col2 = '""&amp;Personagem!$AB$18&amp;""' ""),
if('Time 4'!C7 = ""Yue"", quer"&amp;"y(IMPORTRANGE(cd_planilha, ""Armas!B3:G""), ""Select Col1 Where Col2 = '""&amp;Personagem!$AC$17&amp;""' or Col2 = '""&amp;Personagem!$AC$18&amp;""'""
)))))))))))))))))))))))))))))"),"Totem da Dor")</f>
        <v>Totem da Dor</v>
      </c>
      <c r="J1192" s="241"/>
      <c r="K1192" s="241" t="b">
        <f>IFERROR(__xludf.DUMMYFUNCTION("if('Time 4'!C8 = ""Albert"", query(IMPORTRANGE(cd_planilha, ""Armas!B3:G""), ""Select Col1 Where Col2 = '""&amp;Personagem!$B$17&amp;""' or Col2 = '""&amp;Personagem!$B$18&amp;""'""),     
if('Time 4'!C8 = ""Alicia"", query(IMPORTRANGE(cd_planilha, ""Armas!B3:G""), ""Sel"&amp;"ect Col1 Where Col2 = '""&amp;Personagem!$C$17&amp;""' or Col2 = '""&amp;Personagem!$C$18&amp;""'""),
if('Time 4'!C8 = ""Azula"", query(IMPORTRANGE(cd_planilha, ""Armas!B3:G""), ""Select Col1 Where Col2 = '""&amp;Personagem!$D$17&amp;""' or Col2 = '""&amp;Personagem!$D$18&amp;""' ""),
i"&amp;"f('Time 4'!C8 = ""Charles"", query(IMPORTRANGE(cd_planilha, ""Armas!B3:G""), ""Select Col1 Where Col2 = '""&amp;Personagem!$E$17&amp;""' or Col2 = '""&amp;Personagem!$E$18&amp;""'""),
if('Time 4'!C8 = ""Clovis"", query(IMPORTRANGE(cd_planilha, ""Armas!B3:G""), ""Select C"&amp;"ol1 Where Col2 = '""&amp;Personagem!$F$17&amp;""' or Col2 = '""&amp;Personagem!$F$18&amp;""' ""),
if('Time 4'!C8 = ""Darthos"", query(IMPORTRANGE(cd_planilha, ""Armas!B3:G""), ""Select Col1 Where Col2 = '""&amp;Personagem!$G$17&amp;""' or Col2 = '""&amp;Personagem!$G$18&amp;""'""),
if('"&amp;"Time 4'!C8 = ""Edward"", query(IMPORTRANGE(cd_planilha, ""Armas!B3:G""), ""Select Col1 Where Col2 = '""&amp;Personagem!$H$17&amp;""' or Col2 = '""&amp;Personagem!$H$18&amp;""' ""),
if('Time 4'!C8 = ""Fiora"", query(IMPORTRANGE(cd_planilha, ""Armas!B3:G""), ""Select Col1 "&amp;"Where Col2 = '""&amp;Personagem!$I$17&amp;""' or Col2 = '""&amp;Personagem!$I$18&amp;""' ""),
if('Time 4'!C8 = ""Francesca"", query(IMPORTRANGE(cd_planilha, ""Armas!B3:G""), ""Select Col1 Where Col2 = '""&amp;Personagem!$J$17&amp;""' or Col2 = '""&amp;Personagem!$J$18&amp;""'""),
if('Ti"&amp;"me 4'!C8 = ""Garreth"", query(IMPORTRANGE(cd_planilha, ""Armas!B3:G""), ""Select Col1 Where Col2 = '""&amp;Personagem!$K$17&amp;""' or Col2 = '""&amp;Personagem!$K$18&amp;""'""),
if('Time 4'!C8 = ""Gauvin"", query(IMPORTRANGE(cd_planilha, ""Armas!B3:G""), ""Select Col1 W"&amp;"here Col2 = '""&amp;Personagem!$L$17&amp;""' or Col2 = '""&amp;Personagem!$L$18&amp;""' ""),
if('Time 4'!C8 = ""Irene"", query(IMPORTRANGE(cd_planilha, ""Armas!B3:G""), ""Select Col1 Where Col2 = '""&amp;Personagem!$M$17&amp;""' or Col2 = '""&amp;Personagem!$M$18&amp;""' ""),
if('Time 4"&amp;"'!C8 = ""Karal"", query(IMPORTRANGE(cd_planilha, ""Armas!B3:G""), ""Select Col1 Where Col2 = '""&amp;Personagem!$N$17&amp;""' or Col2 = '""&amp;Personagem!$N$18&amp;""' ""),
if('Time 4'!C8 = ""Kuro Shobi"", query(IMPORTRANGE(cd_planilha, ""Armas!B3:G""), ""Select Col1 Wh"&amp;"ere Col2 = '""&amp;Personagem!$O$17&amp;""' or Col2 = '""&amp;Personagem!$O$18&amp;""'""),
if('Time 4'!C8 = ""Kurul"", query(IMPORTRANGE(cd_planilha, ""Armas!B3:G""), ""Select Col1 Where Col2 = '""&amp;Personagem!$P$17&amp;""' or Col2 = '""&amp;Personagem!$P$18&amp;""' ""),
if('Time 4'!"&amp;"C8 = ""Lancaster"", query(IMPORTRANGE(cd_planilha, ""Armas!B3:G""), ""Select Col1 Where Col2 = '""&amp;Personagem!$Q$17&amp;""' or Col2 = '""&amp;Personagem!$Q$18&amp;""'""),
if('Time 4'!C8 = ""Lorelei"", query(IMPORTRANGE(cd_planilha, ""Armas!B3:G""), ""Select Col1 Wher"&amp;"e Col2 = '""&amp;Personagem!$R$17&amp;""' or Col2 = '""&amp;Personagem!$R$18&amp;""' ""),
if('Time 4'!C8 = ""Louca"", query(IMPORTRANGE(cd_planilha, ""Armas!B3:G""), ""Select Col1 Where Col2 = '""&amp;Personagem!$S$17&amp;""' or Col2 = '""&amp;Personagem!$S$18&amp;""' ""),
if('Time 4'!C"&amp;"8 = ""Melina"", query(IMPORTRANGE(cd_planilha, ""Armas!B3:G""), ""Select Col1 Where Col2 = '""&amp;Personagem!$T$17&amp;""' or Col2 = '""&amp;Personagem!$T$18&amp;""'""),
if('Time 4'!C8 = ""Mila"", query(IMPORTRANGE(cd_planilha, ""Armas!B3:G""), ""Select Col1 Where Col2 "&amp;"= '""&amp;Personagem!$U$17&amp;""' or Col2 = '""&amp;Personagem!$U$18&amp;""' ""),
if('Time 4'!C8 = ""Minh"", query(IMPORTRANGE(cd_planilha, ""Armas!B3:G""), ""Select Col1 Where Col2 = '""&amp;Personagem!$V$17&amp;""' or Col2 = '""&amp;Personagem!$V$18&amp;""' ""),
if('Time 4'!C8 = ""Mo"&amp;"jian"", query(IMPORTRANGE(cd_planilha, ""Armas!B3:G""), ""Select Col1 Where Col2 = '""&amp;Personagem!$W$17&amp;""' or Col2 = '""&amp;Personagem!$W$18&amp;""'""),
if('Time 4'!C8 = ""Nya"", query(IMPORTRANGE(cd_planilha, ""Armas!B3:G""), ""Select Col1 Where Col2 = '""&amp;Per"&amp;"sonagem!$X$17&amp;""' or Col2 = '""&amp;Personagem!$X$18&amp;""' ""),
if('Time 4'!C8 = ""Odette"", query(IMPORTRANGE(cd_planilha, ""Armas!B3:G""), ""Select Col1 Where Col2 = '""&amp;Personagem!$Y$17&amp;""' or Col2 = '""&amp;Personagem!$Y$18&amp;""'""),
if('Time 4'!C8 = ""Oneira"", "&amp;"query(IMPORTRANGE(cd_planilha, ""Armas!B3:G""), ""Select Col1 Where Col2 = '""&amp;Personagem!$Z$17&amp;""' or Col2 = '""&amp;Personagem!$Z$18&amp;""' ""),
if('Time 4'!C8 = ""Palash"", query(IMPORTRANGE(cd_planilha, ""Armas!B3:G""), ""Select Col1 Where Col2 = '""&amp;Persona"&amp;"gem!$AA$17&amp;""' or Col2 = '""&amp;Personagem!$AA$18&amp;""'""),
if('Time 4'!C8 = ""Theor"", query(IMPORTRANGE(cd_planilha, ""Armas!B3:G""), ""Select Col1 Where Col2 = '""&amp;Personagem!$AB$17&amp;""' or Col2 = '""&amp;Personagem!$AB$18&amp;""' ""),
if('Time 4'!C8 = ""Yue"", quer"&amp;"y(IMPORTRANGE(cd_planilha, ""Armas!B3:G""), ""Select Col1 Where Col2 = '""&amp;Personagem!$AC$17&amp;""' or Col2 = '""&amp;Personagem!$AC$18&amp;""'""
)))))))))))))))))))))))))))))"),FALSE)</f>
        <v>0</v>
      </c>
      <c r="L1192" s="242"/>
      <c r="M1192" s="241"/>
      <c r="N1192" s="241"/>
      <c r="O1192" s="241"/>
      <c r="P1192" s="241"/>
      <c r="Q1192" s="241"/>
      <c r="R1192" s="241"/>
      <c r="S1192" s="241"/>
      <c r="T1192" s="241"/>
      <c r="U1192" s="241"/>
      <c r="V1192" s="241"/>
      <c r="W1192" s="241"/>
      <c r="X1192" s="243"/>
      <c r="Y1192" s="243"/>
      <c r="Z1192" s="243"/>
      <c r="AA1192" s="243"/>
      <c r="AB1192" s="243"/>
      <c r="AC1192" s="243"/>
      <c r="AD1192" s="243"/>
      <c r="AE1192" s="243"/>
      <c r="AF1192" s="243"/>
      <c r="AG1192" s="243"/>
      <c r="AH1192" s="243"/>
      <c r="AI1192" s="243"/>
      <c r="AJ1192" s="243"/>
    </row>
    <row r="1193">
      <c r="A1193" s="224" t="str">
        <f>IFERROR(__xludf.DUMMYFUNCTION("""COMPUTED_VALUE"""),"Bomba Tóxica")</f>
        <v>Bomba Tóxica</v>
      </c>
      <c r="B1193" s="241"/>
      <c r="C1193" s="224" t="str">
        <f>IFERROR(__xludf.DUMMYFUNCTION("""COMPUTED_VALUE"""),"A arte da guerra")</f>
        <v>A arte da guerra</v>
      </c>
      <c r="D1193" s="241"/>
      <c r="E1193" s="224" t="str">
        <f>IFERROR(__xludf.DUMMYFUNCTION("""COMPUTED_VALUE"""),"Semente Rápida")</f>
        <v>Semente Rápida</v>
      </c>
      <c r="F1193" s="241"/>
      <c r="G1193" s="224" t="str">
        <f>IFERROR(__xludf.DUMMYFUNCTION("""COMPUTED_VALUE"""),"Cálice")</f>
        <v>Cálice</v>
      </c>
      <c r="H1193" s="241"/>
      <c r="I1193" s="224" t="str">
        <f>IFERROR(__xludf.DUMMYFUNCTION("""COMPUTED_VALUE"""),"A arte da guerra")</f>
        <v>A arte da guerra</v>
      </c>
      <c r="J1193" s="241"/>
      <c r="K1193" s="241"/>
      <c r="L1193" s="242"/>
      <c r="M1193" s="241"/>
      <c r="N1193" s="241"/>
      <c r="O1193" s="241"/>
      <c r="P1193" s="241"/>
      <c r="Q1193" s="241"/>
      <c r="R1193" s="241"/>
      <c r="S1193" s="241"/>
      <c r="T1193" s="241"/>
      <c r="U1193" s="241"/>
      <c r="V1193" s="241"/>
      <c r="W1193" s="241"/>
      <c r="X1193" s="243"/>
      <c r="Y1193" s="243"/>
      <c r="Z1193" s="243"/>
      <c r="AA1193" s="243"/>
      <c r="AB1193" s="243"/>
      <c r="AC1193" s="243"/>
      <c r="AD1193" s="243"/>
      <c r="AE1193" s="243"/>
      <c r="AF1193" s="243"/>
      <c r="AG1193" s="243"/>
      <c r="AH1193" s="243"/>
      <c r="AI1193" s="243"/>
      <c r="AJ1193" s="243"/>
    </row>
    <row r="1194" hidden="1">
      <c r="A1194" s="241" t="str">
        <f>IFERROR(__xludf.DUMMYFUNCTION("""COMPUTED_VALUE"""),"Shuriken Mágico")</f>
        <v>Shuriken Mágico</v>
      </c>
      <c r="B1194" s="241"/>
      <c r="C1194" s="241" t="str">
        <f>IFERROR(__xludf.DUMMYFUNCTION("""COMPUTED_VALUE"""),"Ordem Imperial")</f>
        <v>Ordem Imperial</v>
      </c>
      <c r="D1194" s="241"/>
      <c r="E1194" s="241" t="str">
        <f>IFERROR(__xludf.DUMMYFUNCTION("""COMPUTED_VALUE"""),"Chá Revitalizador ")</f>
        <v>Chá Revitalizador </v>
      </c>
      <c r="F1194" s="241"/>
      <c r="G1194" s="241" t="str">
        <f>IFERROR(__xludf.DUMMYFUNCTION("""COMPUTED_VALUE"""),"Sangue de Demônio")</f>
        <v>Sangue de Demônio</v>
      </c>
      <c r="H1194" s="241"/>
      <c r="I1194" s="241" t="str">
        <f>IFERROR(__xludf.DUMMYFUNCTION("""COMPUTED_VALUE"""),"Ordem Imperial")</f>
        <v>Ordem Imperial</v>
      </c>
      <c r="J1194" s="241"/>
      <c r="K1194" s="241"/>
      <c r="L1194" s="242"/>
      <c r="M1194" s="241"/>
      <c r="N1194" s="241"/>
      <c r="O1194" s="241"/>
      <c r="P1194" s="241"/>
      <c r="Q1194" s="241"/>
      <c r="R1194" s="241"/>
      <c r="S1194" s="241"/>
      <c r="T1194" s="241"/>
      <c r="U1194" s="241"/>
      <c r="V1194" s="241"/>
      <c r="W1194" s="241"/>
      <c r="X1194" s="243"/>
      <c r="Y1194" s="243"/>
      <c r="Z1194" s="243"/>
      <c r="AA1194" s="243"/>
      <c r="AB1194" s="243"/>
      <c r="AC1194" s="243"/>
      <c r="AD1194" s="243"/>
      <c r="AE1194" s="243"/>
      <c r="AF1194" s="243"/>
      <c r="AG1194" s="243"/>
      <c r="AH1194" s="243"/>
      <c r="AI1194" s="243"/>
      <c r="AJ1194" s="243"/>
    </row>
    <row r="1195" hidden="1">
      <c r="A1195" s="241" t="str">
        <f>IFERROR(__xludf.DUMMYFUNCTION("""COMPUTED_VALUE"""),"Milho Arco-íris")</f>
        <v>Milho Arco-íris</v>
      </c>
      <c r="B1195" s="241"/>
      <c r="C1195" s="241" t="str">
        <f>IFERROR(__xludf.DUMMYFUNCTION("""COMPUTED_VALUE"""),"Celtic Slate")</f>
        <v>Celtic Slate</v>
      </c>
      <c r="D1195" s="241"/>
      <c r="E1195" s="241" t="str">
        <f>IFERROR(__xludf.DUMMYFUNCTION("""COMPUTED_VALUE"""),"Semente forte")</f>
        <v>Semente forte</v>
      </c>
      <c r="F1195" s="241"/>
      <c r="G1195" s="241" t="str">
        <f>IFERROR(__xludf.DUMMYFUNCTION("""COMPUTED_VALUE"""),"Elven Sunblock")</f>
        <v>Elven Sunblock</v>
      </c>
      <c r="H1195" s="241"/>
      <c r="I1195" s="241" t="str">
        <f>IFERROR(__xludf.DUMMYFUNCTION("""COMPUTED_VALUE"""),"Celtic Slate")</f>
        <v>Celtic Slate</v>
      </c>
      <c r="J1195" s="241"/>
      <c r="K1195" s="241"/>
      <c r="L1195" s="242"/>
      <c r="M1195" s="241"/>
      <c r="N1195" s="241"/>
      <c r="O1195" s="241"/>
      <c r="P1195" s="241"/>
      <c r="Q1195" s="241"/>
      <c r="R1195" s="241"/>
      <c r="S1195" s="241"/>
      <c r="T1195" s="241"/>
      <c r="U1195" s="241"/>
      <c r="V1195" s="241"/>
      <c r="W1195" s="241"/>
      <c r="X1195" s="243"/>
      <c r="Y1195" s="243"/>
      <c r="Z1195" s="243"/>
      <c r="AA1195" s="243"/>
      <c r="AB1195" s="243"/>
      <c r="AC1195" s="243"/>
      <c r="AD1195" s="243"/>
      <c r="AE1195" s="243"/>
      <c r="AF1195" s="243"/>
      <c r="AG1195" s="243"/>
      <c r="AH1195" s="243"/>
      <c r="AI1195" s="243"/>
      <c r="AJ1195" s="243"/>
    </row>
    <row r="1196" hidden="1">
      <c r="A1196" s="241" t="str">
        <f>IFERROR(__xludf.DUMMYFUNCTION("""COMPUTED_VALUE"""),"Chakran Cantante")</f>
        <v>Chakran Cantante</v>
      </c>
      <c r="B1196" s="241"/>
      <c r="C1196" s="241" t="str">
        <f>IFERROR(__xludf.DUMMYFUNCTION("""COMPUTED_VALUE"""),"Codéx Mágico")</f>
        <v>Codéx Mágico</v>
      </c>
      <c r="D1196" s="241"/>
      <c r="E1196" s="241" t="str">
        <f>IFERROR(__xludf.DUMMYFUNCTION("""COMPUTED_VALUE"""),"Panaceia")</f>
        <v>Panaceia</v>
      </c>
      <c r="F1196" s="241"/>
      <c r="G1196" s="241" t="str">
        <f>IFERROR(__xludf.DUMMYFUNCTION("""COMPUTED_VALUE"""),"Elixir ")</f>
        <v>Elixir </v>
      </c>
      <c r="H1196" s="241"/>
      <c r="I1196" s="241" t="str">
        <f>IFERROR(__xludf.DUMMYFUNCTION("""COMPUTED_VALUE"""),"Codéx Mágico")</f>
        <v>Codéx Mágico</v>
      </c>
      <c r="J1196" s="241"/>
      <c r="K1196" s="241"/>
      <c r="L1196" s="242"/>
      <c r="M1196" s="241"/>
      <c r="N1196" s="241"/>
      <c r="O1196" s="241"/>
      <c r="P1196" s="241"/>
      <c r="Q1196" s="241"/>
      <c r="R1196" s="241"/>
      <c r="S1196" s="241"/>
      <c r="T1196" s="241"/>
      <c r="U1196" s="241"/>
      <c r="V1196" s="241"/>
      <c r="W1196" s="241"/>
      <c r="X1196" s="243"/>
      <c r="Y1196" s="243"/>
      <c r="Z1196" s="243"/>
      <c r="AA1196" s="243"/>
      <c r="AB1196" s="243"/>
      <c r="AC1196" s="243"/>
      <c r="AD1196" s="243"/>
      <c r="AE1196" s="243"/>
      <c r="AF1196" s="243"/>
      <c r="AG1196" s="243"/>
      <c r="AH1196" s="243"/>
      <c r="AI1196" s="243"/>
      <c r="AJ1196" s="243"/>
    </row>
    <row r="1197" hidden="1">
      <c r="A1197" s="241" t="str">
        <f>IFERROR(__xludf.DUMMYFUNCTION("""COMPUTED_VALUE"""),"Dardos Explosivos")</f>
        <v>Dardos Explosivos</v>
      </c>
      <c r="B1197" s="241"/>
      <c r="C1197" s="241" t="str">
        <f>IFERROR(__xludf.DUMMYFUNCTION("""COMPUTED_VALUE"""),"Selo do Mal")</f>
        <v>Selo do Mal</v>
      </c>
      <c r="D1197" s="241"/>
      <c r="E1197" s="241" t="str">
        <f>IFERROR(__xludf.DUMMYFUNCTION("""COMPUTED_VALUE"""),"Lucky Clover")</f>
        <v>Lucky Clover</v>
      </c>
      <c r="F1197" s="241"/>
      <c r="G1197" s="241" t="str">
        <f>IFERROR(__xludf.DUMMYFUNCTION("""COMPUTED_VALUE"""),"Sangue de Dragão ")</f>
        <v>Sangue de Dragão </v>
      </c>
      <c r="H1197" s="241"/>
      <c r="I1197" s="241" t="str">
        <f>IFERROR(__xludf.DUMMYFUNCTION("""COMPUTED_VALUE"""),"Selo do Mal")</f>
        <v>Selo do Mal</v>
      </c>
      <c r="J1197" s="241"/>
      <c r="K1197" s="241"/>
      <c r="L1197" s="242"/>
      <c r="M1197" s="241"/>
      <c r="N1197" s="241"/>
      <c r="O1197" s="241"/>
      <c r="P1197" s="241"/>
      <c r="Q1197" s="241"/>
      <c r="R1197" s="241"/>
      <c r="S1197" s="241"/>
      <c r="T1197" s="241"/>
      <c r="U1197" s="241"/>
      <c r="V1197" s="241"/>
      <c r="W1197" s="241"/>
      <c r="X1197" s="243"/>
      <c r="Y1197" s="243"/>
      <c r="Z1197" s="243"/>
      <c r="AA1197" s="243"/>
      <c r="AB1197" s="243"/>
      <c r="AC1197" s="243"/>
      <c r="AD1197" s="243"/>
      <c r="AE1197" s="243"/>
      <c r="AF1197" s="243"/>
      <c r="AG1197" s="243"/>
      <c r="AH1197" s="243"/>
      <c r="AI1197" s="243"/>
      <c r="AJ1197" s="243"/>
    </row>
    <row r="1198" hidden="1">
      <c r="A1198" s="241" t="str">
        <f>IFERROR(__xludf.DUMMYFUNCTION("""COMPUTED_VALUE"""),"Fura-Coração")</f>
        <v>Fura-Coração</v>
      </c>
      <c r="B1198" s="241"/>
      <c r="C1198" s="241" t="str">
        <f>IFERROR(__xludf.DUMMYFUNCTION("""COMPUTED_VALUE"""),"Selo de Tigre")</f>
        <v>Selo de Tigre</v>
      </c>
      <c r="D1198" s="241"/>
      <c r="E1198" s="241" t="str">
        <f>IFERROR(__xludf.DUMMYFUNCTION("""COMPUTED_VALUE"""),"Semente mágica")</f>
        <v>Semente mágica</v>
      </c>
      <c r="F1198" s="241"/>
      <c r="G1198" s="241" t="str">
        <f>IFERROR(__xludf.DUMMYFUNCTION("""COMPUTED_VALUE"""),"Megalixir ")</f>
        <v>Megalixir </v>
      </c>
      <c r="H1198" s="241"/>
      <c r="I1198" s="241" t="str">
        <f>IFERROR(__xludf.DUMMYFUNCTION("""COMPUTED_VALUE"""),"Selo de Tigre")</f>
        <v>Selo de Tigre</v>
      </c>
      <c r="J1198" s="241"/>
      <c r="K1198" s="241"/>
      <c r="L1198" s="242"/>
      <c r="M1198" s="241"/>
      <c r="N1198" s="241"/>
      <c r="O1198" s="241"/>
      <c r="P1198" s="241"/>
      <c r="Q1198" s="241"/>
      <c r="R1198" s="241"/>
      <c r="S1198" s="241"/>
      <c r="T1198" s="241"/>
      <c r="U1198" s="241"/>
      <c r="V1198" s="241"/>
      <c r="W1198" s="241"/>
      <c r="X1198" s="243"/>
      <c r="Y1198" s="243"/>
      <c r="Z1198" s="243"/>
      <c r="AA1198" s="243"/>
      <c r="AB1198" s="243"/>
      <c r="AC1198" s="243"/>
      <c r="AD1198" s="243"/>
      <c r="AE1198" s="243"/>
      <c r="AF1198" s="243"/>
      <c r="AG1198" s="243"/>
      <c r="AH1198" s="243"/>
      <c r="AI1198" s="243"/>
      <c r="AJ1198" s="243"/>
    </row>
    <row r="1199" hidden="1">
      <c r="A1199" s="241" t="str">
        <f>IFERROR(__xludf.DUMMYFUNCTION("""COMPUTED_VALUE"""),"Estrondo de trovão")</f>
        <v>Estrondo de trovão</v>
      </c>
      <c r="B1199" s="241"/>
      <c r="C1199" s="241" t="str">
        <f>IFERROR(__xludf.DUMMYFUNCTION("""COMPUTED_VALUE"""),"Compêndio Arcano")</f>
        <v>Compêndio Arcano</v>
      </c>
      <c r="D1199" s="241"/>
      <c r="E1199" s="241" t="str">
        <f>IFERROR(__xludf.DUMMYFUNCTION("""COMPUTED_VALUE"""),"Feijões Mágicos ")</f>
        <v>Feijões Mágicos </v>
      </c>
      <c r="F1199" s="241"/>
      <c r="G1199" s="241" t="str">
        <f>IFERROR(__xludf.DUMMYFUNCTION("""COMPUTED_VALUE"""),"Elixir of Immortality")</f>
        <v>Elixir of Immortality</v>
      </c>
      <c r="H1199" s="241"/>
      <c r="I1199" s="241" t="str">
        <f>IFERROR(__xludf.DUMMYFUNCTION("""COMPUTED_VALUE"""),"Compêndio Arcano")</f>
        <v>Compêndio Arcano</v>
      </c>
      <c r="J1199" s="241"/>
      <c r="K1199" s="241"/>
      <c r="L1199" s="242"/>
      <c r="M1199" s="241"/>
      <c r="N1199" s="241"/>
      <c r="O1199" s="241"/>
      <c r="P1199" s="241"/>
      <c r="Q1199" s="241"/>
      <c r="R1199" s="241"/>
      <c r="S1199" s="241"/>
      <c r="T1199" s="241"/>
      <c r="U1199" s="241"/>
      <c r="V1199" s="241"/>
      <c r="W1199" s="241"/>
      <c r="X1199" s="243"/>
      <c r="Y1199" s="243"/>
      <c r="Z1199" s="243"/>
      <c r="AA1199" s="243"/>
      <c r="AB1199" s="243"/>
      <c r="AC1199" s="243"/>
      <c r="AD1199" s="243"/>
      <c r="AE1199" s="243"/>
      <c r="AF1199" s="243"/>
      <c r="AG1199" s="243"/>
      <c r="AH1199" s="243"/>
      <c r="AI1199" s="243"/>
      <c r="AJ1199" s="243"/>
    </row>
    <row r="1200" hidden="1">
      <c r="A1200" s="241" t="str">
        <f>IFERROR(__xludf.DUMMYFUNCTION("""COMPUTED_VALUE"""),"Kunai de fogo-gelo")</f>
        <v>Kunai de fogo-gelo</v>
      </c>
      <c r="B1200" s="241"/>
      <c r="C1200" s="241" t="str">
        <f>IFERROR(__xludf.DUMMYFUNCTION("""COMPUTED_VALUE"""),"Pergaminho de Retorno")</f>
        <v>Pergaminho de Retorno</v>
      </c>
      <c r="D1200" s="241"/>
      <c r="E1200" s="241" t="str">
        <f>IFERROR(__xludf.DUMMYFUNCTION("""COMPUTED_VALUE"""),"Pó de demônio")</f>
        <v>Pó de demônio</v>
      </c>
      <c r="F1200" s="241"/>
      <c r="G1200" s="241" t="str">
        <f>IFERROR(__xludf.DUMMYFUNCTION("""COMPUTED_VALUE"""),"Essência de Deus")</f>
        <v>Essência de Deus</v>
      </c>
      <c r="H1200" s="241"/>
      <c r="I1200" s="241" t="str">
        <f>IFERROR(__xludf.DUMMYFUNCTION("""COMPUTED_VALUE"""),"Pergaminho de Retorno")</f>
        <v>Pergaminho de Retorno</v>
      </c>
      <c r="J1200" s="241"/>
      <c r="K1200" s="241"/>
      <c r="L1200" s="242"/>
      <c r="M1200" s="241"/>
      <c r="N1200" s="241"/>
      <c r="O1200" s="241"/>
      <c r="P1200" s="241"/>
      <c r="Q1200" s="241"/>
      <c r="R1200" s="241"/>
      <c r="S1200" s="241"/>
      <c r="T1200" s="241"/>
      <c r="U1200" s="241"/>
      <c r="V1200" s="241"/>
      <c r="W1200" s="241"/>
      <c r="X1200" s="243"/>
      <c r="Y1200" s="243"/>
      <c r="Z1200" s="243"/>
      <c r="AA1200" s="243"/>
      <c r="AB1200" s="243"/>
      <c r="AC1200" s="243"/>
      <c r="AD1200" s="243"/>
      <c r="AE1200" s="243"/>
      <c r="AF1200" s="243"/>
      <c r="AG1200" s="243"/>
      <c r="AH1200" s="243"/>
      <c r="AI1200" s="243"/>
      <c r="AJ1200" s="243"/>
    </row>
    <row r="1201" hidden="1">
      <c r="A1201" s="241" t="str">
        <f>IFERROR(__xludf.DUMMYFUNCTION("""COMPUTED_VALUE"""),"Eggsplosives")</f>
        <v>Eggsplosives</v>
      </c>
      <c r="B1201" s="241"/>
      <c r="C1201" s="241" t="str">
        <f>IFERROR(__xludf.DUMMYFUNCTION("""COMPUTED_VALUE"""),"Tomo Divino")</f>
        <v>Tomo Divino</v>
      </c>
      <c r="D1201" s="241"/>
      <c r="E1201" s="241" t="str">
        <f>IFERROR(__xludf.DUMMYFUNCTION("""COMPUTED_VALUE"""),"Chá dragônico")</f>
        <v>Chá dragônico</v>
      </c>
      <c r="F1201" s="241"/>
      <c r="G1201" s="241" t="str">
        <f>IFERROR(__xludf.DUMMYFUNCTION("""COMPUTED_VALUE"""),"Poção de Obsidiana")</f>
        <v>Poção de Obsidiana</v>
      </c>
      <c r="H1201" s="241"/>
      <c r="I1201" s="241" t="str">
        <f>IFERROR(__xludf.DUMMYFUNCTION("""COMPUTED_VALUE"""),"Tomo Divino")</f>
        <v>Tomo Divino</v>
      </c>
      <c r="J1201" s="241"/>
      <c r="K1201" s="241"/>
      <c r="L1201" s="242"/>
      <c r="M1201" s="241"/>
      <c r="N1201" s="241"/>
      <c r="O1201" s="241"/>
      <c r="P1201" s="241"/>
      <c r="Q1201" s="241"/>
      <c r="R1201" s="241"/>
      <c r="S1201" s="241"/>
      <c r="T1201" s="241"/>
      <c r="U1201" s="241"/>
      <c r="V1201" s="241"/>
      <c r="W1201" s="241"/>
      <c r="X1201" s="243"/>
      <c r="Y1201" s="243"/>
      <c r="Z1201" s="243"/>
      <c r="AA1201" s="243"/>
      <c r="AB1201" s="243"/>
      <c r="AC1201" s="243"/>
      <c r="AD1201" s="243"/>
      <c r="AE1201" s="243"/>
      <c r="AF1201" s="243"/>
      <c r="AG1201" s="243"/>
      <c r="AH1201" s="243"/>
      <c r="AI1201" s="243"/>
      <c r="AJ1201" s="243"/>
    </row>
    <row r="1202" hidden="1">
      <c r="A1202" s="241" t="str">
        <f>IFERROR(__xludf.DUMMYFUNCTION("""COMPUTED_VALUE"""),"Bomba do Inferno")</f>
        <v>Bomba do Inferno</v>
      </c>
      <c r="B1202" s="241"/>
      <c r="C1202" s="241" t="str">
        <f>IFERROR(__xludf.DUMMYFUNCTION("""COMPUTED_VALUE"""),"Pergaminho Assombrado")</f>
        <v>Pergaminho Assombrado</v>
      </c>
      <c r="D1202" s="241"/>
      <c r="E1202" s="241" t="str">
        <f>IFERROR(__xludf.DUMMYFUNCTION("""COMPUTED_VALUE"""),"Seed of Power")</f>
        <v>Seed of Power</v>
      </c>
      <c r="F1202" s="241"/>
      <c r="G1202" s="241" t="str">
        <f>IFERROR(__xludf.DUMMYFUNCTION("""COMPUTED_VALUE"""),"Pirate's Brew")</f>
        <v>Pirate's Brew</v>
      </c>
      <c r="H1202" s="241"/>
      <c r="I1202" s="241" t="str">
        <f>IFERROR(__xludf.DUMMYFUNCTION("""COMPUTED_VALUE"""),"Pergaminho Assombrado")</f>
        <v>Pergaminho Assombrado</v>
      </c>
      <c r="J1202" s="241"/>
      <c r="K1202" s="241"/>
      <c r="L1202" s="242"/>
      <c r="M1202" s="241"/>
      <c r="N1202" s="241"/>
      <c r="O1202" s="241"/>
      <c r="P1202" s="241"/>
      <c r="Q1202" s="241"/>
      <c r="R1202" s="241"/>
      <c r="S1202" s="241"/>
      <c r="T1202" s="241"/>
      <c r="U1202" s="241"/>
      <c r="V1202" s="241"/>
      <c r="W1202" s="241"/>
      <c r="X1202" s="243"/>
      <c r="Y1202" s="243"/>
      <c r="Z1202" s="243"/>
      <c r="AA1202" s="243"/>
      <c r="AB1202" s="243"/>
      <c r="AC1202" s="243"/>
      <c r="AD1202" s="243"/>
      <c r="AE1202" s="243"/>
      <c r="AF1202" s="243"/>
      <c r="AG1202" s="243"/>
      <c r="AH1202" s="243"/>
      <c r="AI1202" s="243"/>
      <c r="AJ1202" s="243"/>
    </row>
    <row r="1203" hidden="1">
      <c r="A1203" s="241" t="str">
        <f>IFERROR(__xludf.DUMMYFUNCTION("""COMPUTED_VALUE"""),"Flying Guillotine")</f>
        <v>Flying Guillotine</v>
      </c>
      <c r="B1203" s="241"/>
      <c r="C1203" s="241" t="str">
        <f>IFERROR(__xludf.DUMMYFUNCTION("""COMPUTED_VALUE"""),"Guardian Seal")</f>
        <v>Guardian Seal</v>
      </c>
      <c r="D1203" s="241"/>
      <c r="E1203" s="241" t="str">
        <f>IFERROR(__xludf.DUMMYFUNCTION("""COMPUTED_VALUE"""),"Sacred Mooncake")</f>
        <v>Sacred Mooncake</v>
      </c>
      <c r="F1203" s="241"/>
      <c r="G1203" s="241" t="str">
        <f>IFERROR(__xludf.DUMMYFUNCTION("""COMPUTED_VALUE"""),"Poção Fogo de Dragão")</f>
        <v>Poção Fogo de Dragão</v>
      </c>
      <c r="H1203" s="241"/>
      <c r="I1203" s="241" t="str">
        <f>IFERROR(__xludf.DUMMYFUNCTION("""COMPUTED_VALUE"""),"Guardian Seal")</f>
        <v>Guardian Seal</v>
      </c>
      <c r="J1203" s="241"/>
      <c r="K1203" s="241"/>
      <c r="L1203" s="242"/>
      <c r="M1203" s="241"/>
      <c r="N1203" s="241"/>
      <c r="O1203" s="241"/>
      <c r="P1203" s="241"/>
      <c r="Q1203" s="241"/>
      <c r="R1203" s="241"/>
      <c r="S1203" s="241"/>
      <c r="T1203" s="241"/>
      <c r="U1203" s="241"/>
      <c r="V1203" s="241"/>
      <c r="W1203" s="241"/>
      <c r="X1203" s="243"/>
      <c r="Y1203" s="243"/>
      <c r="Z1203" s="243"/>
      <c r="AA1203" s="243"/>
      <c r="AB1203" s="243"/>
      <c r="AC1203" s="243"/>
      <c r="AD1203" s="243"/>
      <c r="AE1203" s="243"/>
      <c r="AF1203" s="243"/>
      <c r="AG1203" s="243"/>
      <c r="AH1203" s="243"/>
      <c r="AI1203" s="243"/>
      <c r="AJ1203" s="243"/>
    </row>
    <row r="1204" hidden="1">
      <c r="A1204" s="241" t="str">
        <f>IFERROR(__xludf.DUMMYFUNCTION("""COMPUTED_VALUE"""),"Quicksilver")</f>
        <v>Quicksilver</v>
      </c>
      <c r="B1204" s="241"/>
      <c r="C1204" s="241" t="str">
        <f>IFERROR(__xludf.DUMMYFUNCTION("""COMPUTED_VALUE"""),"Pergaminho de sangue")</f>
        <v>Pergaminho de sangue</v>
      </c>
      <c r="D1204" s="241"/>
      <c r="E1204" s="241" t="str">
        <f>IFERROR(__xludf.DUMMYFUNCTION("""COMPUTED_VALUE"""),"Agulhas Envenenadas")</f>
        <v>Agulhas Envenenadas</v>
      </c>
      <c r="F1204" s="241"/>
      <c r="G1204" s="241" t="str">
        <f>IFERROR(__xludf.DUMMYFUNCTION("""COMPUTED_VALUE"""),"Gaia's Essence")</f>
        <v>Gaia's Essence</v>
      </c>
      <c r="H1204" s="241"/>
      <c r="I1204" s="241" t="str">
        <f>IFERROR(__xludf.DUMMYFUNCTION("""COMPUTED_VALUE"""),"Pergaminho de sangue")</f>
        <v>Pergaminho de sangue</v>
      </c>
      <c r="J1204" s="241"/>
      <c r="K1204" s="241"/>
      <c r="L1204" s="242"/>
      <c r="M1204" s="241"/>
      <c r="N1204" s="241"/>
      <c r="O1204" s="241"/>
      <c r="P1204" s="241"/>
      <c r="Q1204" s="241"/>
      <c r="R1204" s="241"/>
      <c r="S1204" s="241"/>
      <c r="T1204" s="241"/>
      <c r="U1204" s="241"/>
      <c r="V1204" s="241"/>
      <c r="W1204" s="241"/>
      <c r="X1204" s="243"/>
      <c r="Y1204" s="243"/>
      <c r="Z1204" s="243"/>
      <c r="AA1204" s="243"/>
      <c r="AB1204" s="243"/>
      <c r="AC1204" s="243"/>
      <c r="AD1204" s="243"/>
      <c r="AE1204" s="243"/>
      <c r="AF1204" s="243"/>
      <c r="AG1204" s="243"/>
      <c r="AH1204" s="243"/>
      <c r="AI1204" s="243"/>
      <c r="AJ1204" s="243"/>
    </row>
    <row r="1205" hidden="1">
      <c r="A1205" s="241"/>
      <c r="B1205" s="241"/>
      <c r="C1205" s="241" t="str">
        <f>IFERROR(__xludf.DUMMYFUNCTION("""COMPUTED_VALUE"""),"Gotas de Elíxir")</f>
        <v>Gotas de Elíxir</v>
      </c>
      <c r="D1205" s="241"/>
      <c r="E1205" s="241" t="str">
        <f>IFERROR(__xludf.DUMMYFUNCTION("""COMPUTED_VALUE"""),"Bomba Tóxica")</f>
        <v>Bomba Tóxica</v>
      </c>
      <c r="F1205" s="241"/>
      <c r="G1205" s="241" t="str">
        <f>IFERROR(__xludf.DUMMYFUNCTION("""COMPUTED_VALUE"""),"Unholy Potion")</f>
        <v>Unholy Potion</v>
      </c>
      <c r="H1205" s="241"/>
      <c r="I1205" s="241" t="str">
        <f>IFERROR(__xludf.DUMMYFUNCTION("""COMPUTED_VALUE"""),"Gotas de Elíxir")</f>
        <v>Gotas de Elíxir</v>
      </c>
      <c r="J1205" s="241"/>
      <c r="K1205" s="241"/>
      <c r="L1205" s="242"/>
      <c r="M1205" s="241"/>
      <c r="N1205" s="241"/>
      <c r="O1205" s="241"/>
      <c r="P1205" s="241"/>
      <c r="Q1205" s="241"/>
      <c r="R1205" s="241"/>
      <c r="S1205" s="241"/>
      <c r="T1205" s="241"/>
      <c r="U1205" s="241"/>
      <c r="V1205" s="241"/>
      <c r="W1205" s="241"/>
      <c r="X1205" s="243"/>
      <c r="Y1205" s="243"/>
      <c r="Z1205" s="243"/>
      <c r="AA1205" s="243"/>
      <c r="AB1205" s="243"/>
      <c r="AC1205" s="243"/>
      <c r="AD1205" s="243"/>
      <c r="AE1205" s="243"/>
      <c r="AF1205" s="243"/>
      <c r="AG1205" s="243"/>
      <c r="AH1205" s="243"/>
      <c r="AI1205" s="243"/>
      <c r="AJ1205" s="243"/>
    </row>
    <row r="1206" hidden="1">
      <c r="A1206" s="241"/>
      <c r="B1206" s="241"/>
      <c r="C1206" s="241" t="str">
        <f>IFERROR(__xludf.DUMMYFUNCTION("""COMPUTED_VALUE"""),"Cálice")</f>
        <v>Cálice</v>
      </c>
      <c r="D1206" s="241"/>
      <c r="E1206" s="241" t="str">
        <f>IFERROR(__xludf.DUMMYFUNCTION("""COMPUTED_VALUE"""),"Shuriken Mágico")</f>
        <v>Shuriken Mágico</v>
      </c>
      <c r="F1206" s="241"/>
      <c r="G1206" s="241"/>
      <c r="H1206" s="241"/>
      <c r="I1206" s="241" t="str">
        <f>IFERROR(__xludf.DUMMYFUNCTION("""COMPUTED_VALUE"""),"Cálice")</f>
        <v>Cálice</v>
      </c>
      <c r="J1206" s="241"/>
      <c r="K1206" s="241"/>
      <c r="L1206" s="242"/>
      <c r="M1206" s="241"/>
      <c r="N1206" s="241"/>
      <c r="O1206" s="241"/>
      <c r="P1206" s="241"/>
      <c r="Q1206" s="241"/>
      <c r="R1206" s="241"/>
      <c r="S1206" s="241"/>
      <c r="T1206" s="241"/>
      <c r="U1206" s="241"/>
      <c r="V1206" s="241"/>
      <c r="W1206" s="241"/>
      <c r="X1206" s="243"/>
      <c r="Y1206" s="243"/>
      <c r="Z1206" s="243"/>
      <c r="AA1206" s="243"/>
      <c r="AB1206" s="243"/>
      <c r="AC1206" s="243"/>
      <c r="AD1206" s="243"/>
      <c r="AE1206" s="243"/>
      <c r="AF1206" s="243"/>
      <c r="AG1206" s="243"/>
      <c r="AH1206" s="243"/>
      <c r="AI1206" s="243"/>
      <c r="AJ1206" s="243"/>
    </row>
    <row r="1207" hidden="1">
      <c r="A1207" s="241"/>
      <c r="B1207" s="241"/>
      <c r="C1207" s="241" t="str">
        <f>IFERROR(__xludf.DUMMYFUNCTION("""COMPUTED_VALUE"""),"Sangue de Demônio")</f>
        <v>Sangue de Demônio</v>
      </c>
      <c r="D1207" s="241"/>
      <c r="E1207" s="241" t="str">
        <f>IFERROR(__xludf.DUMMYFUNCTION("""COMPUTED_VALUE"""),"Milho Arco-íris")</f>
        <v>Milho Arco-íris</v>
      </c>
      <c r="F1207" s="241"/>
      <c r="G1207" s="241"/>
      <c r="H1207" s="241"/>
      <c r="I1207" s="241" t="str">
        <f>IFERROR(__xludf.DUMMYFUNCTION("""COMPUTED_VALUE"""),"Sangue de Demônio")</f>
        <v>Sangue de Demônio</v>
      </c>
      <c r="J1207" s="241"/>
      <c r="K1207" s="241"/>
      <c r="L1207" s="242"/>
      <c r="M1207" s="241"/>
      <c r="N1207" s="241"/>
      <c r="O1207" s="241"/>
      <c r="P1207" s="241"/>
      <c r="Q1207" s="241"/>
      <c r="R1207" s="241"/>
      <c r="S1207" s="241"/>
      <c r="T1207" s="241"/>
      <c r="U1207" s="241"/>
      <c r="V1207" s="241"/>
      <c r="W1207" s="241"/>
      <c r="X1207" s="243"/>
      <c r="Y1207" s="243"/>
      <c r="Z1207" s="243"/>
      <c r="AA1207" s="243"/>
      <c r="AB1207" s="243"/>
      <c r="AC1207" s="243"/>
      <c r="AD1207" s="243"/>
      <c r="AE1207" s="243"/>
      <c r="AF1207" s="243"/>
      <c r="AG1207" s="243"/>
      <c r="AH1207" s="243"/>
      <c r="AI1207" s="243"/>
      <c r="AJ1207" s="243"/>
    </row>
    <row r="1208" hidden="1">
      <c r="A1208" s="241"/>
      <c r="B1208" s="241"/>
      <c r="C1208" s="241" t="str">
        <f>IFERROR(__xludf.DUMMYFUNCTION("""COMPUTED_VALUE"""),"Elven Sunblock")</f>
        <v>Elven Sunblock</v>
      </c>
      <c r="D1208" s="241"/>
      <c r="E1208" s="241" t="str">
        <f>IFERROR(__xludf.DUMMYFUNCTION("""COMPUTED_VALUE"""),"Chakran Cantante")</f>
        <v>Chakran Cantante</v>
      </c>
      <c r="F1208" s="241"/>
      <c r="G1208" s="241"/>
      <c r="H1208" s="241"/>
      <c r="I1208" s="241" t="str">
        <f>IFERROR(__xludf.DUMMYFUNCTION("""COMPUTED_VALUE"""),"Elven Sunblock")</f>
        <v>Elven Sunblock</v>
      </c>
      <c r="J1208" s="241"/>
      <c r="K1208" s="241"/>
      <c r="L1208" s="242"/>
      <c r="M1208" s="241"/>
      <c r="N1208" s="241"/>
      <c r="O1208" s="241"/>
      <c r="P1208" s="241"/>
      <c r="Q1208" s="241"/>
      <c r="R1208" s="241"/>
      <c r="S1208" s="241"/>
      <c r="T1208" s="241"/>
      <c r="U1208" s="241"/>
      <c r="V1208" s="241"/>
      <c r="W1208" s="241"/>
      <c r="X1208" s="243"/>
      <c r="Y1208" s="243"/>
      <c r="Z1208" s="243"/>
      <c r="AA1208" s="243"/>
      <c r="AB1208" s="243"/>
      <c r="AC1208" s="243"/>
      <c r="AD1208" s="243"/>
      <c r="AE1208" s="243"/>
      <c r="AF1208" s="243"/>
      <c r="AG1208" s="243"/>
      <c r="AH1208" s="243"/>
      <c r="AI1208" s="243"/>
      <c r="AJ1208" s="243"/>
    </row>
    <row r="1209" hidden="1">
      <c r="A1209" s="241"/>
      <c r="B1209" s="241"/>
      <c r="C1209" s="241" t="str">
        <f>IFERROR(__xludf.DUMMYFUNCTION("""COMPUTED_VALUE"""),"Elixir ")</f>
        <v>Elixir </v>
      </c>
      <c r="D1209" s="241"/>
      <c r="E1209" s="241" t="str">
        <f>IFERROR(__xludf.DUMMYFUNCTION("""COMPUTED_VALUE"""),"Dardos Explosivos")</f>
        <v>Dardos Explosivos</v>
      </c>
      <c r="F1209" s="241"/>
      <c r="G1209" s="241"/>
      <c r="H1209" s="241"/>
      <c r="I1209" s="241" t="str">
        <f>IFERROR(__xludf.DUMMYFUNCTION("""COMPUTED_VALUE"""),"Elixir ")</f>
        <v>Elixir </v>
      </c>
      <c r="J1209" s="241"/>
      <c r="K1209" s="241"/>
      <c r="L1209" s="242"/>
      <c r="M1209" s="241"/>
      <c r="N1209" s="241"/>
      <c r="O1209" s="241"/>
      <c r="P1209" s="241"/>
      <c r="Q1209" s="241"/>
      <c r="R1209" s="241"/>
      <c r="S1209" s="241"/>
      <c r="T1209" s="241"/>
      <c r="U1209" s="241"/>
      <c r="V1209" s="241"/>
      <c r="W1209" s="241"/>
      <c r="X1209" s="243"/>
      <c r="Y1209" s="243"/>
      <c r="Z1209" s="243"/>
      <c r="AA1209" s="243"/>
      <c r="AB1209" s="243"/>
      <c r="AC1209" s="243"/>
      <c r="AD1209" s="243"/>
      <c r="AE1209" s="243"/>
      <c r="AF1209" s="243"/>
      <c r="AG1209" s="243"/>
      <c r="AH1209" s="243"/>
      <c r="AI1209" s="243"/>
      <c r="AJ1209" s="243"/>
    </row>
    <row r="1210" hidden="1">
      <c r="A1210" s="241"/>
      <c r="B1210" s="241"/>
      <c r="C1210" s="241" t="str">
        <f>IFERROR(__xludf.DUMMYFUNCTION("""COMPUTED_VALUE"""),"Sangue de Dragão ")</f>
        <v>Sangue de Dragão </v>
      </c>
      <c r="D1210" s="241"/>
      <c r="E1210" s="241" t="str">
        <f>IFERROR(__xludf.DUMMYFUNCTION("""COMPUTED_VALUE"""),"Fura-Coração")</f>
        <v>Fura-Coração</v>
      </c>
      <c r="F1210" s="241"/>
      <c r="G1210" s="241"/>
      <c r="H1210" s="241"/>
      <c r="I1210" s="241" t="str">
        <f>IFERROR(__xludf.DUMMYFUNCTION("""COMPUTED_VALUE"""),"Sangue de Dragão ")</f>
        <v>Sangue de Dragão </v>
      </c>
      <c r="J1210" s="241"/>
      <c r="K1210" s="241"/>
      <c r="L1210" s="242"/>
      <c r="M1210" s="241"/>
      <c r="N1210" s="241"/>
      <c r="O1210" s="241"/>
      <c r="P1210" s="241"/>
      <c r="Q1210" s="241"/>
      <c r="R1210" s="241"/>
      <c r="S1210" s="241"/>
      <c r="T1210" s="241"/>
      <c r="U1210" s="241"/>
      <c r="V1210" s="241"/>
      <c r="W1210" s="241"/>
      <c r="X1210" s="243"/>
      <c r="Y1210" s="243"/>
      <c r="Z1210" s="243"/>
      <c r="AA1210" s="243"/>
      <c r="AB1210" s="243"/>
      <c r="AC1210" s="243"/>
      <c r="AD1210" s="243"/>
      <c r="AE1210" s="243"/>
      <c r="AF1210" s="243"/>
      <c r="AG1210" s="243"/>
      <c r="AH1210" s="243"/>
      <c r="AI1210" s="243"/>
      <c r="AJ1210" s="243"/>
    </row>
    <row r="1211" hidden="1">
      <c r="A1211" s="241"/>
      <c r="B1211" s="241"/>
      <c r="C1211" s="241" t="str">
        <f>IFERROR(__xludf.DUMMYFUNCTION("""COMPUTED_VALUE"""),"Megalixir ")</f>
        <v>Megalixir </v>
      </c>
      <c r="D1211" s="241"/>
      <c r="E1211" s="241" t="str">
        <f>IFERROR(__xludf.DUMMYFUNCTION("""COMPUTED_VALUE"""),"Estrondo de trovão")</f>
        <v>Estrondo de trovão</v>
      </c>
      <c r="F1211" s="241"/>
      <c r="G1211" s="241"/>
      <c r="H1211" s="241"/>
      <c r="I1211" s="241" t="str">
        <f>IFERROR(__xludf.DUMMYFUNCTION("""COMPUTED_VALUE"""),"Megalixir ")</f>
        <v>Megalixir </v>
      </c>
      <c r="J1211" s="241"/>
      <c r="K1211" s="241"/>
      <c r="L1211" s="242"/>
      <c r="M1211" s="241"/>
      <c r="N1211" s="241"/>
      <c r="O1211" s="241"/>
      <c r="P1211" s="241"/>
      <c r="Q1211" s="241"/>
      <c r="R1211" s="241"/>
      <c r="S1211" s="241"/>
      <c r="T1211" s="241"/>
      <c r="U1211" s="241"/>
      <c r="V1211" s="241"/>
      <c r="W1211" s="241"/>
      <c r="X1211" s="243"/>
      <c r="Y1211" s="243"/>
      <c r="Z1211" s="243"/>
      <c r="AA1211" s="243"/>
      <c r="AB1211" s="243"/>
      <c r="AC1211" s="243"/>
      <c r="AD1211" s="243"/>
      <c r="AE1211" s="243"/>
      <c r="AF1211" s="243"/>
      <c r="AG1211" s="243"/>
      <c r="AH1211" s="243"/>
      <c r="AI1211" s="243"/>
      <c r="AJ1211" s="243"/>
    </row>
    <row r="1212" hidden="1">
      <c r="A1212" s="241"/>
      <c r="B1212" s="241"/>
      <c r="C1212" s="241" t="str">
        <f>IFERROR(__xludf.DUMMYFUNCTION("""COMPUTED_VALUE"""),"Elixir of Immortality")</f>
        <v>Elixir of Immortality</v>
      </c>
      <c r="D1212" s="241"/>
      <c r="E1212" s="241" t="str">
        <f>IFERROR(__xludf.DUMMYFUNCTION("""COMPUTED_VALUE"""),"Kunai de fogo-gelo")</f>
        <v>Kunai de fogo-gelo</v>
      </c>
      <c r="F1212" s="241"/>
      <c r="G1212" s="241"/>
      <c r="H1212" s="241"/>
      <c r="I1212" s="241" t="str">
        <f>IFERROR(__xludf.DUMMYFUNCTION("""COMPUTED_VALUE"""),"Elixir of Immortality")</f>
        <v>Elixir of Immortality</v>
      </c>
      <c r="J1212" s="241"/>
      <c r="K1212" s="241"/>
      <c r="L1212" s="242"/>
      <c r="M1212" s="241"/>
      <c r="N1212" s="241"/>
      <c r="O1212" s="241"/>
      <c r="P1212" s="241"/>
      <c r="Q1212" s="241"/>
      <c r="R1212" s="241"/>
      <c r="S1212" s="241"/>
      <c r="T1212" s="241"/>
      <c r="U1212" s="241"/>
      <c r="V1212" s="241"/>
      <c r="W1212" s="241"/>
      <c r="X1212" s="243"/>
      <c r="Y1212" s="243"/>
      <c r="Z1212" s="243"/>
      <c r="AA1212" s="243"/>
      <c r="AB1212" s="243"/>
      <c r="AC1212" s="243"/>
      <c r="AD1212" s="243"/>
      <c r="AE1212" s="243"/>
      <c r="AF1212" s="243"/>
      <c r="AG1212" s="243"/>
      <c r="AH1212" s="243"/>
      <c r="AI1212" s="243"/>
      <c r="AJ1212" s="243"/>
    </row>
    <row r="1213" hidden="1">
      <c r="A1213" s="241"/>
      <c r="B1213" s="241"/>
      <c r="C1213" s="241" t="str">
        <f>IFERROR(__xludf.DUMMYFUNCTION("""COMPUTED_VALUE"""),"Essência de Deus")</f>
        <v>Essência de Deus</v>
      </c>
      <c r="D1213" s="241"/>
      <c r="E1213" s="241" t="str">
        <f>IFERROR(__xludf.DUMMYFUNCTION("""COMPUTED_VALUE"""),"Eggsplosives")</f>
        <v>Eggsplosives</v>
      </c>
      <c r="F1213" s="241"/>
      <c r="G1213" s="241"/>
      <c r="H1213" s="241"/>
      <c r="I1213" s="241" t="str">
        <f>IFERROR(__xludf.DUMMYFUNCTION("""COMPUTED_VALUE"""),"Essência de Deus")</f>
        <v>Essência de Deus</v>
      </c>
      <c r="J1213" s="241"/>
      <c r="K1213" s="241"/>
      <c r="L1213" s="242"/>
      <c r="M1213" s="241"/>
      <c r="N1213" s="241"/>
      <c r="O1213" s="241"/>
      <c r="P1213" s="241"/>
      <c r="Q1213" s="241"/>
      <c r="R1213" s="241"/>
      <c r="S1213" s="241"/>
      <c r="T1213" s="241"/>
      <c r="U1213" s="241"/>
      <c r="V1213" s="241"/>
      <c r="W1213" s="241"/>
      <c r="X1213" s="243"/>
      <c r="Y1213" s="243"/>
      <c r="Z1213" s="243"/>
      <c r="AA1213" s="243"/>
      <c r="AB1213" s="243"/>
      <c r="AC1213" s="243"/>
      <c r="AD1213" s="243"/>
      <c r="AE1213" s="243"/>
      <c r="AF1213" s="243"/>
      <c r="AG1213" s="243"/>
      <c r="AH1213" s="243"/>
      <c r="AI1213" s="243"/>
      <c r="AJ1213" s="243"/>
    </row>
    <row r="1214" hidden="1">
      <c r="A1214" s="241"/>
      <c r="B1214" s="241"/>
      <c r="C1214" s="241" t="str">
        <f>IFERROR(__xludf.DUMMYFUNCTION("""COMPUTED_VALUE"""),"Poção de Obsidiana")</f>
        <v>Poção de Obsidiana</v>
      </c>
      <c r="D1214" s="241"/>
      <c r="E1214" s="241" t="str">
        <f>IFERROR(__xludf.DUMMYFUNCTION("""COMPUTED_VALUE"""),"Bomba do Inferno")</f>
        <v>Bomba do Inferno</v>
      </c>
      <c r="F1214" s="241"/>
      <c r="G1214" s="241"/>
      <c r="H1214" s="241"/>
      <c r="I1214" s="241" t="str">
        <f>IFERROR(__xludf.DUMMYFUNCTION("""COMPUTED_VALUE"""),"Poção de Obsidiana")</f>
        <v>Poção de Obsidiana</v>
      </c>
      <c r="J1214" s="241"/>
      <c r="K1214" s="241"/>
      <c r="L1214" s="242"/>
      <c r="M1214" s="241"/>
      <c r="N1214" s="241"/>
      <c r="O1214" s="241"/>
      <c r="P1214" s="241"/>
      <c r="Q1214" s="241"/>
      <c r="R1214" s="241"/>
      <c r="S1214" s="241"/>
      <c r="T1214" s="241"/>
      <c r="U1214" s="241"/>
      <c r="V1214" s="241"/>
      <c r="W1214" s="241"/>
      <c r="X1214" s="243"/>
      <c r="Y1214" s="243"/>
      <c r="Z1214" s="243"/>
      <c r="AA1214" s="243"/>
      <c r="AB1214" s="243"/>
      <c r="AC1214" s="243"/>
      <c r="AD1214" s="243"/>
      <c r="AE1214" s="243"/>
      <c r="AF1214" s="243"/>
      <c r="AG1214" s="243"/>
      <c r="AH1214" s="243"/>
      <c r="AI1214" s="243"/>
      <c r="AJ1214" s="243"/>
    </row>
    <row r="1215" hidden="1">
      <c r="A1215" s="241"/>
      <c r="B1215" s="241"/>
      <c r="C1215" s="241" t="str">
        <f>IFERROR(__xludf.DUMMYFUNCTION("""COMPUTED_VALUE"""),"Pirate's Brew")</f>
        <v>Pirate's Brew</v>
      </c>
      <c r="D1215" s="241"/>
      <c r="E1215" s="241" t="str">
        <f>IFERROR(__xludf.DUMMYFUNCTION("""COMPUTED_VALUE"""),"Flying Guillotine")</f>
        <v>Flying Guillotine</v>
      </c>
      <c r="F1215" s="241"/>
      <c r="G1215" s="241"/>
      <c r="H1215" s="241"/>
      <c r="I1215" s="241" t="str">
        <f>IFERROR(__xludf.DUMMYFUNCTION("""COMPUTED_VALUE"""),"Pirate's Brew")</f>
        <v>Pirate's Brew</v>
      </c>
      <c r="J1215" s="241"/>
      <c r="K1215" s="241"/>
      <c r="L1215" s="242"/>
      <c r="M1215" s="241"/>
      <c r="N1215" s="241"/>
      <c r="O1215" s="241"/>
      <c r="P1215" s="241"/>
      <c r="Q1215" s="241"/>
      <c r="R1215" s="241"/>
      <c r="S1215" s="241"/>
      <c r="T1215" s="241"/>
      <c r="U1215" s="241"/>
      <c r="V1215" s="241"/>
      <c r="W1215" s="241"/>
      <c r="X1215" s="243"/>
      <c r="Y1215" s="243"/>
      <c r="Z1215" s="243"/>
      <c r="AA1215" s="243"/>
      <c r="AB1215" s="243"/>
      <c r="AC1215" s="243"/>
      <c r="AD1215" s="243"/>
      <c r="AE1215" s="243"/>
      <c r="AF1215" s="243"/>
      <c r="AG1215" s="243"/>
      <c r="AH1215" s="243"/>
      <c r="AI1215" s="243"/>
      <c r="AJ1215" s="243"/>
    </row>
    <row r="1216" hidden="1">
      <c r="A1216" s="241"/>
      <c r="B1216" s="241"/>
      <c r="C1216" s="241" t="str">
        <f>IFERROR(__xludf.DUMMYFUNCTION("""COMPUTED_VALUE"""),"Poção Fogo de Dragão")</f>
        <v>Poção Fogo de Dragão</v>
      </c>
      <c r="D1216" s="241"/>
      <c r="E1216" s="241" t="str">
        <f>IFERROR(__xludf.DUMMYFUNCTION("""COMPUTED_VALUE"""),"Quicksilver")</f>
        <v>Quicksilver</v>
      </c>
      <c r="F1216" s="241"/>
      <c r="G1216" s="241"/>
      <c r="H1216" s="241"/>
      <c r="I1216" s="241" t="str">
        <f>IFERROR(__xludf.DUMMYFUNCTION("""COMPUTED_VALUE"""),"Poção Fogo de Dragão")</f>
        <v>Poção Fogo de Dragão</v>
      </c>
      <c r="J1216" s="241"/>
      <c r="K1216" s="241"/>
      <c r="L1216" s="242"/>
      <c r="M1216" s="241"/>
      <c r="N1216" s="241"/>
      <c r="O1216" s="241"/>
      <c r="P1216" s="241"/>
      <c r="Q1216" s="241"/>
      <c r="R1216" s="241"/>
      <c r="S1216" s="241"/>
      <c r="T1216" s="241"/>
      <c r="U1216" s="241"/>
      <c r="V1216" s="241"/>
      <c r="W1216" s="241"/>
      <c r="X1216" s="243"/>
      <c r="Y1216" s="243"/>
      <c r="Z1216" s="243"/>
      <c r="AA1216" s="243"/>
      <c r="AB1216" s="243"/>
      <c r="AC1216" s="243"/>
      <c r="AD1216" s="243"/>
      <c r="AE1216" s="243"/>
      <c r="AF1216" s="243"/>
      <c r="AG1216" s="243"/>
      <c r="AH1216" s="243"/>
      <c r="AI1216" s="243"/>
      <c r="AJ1216" s="243"/>
    </row>
    <row r="1217" hidden="1">
      <c r="A1217" s="241"/>
      <c r="B1217" s="241"/>
      <c r="C1217" s="241" t="str">
        <f>IFERROR(__xludf.DUMMYFUNCTION("""COMPUTED_VALUE"""),"Gaia's Essence")</f>
        <v>Gaia's Essence</v>
      </c>
      <c r="D1217" s="241"/>
      <c r="E1217" s="241"/>
      <c r="F1217" s="241"/>
      <c r="G1217" s="241"/>
      <c r="H1217" s="241"/>
      <c r="I1217" s="241" t="str">
        <f>IFERROR(__xludf.DUMMYFUNCTION("""COMPUTED_VALUE"""),"Gaia's Essence")</f>
        <v>Gaia's Essence</v>
      </c>
      <c r="J1217" s="241"/>
      <c r="K1217" s="241"/>
      <c r="L1217" s="242"/>
      <c r="M1217" s="241"/>
      <c r="N1217" s="241"/>
      <c r="O1217" s="241"/>
      <c r="P1217" s="241"/>
      <c r="Q1217" s="241"/>
      <c r="R1217" s="241"/>
      <c r="S1217" s="241"/>
      <c r="T1217" s="241"/>
      <c r="U1217" s="241"/>
      <c r="V1217" s="241"/>
      <c r="W1217" s="241"/>
      <c r="X1217" s="243"/>
      <c r="Y1217" s="243"/>
      <c r="Z1217" s="243"/>
      <c r="AA1217" s="243"/>
      <c r="AB1217" s="243"/>
      <c r="AC1217" s="243"/>
      <c r="AD1217" s="243"/>
      <c r="AE1217" s="243"/>
      <c r="AF1217" s="243"/>
      <c r="AG1217" s="243"/>
      <c r="AH1217" s="243"/>
      <c r="AI1217" s="243"/>
      <c r="AJ1217" s="243"/>
    </row>
    <row r="1218" hidden="1">
      <c r="A1218" s="241"/>
      <c r="B1218" s="241"/>
      <c r="C1218" s="241" t="str">
        <f>IFERROR(__xludf.DUMMYFUNCTION("""COMPUTED_VALUE"""),"Unholy Potion")</f>
        <v>Unholy Potion</v>
      </c>
      <c r="D1218" s="241"/>
      <c r="E1218" s="241"/>
      <c r="F1218" s="241"/>
      <c r="G1218" s="241"/>
      <c r="H1218" s="241"/>
      <c r="I1218" s="241" t="str">
        <f>IFERROR(__xludf.DUMMYFUNCTION("""COMPUTED_VALUE"""),"Unholy Potion")</f>
        <v>Unholy Potion</v>
      </c>
      <c r="J1218" s="241"/>
      <c r="K1218" s="241"/>
      <c r="L1218" s="242"/>
      <c r="M1218" s="241"/>
      <c r="N1218" s="241"/>
      <c r="O1218" s="241"/>
      <c r="P1218" s="241"/>
      <c r="Q1218" s="241"/>
      <c r="R1218" s="241"/>
      <c r="S1218" s="241"/>
      <c r="T1218" s="241"/>
      <c r="U1218" s="241"/>
      <c r="V1218" s="241"/>
      <c r="W1218" s="241"/>
      <c r="X1218" s="243"/>
      <c r="Y1218" s="243"/>
      <c r="Z1218" s="243"/>
      <c r="AA1218" s="243"/>
      <c r="AB1218" s="243"/>
      <c r="AC1218" s="243"/>
      <c r="AD1218" s="243"/>
      <c r="AE1218" s="243"/>
      <c r="AF1218" s="243"/>
      <c r="AG1218" s="243"/>
      <c r="AH1218" s="243"/>
      <c r="AI1218" s="243"/>
      <c r="AJ1218" s="243"/>
    </row>
    <row r="1219" hidden="1">
      <c r="A1219" s="241"/>
      <c r="B1219" s="241"/>
      <c r="C1219" s="241"/>
      <c r="D1219" s="241"/>
      <c r="E1219" s="241"/>
      <c r="F1219" s="241"/>
      <c r="G1219" s="241"/>
      <c r="H1219" s="241"/>
      <c r="I1219" s="241"/>
      <c r="J1219" s="241"/>
      <c r="K1219" s="241"/>
      <c r="L1219" s="242"/>
      <c r="M1219" s="241"/>
      <c r="N1219" s="241"/>
      <c r="O1219" s="241"/>
      <c r="P1219" s="241"/>
      <c r="Q1219" s="241"/>
      <c r="R1219" s="241"/>
      <c r="S1219" s="241"/>
      <c r="T1219" s="241"/>
      <c r="U1219" s="241"/>
      <c r="V1219" s="241"/>
      <c r="W1219" s="241"/>
      <c r="X1219" s="243"/>
      <c r="Y1219" s="243"/>
      <c r="Z1219" s="243"/>
      <c r="AA1219" s="243"/>
      <c r="AB1219" s="243"/>
      <c r="AC1219" s="243"/>
      <c r="AD1219" s="243"/>
      <c r="AE1219" s="243"/>
      <c r="AF1219" s="243"/>
      <c r="AG1219" s="243"/>
      <c r="AH1219" s="243"/>
      <c r="AI1219" s="243"/>
      <c r="AJ1219" s="243"/>
    </row>
    <row r="1220" hidden="1">
      <c r="A1220" s="241"/>
      <c r="B1220" s="241"/>
      <c r="C1220" s="241"/>
      <c r="D1220" s="241"/>
      <c r="E1220" s="241"/>
      <c r="F1220" s="241"/>
      <c r="G1220" s="241"/>
      <c r="H1220" s="241"/>
      <c r="I1220" s="241"/>
      <c r="J1220" s="241"/>
      <c r="K1220" s="241"/>
      <c r="L1220" s="242"/>
      <c r="M1220" s="241"/>
      <c r="N1220" s="241"/>
      <c r="O1220" s="241"/>
      <c r="P1220" s="241"/>
      <c r="Q1220" s="241"/>
      <c r="R1220" s="241"/>
      <c r="S1220" s="241"/>
      <c r="T1220" s="241"/>
      <c r="U1220" s="241"/>
      <c r="V1220" s="241"/>
      <c r="W1220" s="241"/>
      <c r="X1220" s="243"/>
      <c r="Y1220" s="243"/>
      <c r="Z1220" s="243"/>
      <c r="AA1220" s="243"/>
      <c r="AB1220" s="243"/>
      <c r="AC1220" s="243"/>
      <c r="AD1220" s="243"/>
      <c r="AE1220" s="243"/>
      <c r="AF1220" s="243"/>
      <c r="AG1220" s="243"/>
      <c r="AH1220" s="243"/>
      <c r="AI1220" s="243"/>
      <c r="AJ1220" s="243"/>
    </row>
    <row r="1221" hidden="1">
      <c r="A1221" s="241"/>
      <c r="B1221" s="241"/>
      <c r="C1221" s="241"/>
      <c r="D1221" s="241"/>
      <c r="E1221" s="241"/>
      <c r="F1221" s="241"/>
      <c r="G1221" s="241"/>
      <c r="H1221" s="241"/>
      <c r="I1221" s="241"/>
      <c r="J1221" s="241"/>
      <c r="K1221" s="241"/>
      <c r="L1221" s="242"/>
      <c r="M1221" s="241"/>
      <c r="N1221" s="241"/>
      <c r="O1221" s="241"/>
      <c r="P1221" s="241"/>
      <c r="Q1221" s="241"/>
      <c r="R1221" s="241"/>
      <c r="S1221" s="241"/>
      <c r="T1221" s="241"/>
      <c r="U1221" s="241"/>
      <c r="V1221" s="241"/>
      <c r="W1221" s="241"/>
      <c r="X1221" s="243"/>
      <c r="Y1221" s="243"/>
      <c r="Z1221" s="243"/>
      <c r="AA1221" s="243"/>
      <c r="AB1221" s="243"/>
      <c r="AC1221" s="243"/>
      <c r="AD1221" s="243"/>
      <c r="AE1221" s="243"/>
      <c r="AF1221" s="243"/>
      <c r="AG1221" s="243"/>
      <c r="AH1221" s="243"/>
      <c r="AI1221" s="243"/>
      <c r="AJ1221" s="243"/>
    </row>
    <row r="1222" hidden="1">
      <c r="A1222" s="241"/>
      <c r="B1222" s="241"/>
      <c r="C1222" s="241"/>
      <c r="D1222" s="241"/>
      <c r="E1222" s="241"/>
      <c r="F1222" s="241"/>
      <c r="G1222" s="241"/>
      <c r="H1222" s="241"/>
      <c r="I1222" s="241"/>
      <c r="J1222" s="241"/>
      <c r="K1222" s="241"/>
      <c r="L1222" s="242"/>
      <c r="M1222" s="241"/>
      <c r="N1222" s="241"/>
      <c r="O1222" s="241"/>
      <c r="P1222" s="241"/>
      <c r="Q1222" s="241"/>
      <c r="R1222" s="241"/>
      <c r="S1222" s="241"/>
      <c r="T1222" s="241"/>
      <c r="U1222" s="241"/>
      <c r="V1222" s="241"/>
      <c r="W1222" s="241"/>
      <c r="X1222" s="243"/>
      <c r="Y1222" s="243"/>
      <c r="Z1222" s="243"/>
      <c r="AA1222" s="243"/>
      <c r="AB1222" s="243"/>
      <c r="AC1222" s="243"/>
      <c r="AD1222" s="243"/>
      <c r="AE1222" s="243"/>
      <c r="AF1222" s="243"/>
      <c r="AG1222" s="243"/>
      <c r="AH1222" s="243"/>
      <c r="AI1222" s="243"/>
      <c r="AJ1222" s="243"/>
    </row>
    <row r="1223" hidden="1">
      <c r="A1223" s="241"/>
      <c r="B1223" s="241"/>
      <c r="C1223" s="241"/>
      <c r="D1223" s="241"/>
      <c r="E1223" s="241"/>
      <c r="F1223" s="241"/>
      <c r="G1223" s="241"/>
      <c r="H1223" s="241"/>
      <c r="I1223" s="241"/>
      <c r="J1223" s="241"/>
      <c r="K1223" s="241"/>
      <c r="L1223" s="242"/>
      <c r="M1223" s="241"/>
      <c r="N1223" s="241"/>
      <c r="O1223" s="241"/>
      <c r="P1223" s="241"/>
      <c r="Q1223" s="241"/>
      <c r="R1223" s="241"/>
      <c r="S1223" s="241"/>
      <c r="T1223" s="241"/>
      <c r="U1223" s="241"/>
      <c r="V1223" s="241"/>
      <c r="W1223" s="241"/>
      <c r="X1223" s="243"/>
      <c r="Y1223" s="243"/>
      <c r="Z1223" s="243"/>
      <c r="AA1223" s="243"/>
      <c r="AB1223" s="243"/>
      <c r="AC1223" s="243"/>
      <c r="AD1223" s="243"/>
      <c r="AE1223" s="243"/>
      <c r="AF1223" s="243"/>
      <c r="AG1223" s="243"/>
      <c r="AH1223" s="243"/>
      <c r="AI1223" s="243"/>
      <c r="AJ1223" s="243"/>
    </row>
    <row r="1224" hidden="1">
      <c r="A1224" s="241"/>
      <c r="B1224" s="241"/>
      <c r="C1224" s="241"/>
      <c r="D1224" s="241"/>
      <c r="E1224" s="241"/>
      <c r="F1224" s="241"/>
      <c r="G1224" s="241"/>
      <c r="H1224" s="241"/>
      <c r="I1224" s="241"/>
      <c r="J1224" s="241"/>
      <c r="K1224" s="241"/>
      <c r="L1224" s="242"/>
      <c r="M1224" s="241"/>
      <c r="N1224" s="241"/>
      <c r="O1224" s="241"/>
      <c r="P1224" s="241"/>
      <c r="Q1224" s="241"/>
      <c r="R1224" s="241"/>
      <c r="S1224" s="241"/>
      <c r="T1224" s="241"/>
      <c r="U1224" s="241"/>
      <c r="V1224" s="241"/>
      <c r="W1224" s="241"/>
      <c r="X1224" s="243"/>
      <c r="Y1224" s="243"/>
      <c r="Z1224" s="243"/>
      <c r="AA1224" s="243"/>
      <c r="AB1224" s="243"/>
      <c r="AC1224" s="243"/>
      <c r="AD1224" s="243"/>
      <c r="AE1224" s="243"/>
      <c r="AF1224" s="243"/>
      <c r="AG1224" s="243"/>
      <c r="AH1224" s="243"/>
      <c r="AI1224" s="243"/>
      <c r="AJ1224" s="243"/>
    </row>
    <row r="1225" hidden="1">
      <c r="A1225" s="241"/>
      <c r="B1225" s="241"/>
      <c r="C1225" s="241"/>
      <c r="D1225" s="241"/>
      <c r="E1225" s="241"/>
      <c r="F1225" s="241"/>
      <c r="G1225" s="241"/>
      <c r="H1225" s="241"/>
      <c r="I1225" s="241"/>
      <c r="J1225" s="241"/>
      <c r="K1225" s="241"/>
      <c r="L1225" s="242"/>
      <c r="M1225" s="241"/>
      <c r="N1225" s="241"/>
      <c r="O1225" s="241"/>
      <c r="P1225" s="241"/>
      <c r="Q1225" s="241"/>
      <c r="R1225" s="241"/>
      <c r="S1225" s="241"/>
      <c r="T1225" s="241"/>
      <c r="U1225" s="241"/>
      <c r="V1225" s="241"/>
      <c r="W1225" s="241"/>
      <c r="X1225" s="243"/>
      <c r="Y1225" s="243"/>
      <c r="Z1225" s="243"/>
      <c r="AA1225" s="243"/>
      <c r="AB1225" s="243"/>
      <c r="AC1225" s="243"/>
      <c r="AD1225" s="243"/>
      <c r="AE1225" s="243"/>
      <c r="AF1225" s="243"/>
      <c r="AG1225" s="243"/>
      <c r="AH1225" s="243"/>
      <c r="AI1225" s="243"/>
      <c r="AJ1225" s="243"/>
    </row>
    <row r="1226" hidden="1">
      <c r="A1226" s="241"/>
      <c r="B1226" s="241"/>
      <c r="C1226" s="241"/>
      <c r="D1226" s="241"/>
      <c r="E1226" s="241"/>
      <c r="F1226" s="241"/>
      <c r="G1226" s="241"/>
      <c r="H1226" s="241"/>
      <c r="I1226" s="241"/>
      <c r="J1226" s="241"/>
      <c r="K1226" s="241"/>
      <c r="L1226" s="242"/>
      <c r="M1226" s="241"/>
      <c r="N1226" s="241"/>
      <c r="O1226" s="241"/>
      <c r="P1226" s="241"/>
      <c r="Q1226" s="241"/>
      <c r="R1226" s="241"/>
      <c r="S1226" s="241"/>
      <c r="T1226" s="241"/>
      <c r="U1226" s="241"/>
      <c r="V1226" s="241"/>
      <c r="W1226" s="241"/>
      <c r="X1226" s="243"/>
      <c r="Y1226" s="243"/>
      <c r="Z1226" s="243"/>
      <c r="AA1226" s="243"/>
      <c r="AB1226" s="243"/>
      <c r="AC1226" s="243"/>
      <c r="AD1226" s="243"/>
      <c r="AE1226" s="243"/>
      <c r="AF1226" s="243"/>
      <c r="AG1226" s="243"/>
      <c r="AH1226" s="243"/>
      <c r="AI1226" s="243"/>
      <c r="AJ1226" s="243"/>
    </row>
    <row r="1227" hidden="1">
      <c r="A1227" s="241"/>
      <c r="B1227" s="241"/>
      <c r="C1227" s="241"/>
      <c r="D1227" s="241"/>
      <c r="E1227" s="241"/>
      <c r="F1227" s="241"/>
      <c r="G1227" s="241"/>
      <c r="H1227" s="241"/>
      <c r="I1227" s="241"/>
      <c r="J1227" s="241"/>
      <c r="K1227" s="241"/>
      <c r="L1227" s="242"/>
      <c r="M1227" s="241"/>
      <c r="N1227" s="241"/>
      <c r="O1227" s="241"/>
      <c r="P1227" s="241"/>
      <c r="Q1227" s="241"/>
      <c r="R1227" s="241"/>
      <c r="S1227" s="241"/>
      <c r="T1227" s="241"/>
      <c r="U1227" s="241"/>
      <c r="V1227" s="241"/>
      <c r="W1227" s="241"/>
      <c r="X1227" s="243"/>
      <c r="Y1227" s="243"/>
      <c r="Z1227" s="243"/>
      <c r="AA1227" s="243"/>
      <c r="AB1227" s="243"/>
      <c r="AC1227" s="243"/>
      <c r="AD1227" s="243"/>
      <c r="AE1227" s="243"/>
      <c r="AF1227" s="243"/>
      <c r="AG1227" s="243"/>
      <c r="AH1227" s="243"/>
      <c r="AI1227" s="243"/>
      <c r="AJ1227" s="243"/>
    </row>
    <row r="1228" hidden="1">
      <c r="A1228" s="241"/>
      <c r="B1228" s="241"/>
      <c r="C1228" s="241"/>
      <c r="D1228" s="241"/>
      <c r="E1228" s="241"/>
      <c r="F1228" s="241"/>
      <c r="G1228" s="241"/>
      <c r="H1228" s="241"/>
      <c r="I1228" s="241"/>
      <c r="J1228" s="241"/>
      <c r="K1228" s="241"/>
      <c r="L1228" s="242"/>
      <c r="M1228" s="241"/>
      <c r="N1228" s="241"/>
      <c r="O1228" s="241"/>
      <c r="P1228" s="241"/>
      <c r="Q1228" s="241"/>
      <c r="R1228" s="241"/>
      <c r="S1228" s="241"/>
      <c r="T1228" s="241"/>
      <c r="U1228" s="241"/>
      <c r="V1228" s="241"/>
      <c r="W1228" s="241"/>
      <c r="X1228" s="243"/>
      <c r="Y1228" s="243"/>
      <c r="Z1228" s="243"/>
      <c r="AA1228" s="243"/>
      <c r="AB1228" s="243"/>
      <c r="AC1228" s="243"/>
      <c r="AD1228" s="243"/>
      <c r="AE1228" s="243"/>
      <c r="AF1228" s="243"/>
      <c r="AG1228" s="243"/>
      <c r="AH1228" s="243"/>
      <c r="AI1228" s="243"/>
      <c r="AJ1228" s="243"/>
    </row>
    <row r="1229" hidden="1">
      <c r="A1229" s="241"/>
      <c r="B1229" s="241"/>
      <c r="C1229" s="241"/>
      <c r="D1229" s="241"/>
      <c r="E1229" s="241"/>
      <c r="F1229" s="241"/>
      <c r="G1229" s="241"/>
      <c r="H1229" s="241"/>
      <c r="I1229" s="241"/>
      <c r="J1229" s="241"/>
      <c r="K1229" s="241"/>
      <c r="L1229" s="242"/>
      <c r="M1229" s="241"/>
      <c r="N1229" s="241"/>
      <c r="O1229" s="241"/>
      <c r="P1229" s="241"/>
      <c r="Q1229" s="241"/>
      <c r="R1229" s="241"/>
      <c r="S1229" s="241"/>
      <c r="T1229" s="241"/>
      <c r="U1229" s="241"/>
      <c r="V1229" s="241"/>
      <c r="W1229" s="241"/>
      <c r="X1229" s="243"/>
      <c r="Y1229" s="243"/>
      <c r="Z1229" s="243"/>
      <c r="AA1229" s="243"/>
      <c r="AB1229" s="243"/>
      <c r="AC1229" s="243"/>
      <c r="AD1229" s="243"/>
      <c r="AE1229" s="243"/>
      <c r="AF1229" s="243"/>
      <c r="AG1229" s="243"/>
      <c r="AH1229" s="243"/>
      <c r="AI1229" s="243"/>
      <c r="AJ1229" s="243"/>
    </row>
    <row r="1230" hidden="1">
      <c r="A1230" s="241"/>
      <c r="B1230" s="241"/>
      <c r="C1230" s="241"/>
      <c r="D1230" s="241"/>
      <c r="E1230" s="241"/>
      <c r="F1230" s="241"/>
      <c r="G1230" s="241"/>
      <c r="H1230" s="241"/>
      <c r="I1230" s="241"/>
      <c r="J1230" s="241"/>
      <c r="K1230" s="241"/>
      <c r="L1230" s="242"/>
      <c r="M1230" s="241"/>
      <c r="N1230" s="241"/>
      <c r="O1230" s="241"/>
      <c r="P1230" s="241"/>
      <c r="Q1230" s="241"/>
      <c r="R1230" s="241"/>
      <c r="S1230" s="241"/>
      <c r="T1230" s="241"/>
      <c r="U1230" s="241"/>
      <c r="V1230" s="241"/>
      <c r="W1230" s="241"/>
      <c r="X1230" s="243"/>
      <c r="Y1230" s="243"/>
      <c r="Z1230" s="243"/>
      <c r="AA1230" s="243"/>
      <c r="AB1230" s="243"/>
      <c r="AC1230" s="243"/>
      <c r="AD1230" s="243"/>
      <c r="AE1230" s="243"/>
      <c r="AF1230" s="243"/>
      <c r="AG1230" s="243"/>
      <c r="AH1230" s="243"/>
      <c r="AI1230" s="243"/>
      <c r="AJ1230" s="243"/>
    </row>
    <row r="1231" hidden="1">
      <c r="A1231" s="241"/>
      <c r="B1231" s="241"/>
      <c r="C1231" s="241"/>
      <c r="D1231" s="241"/>
      <c r="E1231" s="241"/>
      <c r="F1231" s="241"/>
      <c r="G1231" s="241"/>
      <c r="H1231" s="241"/>
      <c r="I1231" s="241"/>
      <c r="J1231" s="241"/>
      <c r="K1231" s="241"/>
      <c r="L1231" s="242"/>
      <c r="M1231" s="241"/>
      <c r="N1231" s="241"/>
      <c r="O1231" s="241"/>
      <c r="P1231" s="241"/>
      <c r="Q1231" s="241"/>
      <c r="R1231" s="241"/>
      <c r="S1231" s="241"/>
      <c r="T1231" s="241"/>
      <c r="U1231" s="241"/>
      <c r="V1231" s="241"/>
      <c r="W1231" s="241"/>
      <c r="X1231" s="243"/>
      <c r="Y1231" s="243"/>
      <c r="Z1231" s="243"/>
      <c r="AA1231" s="243"/>
      <c r="AB1231" s="243"/>
      <c r="AC1231" s="243"/>
      <c r="AD1231" s="243"/>
      <c r="AE1231" s="243"/>
      <c r="AF1231" s="243"/>
      <c r="AG1231" s="243"/>
      <c r="AH1231" s="243"/>
      <c r="AI1231" s="243"/>
      <c r="AJ1231" s="243"/>
    </row>
    <row r="1232" hidden="1">
      <c r="A1232" s="241"/>
      <c r="B1232" s="241"/>
      <c r="C1232" s="241"/>
      <c r="D1232" s="241"/>
      <c r="E1232" s="241"/>
      <c r="F1232" s="241"/>
      <c r="G1232" s="241"/>
      <c r="H1232" s="241"/>
      <c r="I1232" s="241"/>
      <c r="J1232" s="241"/>
      <c r="K1232" s="241"/>
      <c r="L1232" s="242"/>
      <c r="M1232" s="241"/>
      <c r="N1232" s="241"/>
      <c r="O1232" s="241"/>
      <c r="P1232" s="241"/>
      <c r="Q1232" s="241"/>
      <c r="R1232" s="241"/>
      <c r="S1232" s="241"/>
      <c r="T1232" s="241"/>
      <c r="U1232" s="241"/>
      <c r="V1232" s="241"/>
      <c r="W1232" s="241"/>
      <c r="X1232" s="243"/>
      <c r="Y1232" s="243"/>
      <c r="Z1232" s="243"/>
      <c r="AA1232" s="243"/>
      <c r="AB1232" s="243"/>
      <c r="AC1232" s="243"/>
      <c r="AD1232" s="243"/>
      <c r="AE1232" s="243"/>
      <c r="AF1232" s="243"/>
      <c r="AG1232" s="243"/>
      <c r="AH1232" s="243"/>
      <c r="AI1232" s="243"/>
      <c r="AJ1232" s="243"/>
    </row>
    <row r="1233" hidden="1">
      <c r="A1233" s="241"/>
      <c r="B1233" s="241"/>
      <c r="C1233" s="241"/>
      <c r="D1233" s="241"/>
      <c r="E1233" s="241"/>
      <c r="F1233" s="241"/>
      <c r="G1233" s="241"/>
      <c r="H1233" s="241"/>
      <c r="I1233" s="241"/>
      <c r="J1233" s="241"/>
      <c r="K1233" s="241"/>
      <c r="L1233" s="242"/>
      <c r="M1233" s="241"/>
      <c r="N1233" s="241"/>
      <c r="O1233" s="241"/>
      <c r="P1233" s="241"/>
      <c r="Q1233" s="241"/>
      <c r="R1233" s="241"/>
      <c r="S1233" s="241"/>
      <c r="T1233" s="241"/>
      <c r="U1233" s="241"/>
      <c r="V1233" s="241"/>
      <c r="W1233" s="241"/>
      <c r="X1233" s="243"/>
      <c r="Y1233" s="243"/>
      <c r="Z1233" s="243"/>
      <c r="AA1233" s="243"/>
      <c r="AB1233" s="243"/>
      <c r="AC1233" s="243"/>
      <c r="AD1233" s="243"/>
      <c r="AE1233" s="243"/>
      <c r="AF1233" s="243"/>
      <c r="AG1233" s="243"/>
      <c r="AH1233" s="243"/>
      <c r="AI1233" s="243"/>
      <c r="AJ1233" s="243"/>
    </row>
    <row r="1234" hidden="1">
      <c r="A1234" s="241"/>
      <c r="B1234" s="241"/>
      <c r="C1234" s="241"/>
      <c r="D1234" s="241"/>
      <c r="E1234" s="241"/>
      <c r="F1234" s="241"/>
      <c r="G1234" s="241"/>
      <c r="H1234" s="241"/>
      <c r="I1234" s="241"/>
      <c r="J1234" s="241"/>
      <c r="K1234" s="241"/>
      <c r="L1234" s="242"/>
      <c r="M1234" s="241"/>
      <c r="N1234" s="241"/>
      <c r="O1234" s="241"/>
      <c r="P1234" s="241"/>
      <c r="Q1234" s="241"/>
      <c r="R1234" s="241"/>
      <c r="S1234" s="241"/>
      <c r="T1234" s="241"/>
      <c r="U1234" s="241"/>
      <c r="V1234" s="241"/>
      <c r="W1234" s="241"/>
      <c r="X1234" s="243"/>
      <c r="Y1234" s="243"/>
      <c r="Z1234" s="243"/>
      <c r="AA1234" s="243"/>
      <c r="AB1234" s="243"/>
      <c r="AC1234" s="243"/>
      <c r="AD1234" s="243"/>
      <c r="AE1234" s="243"/>
      <c r="AF1234" s="243"/>
      <c r="AG1234" s="243"/>
      <c r="AH1234" s="243"/>
      <c r="AI1234" s="243"/>
      <c r="AJ1234" s="243"/>
    </row>
    <row r="1235" hidden="1">
      <c r="A1235" s="241"/>
      <c r="B1235" s="241"/>
      <c r="C1235" s="241"/>
      <c r="D1235" s="241"/>
      <c r="E1235" s="241"/>
      <c r="F1235" s="241"/>
      <c r="G1235" s="241"/>
      <c r="H1235" s="241"/>
      <c r="I1235" s="241"/>
      <c r="J1235" s="241"/>
      <c r="K1235" s="241"/>
      <c r="L1235" s="242"/>
      <c r="M1235" s="241"/>
      <c r="N1235" s="241"/>
      <c r="O1235" s="241"/>
      <c r="P1235" s="241"/>
      <c r="Q1235" s="241"/>
      <c r="R1235" s="241"/>
      <c r="S1235" s="241"/>
      <c r="T1235" s="241"/>
      <c r="U1235" s="241"/>
      <c r="V1235" s="241"/>
      <c r="W1235" s="241"/>
      <c r="X1235" s="243"/>
      <c r="Y1235" s="243"/>
      <c r="Z1235" s="243"/>
      <c r="AA1235" s="243"/>
      <c r="AB1235" s="243"/>
      <c r="AC1235" s="243"/>
      <c r="AD1235" s="243"/>
      <c r="AE1235" s="243"/>
      <c r="AF1235" s="243"/>
      <c r="AG1235" s="243"/>
      <c r="AH1235" s="243"/>
      <c r="AI1235" s="243"/>
      <c r="AJ1235" s="243"/>
    </row>
    <row r="1236" hidden="1">
      <c r="A1236" s="241"/>
      <c r="B1236" s="241"/>
      <c r="C1236" s="241"/>
      <c r="D1236" s="241"/>
      <c r="E1236" s="241"/>
      <c r="F1236" s="241"/>
      <c r="G1236" s="241"/>
      <c r="H1236" s="241"/>
      <c r="I1236" s="241"/>
      <c r="J1236" s="241"/>
      <c r="K1236" s="241"/>
      <c r="L1236" s="242"/>
      <c r="M1236" s="241"/>
      <c r="N1236" s="241"/>
      <c r="O1236" s="241"/>
      <c r="P1236" s="241"/>
      <c r="Q1236" s="241"/>
      <c r="R1236" s="241"/>
      <c r="S1236" s="241"/>
      <c r="T1236" s="241"/>
      <c r="U1236" s="241"/>
      <c r="V1236" s="241"/>
      <c r="W1236" s="241"/>
      <c r="X1236" s="243"/>
      <c r="Y1236" s="243"/>
      <c r="Z1236" s="243"/>
      <c r="AA1236" s="243"/>
      <c r="AB1236" s="243"/>
      <c r="AC1236" s="243"/>
      <c r="AD1236" s="243"/>
      <c r="AE1236" s="243"/>
      <c r="AF1236" s="243"/>
      <c r="AG1236" s="243"/>
      <c r="AH1236" s="243"/>
      <c r="AI1236" s="243"/>
      <c r="AJ1236" s="243"/>
    </row>
    <row r="1237" hidden="1">
      <c r="A1237" s="241"/>
      <c r="B1237" s="241"/>
      <c r="C1237" s="241"/>
      <c r="D1237" s="241"/>
      <c r="E1237" s="241"/>
      <c r="F1237" s="241"/>
      <c r="G1237" s="241"/>
      <c r="H1237" s="241"/>
      <c r="I1237" s="241"/>
      <c r="J1237" s="241"/>
      <c r="K1237" s="241"/>
      <c r="L1237" s="242"/>
      <c r="M1237" s="241"/>
      <c r="N1237" s="241"/>
      <c r="O1237" s="241"/>
      <c r="P1237" s="241"/>
      <c r="Q1237" s="241"/>
      <c r="R1237" s="241"/>
      <c r="S1237" s="241"/>
      <c r="T1237" s="241"/>
      <c r="U1237" s="241"/>
      <c r="V1237" s="241"/>
      <c r="W1237" s="241"/>
      <c r="X1237" s="243"/>
      <c r="Y1237" s="243"/>
      <c r="Z1237" s="243"/>
      <c r="AA1237" s="243"/>
      <c r="AB1237" s="243"/>
      <c r="AC1237" s="243"/>
      <c r="AD1237" s="243"/>
      <c r="AE1237" s="243"/>
      <c r="AF1237" s="243"/>
      <c r="AG1237" s="243"/>
      <c r="AH1237" s="243"/>
      <c r="AI1237" s="243"/>
      <c r="AJ1237" s="243"/>
    </row>
    <row r="1238" hidden="1">
      <c r="A1238" s="241"/>
      <c r="B1238" s="241"/>
      <c r="C1238" s="241"/>
      <c r="D1238" s="241"/>
      <c r="E1238" s="241"/>
      <c r="F1238" s="241"/>
      <c r="G1238" s="241"/>
      <c r="H1238" s="241"/>
      <c r="I1238" s="241"/>
      <c r="J1238" s="241"/>
      <c r="K1238" s="241"/>
      <c r="L1238" s="242"/>
      <c r="M1238" s="241"/>
      <c r="N1238" s="241"/>
      <c r="O1238" s="241"/>
      <c r="P1238" s="241"/>
      <c r="Q1238" s="241"/>
      <c r="R1238" s="241"/>
      <c r="S1238" s="241"/>
      <c r="T1238" s="241"/>
      <c r="U1238" s="241"/>
      <c r="V1238" s="241"/>
      <c r="W1238" s="241"/>
      <c r="X1238" s="243"/>
      <c r="Y1238" s="243"/>
      <c r="Z1238" s="243"/>
      <c r="AA1238" s="243"/>
      <c r="AB1238" s="243"/>
      <c r="AC1238" s="243"/>
      <c r="AD1238" s="243"/>
      <c r="AE1238" s="243"/>
      <c r="AF1238" s="243"/>
      <c r="AG1238" s="243"/>
      <c r="AH1238" s="243"/>
      <c r="AI1238" s="243"/>
      <c r="AJ1238" s="243"/>
    </row>
    <row r="1239" hidden="1">
      <c r="A1239" s="241"/>
      <c r="B1239" s="241"/>
      <c r="C1239" s="241"/>
      <c r="D1239" s="241"/>
      <c r="E1239" s="241"/>
      <c r="F1239" s="241"/>
      <c r="G1239" s="241"/>
      <c r="H1239" s="241"/>
      <c r="I1239" s="241"/>
      <c r="J1239" s="241"/>
      <c r="K1239" s="241"/>
      <c r="L1239" s="242"/>
      <c r="M1239" s="241"/>
      <c r="N1239" s="241"/>
      <c r="O1239" s="241"/>
      <c r="P1239" s="241"/>
      <c r="Q1239" s="241"/>
      <c r="R1239" s="241"/>
      <c r="S1239" s="241"/>
      <c r="T1239" s="241"/>
      <c r="U1239" s="241"/>
      <c r="V1239" s="241"/>
      <c r="W1239" s="241"/>
      <c r="X1239" s="243"/>
      <c r="Y1239" s="243"/>
      <c r="Z1239" s="243"/>
      <c r="AA1239" s="243"/>
      <c r="AB1239" s="243"/>
      <c r="AC1239" s="243"/>
      <c r="AD1239" s="243"/>
      <c r="AE1239" s="243"/>
      <c r="AF1239" s="243"/>
      <c r="AG1239" s="243"/>
      <c r="AH1239" s="243"/>
      <c r="AI1239" s="243"/>
      <c r="AJ1239" s="243"/>
    </row>
    <row r="1240" hidden="1">
      <c r="A1240" s="241"/>
      <c r="B1240" s="241"/>
      <c r="C1240" s="241"/>
      <c r="D1240" s="241"/>
      <c r="E1240" s="241"/>
      <c r="F1240" s="241"/>
      <c r="G1240" s="241"/>
      <c r="H1240" s="241"/>
      <c r="I1240" s="241"/>
      <c r="J1240" s="241"/>
      <c r="K1240" s="241"/>
      <c r="L1240" s="242"/>
      <c r="M1240" s="241"/>
      <c r="N1240" s="241"/>
      <c r="O1240" s="241"/>
      <c r="P1240" s="241"/>
      <c r="Q1240" s="241"/>
      <c r="R1240" s="241"/>
      <c r="S1240" s="241"/>
      <c r="T1240" s="241"/>
      <c r="U1240" s="241"/>
      <c r="V1240" s="241"/>
      <c r="W1240" s="241"/>
      <c r="X1240" s="243"/>
      <c r="Y1240" s="243"/>
      <c r="Z1240" s="243"/>
      <c r="AA1240" s="243"/>
      <c r="AB1240" s="243"/>
      <c r="AC1240" s="243"/>
      <c r="AD1240" s="243"/>
      <c r="AE1240" s="243"/>
      <c r="AF1240" s="243"/>
      <c r="AG1240" s="243"/>
      <c r="AH1240" s="243"/>
      <c r="AI1240" s="243"/>
      <c r="AJ1240" s="243"/>
    </row>
    <row r="1241" hidden="1">
      <c r="A1241" s="241"/>
      <c r="B1241" s="241"/>
      <c r="C1241" s="241"/>
      <c r="D1241" s="241"/>
      <c r="E1241" s="241"/>
      <c r="F1241" s="241"/>
      <c r="G1241" s="241"/>
      <c r="H1241" s="241"/>
      <c r="I1241" s="241"/>
      <c r="J1241" s="241"/>
      <c r="K1241" s="241"/>
      <c r="L1241" s="242"/>
      <c r="M1241" s="241"/>
      <c r="N1241" s="241"/>
      <c r="O1241" s="241"/>
      <c r="P1241" s="241"/>
      <c r="Q1241" s="241"/>
      <c r="R1241" s="241"/>
      <c r="S1241" s="241"/>
      <c r="T1241" s="241"/>
      <c r="U1241" s="241"/>
      <c r="V1241" s="241"/>
      <c r="W1241" s="241"/>
      <c r="X1241" s="243"/>
      <c r="Y1241" s="243"/>
      <c r="Z1241" s="243"/>
      <c r="AA1241" s="243"/>
      <c r="AB1241" s="243"/>
      <c r="AC1241" s="243"/>
      <c r="AD1241" s="243"/>
      <c r="AE1241" s="243"/>
      <c r="AF1241" s="243"/>
      <c r="AG1241" s="243"/>
      <c r="AH1241" s="243"/>
      <c r="AI1241" s="243"/>
      <c r="AJ1241" s="243"/>
    </row>
    <row r="1242" hidden="1">
      <c r="A1242" s="241"/>
      <c r="B1242" s="241"/>
      <c r="C1242" s="241"/>
      <c r="D1242" s="241"/>
      <c r="E1242" s="241"/>
      <c r="F1242" s="241"/>
      <c r="G1242" s="241"/>
      <c r="H1242" s="241"/>
      <c r="I1242" s="241"/>
      <c r="J1242" s="241"/>
      <c r="K1242" s="241"/>
      <c r="L1242" s="242"/>
      <c r="M1242" s="241"/>
      <c r="N1242" s="241"/>
      <c r="O1242" s="241"/>
      <c r="P1242" s="241"/>
      <c r="Q1242" s="241"/>
      <c r="R1242" s="241"/>
      <c r="S1242" s="241"/>
      <c r="T1242" s="241"/>
      <c r="U1242" s="241"/>
      <c r="V1242" s="241"/>
      <c r="W1242" s="241"/>
      <c r="X1242" s="243"/>
      <c r="Y1242" s="243"/>
      <c r="Z1242" s="243"/>
      <c r="AA1242" s="243"/>
      <c r="AB1242" s="243"/>
      <c r="AC1242" s="243"/>
      <c r="AD1242" s="243"/>
      <c r="AE1242" s="243"/>
      <c r="AF1242" s="243"/>
      <c r="AG1242" s="243"/>
      <c r="AH1242" s="243"/>
      <c r="AI1242" s="243"/>
      <c r="AJ1242" s="243"/>
    </row>
    <row r="1243" hidden="1">
      <c r="A1243" s="241"/>
      <c r="B1243" s="241"/>
      <c r="C1243" s="241"/>
      <c r="D1243" s="241"/>
      <c r="E1243" s="241"/>
      <c r="F1243" s="241"/>
      <c r="G1243" s="241"/>
      <c r="H1243" s="241"/>
      <c r="I1243" s="241"/>
      <c r="J1243" s="241"/>
      <c r="K1243" s="241"/>
      <c r="L1243" s="242"/>
      <c r="M1243" s="241"/>
      <c r="N1243" s="241"/>
      <c r="O1243" s="241"/>
      <c r="P1243" s="241"/>
      <c r="Q1243" s="241"/>
      <c r="R1243" s="241"/>
      <c r="S1243" s="241"/>
      <c r="T1243" s="241"/>
      <c r="U1243" s="241"/>
      <c r="V1243" s="241"/>
      <c r="W1243" s="241"/>
      <c r="X1243" s="243"/>
      <c r="Y1243" s="243"/>
      <c r="Z1243" s="243"/>
      <c r="AA1243" s="243"/>
      <c r="AB1243" s="243"/>
      <c r="AC1243" s="243"/>
      <c r="AD1243" s="243"/>
      <c r="AE1243" s="243"/>
      <c r="AF1243" s="243"/>
      <c r="AG1243" s="243"/>
      <c r="AH1243" s="243"/>
      <c r="AI1243" s="243"/>
      <c r="AJ1243" s="243"/>
    </row>
    <row r="1244" hidden="1">
      <c r="A1244" s="241"/>
      <c r="B1244" s="241"/>
      <c r="C1244" s="241"/>
      <c r="D1244" s="241"/>
      <c r="E1244" s="241"/>
      <c r="F1244" s="241"/>
      <c r="G1244" s="241"/>
      <c r="H1244" s="241"/>
      <c r="I1244" s="241"/>
      <c r="J1244" s="241"/>
      <c r="K1244" s="241"/>
      <c r="L1244" s="242"/>
      <c r="M1244" s="241"/>
      <c r="N1244" s="241"/>
      <c r="O1244" s="241"/>
      <c r="P1244" s="241"/>
      <c r="Q1244" s="241"/>
      <c r="R1244" s="241"/>
      <c r="S1244" s="241"/>
      <c r="T1244" s="241"/>
      <c r="U1244" s="241"/>
      <c r="V1244" s="241"/>
      <c r="W1244" s="241"/>
      <c r="X1244" s="243"/>
      <c r="Y1244" s="243"/>
      <c r="Z1244" s="243"/>
      <c r="AA1244" s="243"/>
      <c r="AB1244" s="243"/>
      <c r="AC1244" s="243"/>
      <c r="AD1244" s="243"/>
      <c r="AE1244" s="243"/>
      <c r="AF1244" s="243"/>
      <c r="AG1244" s="243"/>
      <c r="AH1244" s="243"/>
      <c r="AI1244" s="243"/>
      <c r="AJ1244" s="243"/>
    </row>
    <row r="1245" hidden="1">
      <c r="A1245" s="241"/>
      <c r="B1245" s="241"/>
      <c r="C1245" s="241"/>
      <c r="D1245" s="241"/>
      <c r="E1245" s="241"/>
      <c r="F1245" s="241"/>
      <c r="G1245" s="241"/>
      <c r="H1245" s="241"/>
      <c r="I1245" s="241"/>
      <c r="J1245" s="241"/>
      <c r="K1245" s="241"/>
      <c r="L1245" s="242"/>
      <c r="M1245" s="241"/>
      <c r="N1245" s="241"/>
      <c r="O1245" s="241"/>
      <c r="P1245" s="241"/>
      <c r="Q1245" s="241"/>
      <c r="R1245" s="241"/>
      <c r="S1245" s="241"/>
      <c r="T1245" s="241"/>
      <c r="U1245" s="241"/>
      <c r="V1245" s="241"/>
      <c r="W1245" s="241"/>
      <c r="X1245" s="243"/>
      <c r="Y1245" s="243"/>
      <c r="Z1245" s="243"/>
      <c r="AA1245" s="243"/>
      <c r="AB1245" s="243"/>
      <c r="AC1245" s="243"/>
      <c r="AD1245" s="243"/>
      <c r="AE1245" s="243"/>
      <c r="AF1245" s="243"/>
      <c r="AG1245" s="243"/>
      <c r="AH1245" s="243"/>
      <c r="AI1245" s="243"/>
      <c r="AJ1245" s="243"/>
    </row>
    <row r="1246" hidden="1">
      <c r="A1246" s="241"/>
      <c r="B1246" s="241"/>
      <c r="C1246" s="241"/>
      <c r="D1246" s="241"/>
      <c r="E1246" s="241"/>
      <c r="F1246" s="241"/>
      <c r="G1246" s="241"/>
      <c r="H1246" s="241"/>
      <c r="I1246" s="241"/>
      <c r="J1246" s="241"/>
      <c r="K1246" s="241"/>
      <c r="L1246" s="242"/>
      <c r="M1246" s="241"/>
      <c r="N1246" s="241"/>
      <c r="O1246" s="241"/>
      <c r="P1246" s="241"/>
      <c r="Q1246" s="241"/>
      <c r="R1246" s="241"/>
      <c r="S1246" s="241"/>
      <c r="T1246" s="241"/>
      <c r="U1246" s="241"/>
      <c r="V1246" s="241"/>
      <c r="W1246" s="241"/>
      <c r="X1246" s="243"/>
      <c r="Y1246" s="243"/>
      <c r="Z1246" s="243"/>
      <c r="AA1246" s="243"/>
      <c r="AB1246" s="243"/>
      <c r="AC1246" s="243"/>
      <c r="AD1246" s="243"/>
      <c r="AE1246" s="243"/>
      <c r="AF1246" s="243"/>
      <c r="AG1246" s="243"/>
      <c r="AH1246" s="243"/>
      <c r="AI1246" s="243"/>
      <c r="AJ1246" s="243"/>
    </row>
    <row r="1247" hidden="1">
      <c r="A1247" s="241"/>
      <c r="B1247" s="241"/>
      <c r="C1247" s="241"/>
      <c r="D1247" s="241"/>
      <c r="E1247" s="241"/>
      <c r="F1247" s="241"/>
      <c r="G1247" s="241"/>
      <c r="H1247" s="241"/>
      <c r="I1247" s="241"/>
      <c r="J1247" s="241"/>
      <c r="K1247" s="241"/>
      <c r="L1247" s="242"/>
      <c r="M1247" s="241"/>
      <c r="N1247" s="241"/>
      <c r="O1247" s="241"/>
      <c r="P1247" s="241"/>
      <c r="Q1247" s="241"/>
      <c r="R1247" s="241"/>
      <c r="S1247" s="241"/>
      <c r="T1247" s="241"/>
      <c r="U1247" s="241"/>
      <c r="V1247" s="241"/>
      <c r="W1247" s="241"/>
      <c r="X1247" s="243"/>
      <c r="Y1247" s="243"/>
      <c r="Z1247" s="243"/>
      <c r="AA1247" s="243"/>
      <c r="AB1247" s="243"/>
      <c r="AC1247" s="243"/>
      <c r="AD1247" s="243"/>
      <c r="AE1247" s="243"/>
      <c r="AF1247" s="243"/>
      <c r="AG1247" s="243"/>
      <c r="AH1247" s="243"/>
      <c r="AI1247" s="243"/>
      <c r="AJ1247" s="243"/>
    </row>
    <row r="1248" hidden="1">
      <c r="A1248" s="241"/>
      <c r="B1248" s="241"/>
      <c r="C1248" s="241"/>
      <c r="D1248" s="241"/>
      <c r="E1248" s="241"/>
      <c r="F1248" s="241"/>
      <c r="G1248" s="241"/>
      <c r="H1248" s="241"/>
      <c r="I1248" s="241"/>
      <c r="J1248" s="241"/>
      <c r="K1248" s="241"/>
      <c r="L1248" s="242"/>
      <c r="M1248" s="241"/>
      <c r="N1248" s="241"/>
      <c r="O1248" s="241"/>
      <c r="P1248" s="241"/>
      <c r="Q1248" s="241"/>
      <c r="R1248" s="241"/>
      <c r="S1248" s="241"/>
      <c r="T1248" s="241"/>
      <c r="U1248" s="241"/>
      <c r="V1248" s="241"/>
      <c r="W1248" s="241"/>
      <c r="X1248" s="243"/>
      <c r="Y1248" s="243"/>
      <c r="Z1248" s="243"/>
      <c r="AA1248" s="243"/>
      <c r="AB1248" s="243"/>
      <c r="AC1248" s="243"/>
      <c r="AD1248" s="243"/>
      <c r="AE1248" s="243"/>
      <c r="AF1248" s="243"/>
      <c r="AG1248" s="243"/>
      <c r="AH1248" s="243"/>
      <c r="AI1248" s="243"/>
      <c r="AJ1248" s="243"/>
    </row>
    <row r="1249" hidden="1">
      <c r="A1249" s="241"/>
      <c r="B1249" s="241"/>
      <c r="C1249" s="241"/>
      <c r="D1249" s="241"/>
      <c r="E1249" s="241"/>
      <c r="F1249" s="241"/>
      <c r="G1249" s="241"/>
      <c r="H1249" s="241"/>
      <c r="I1249" s="241"/>
      <c r="J1249" s="241"/>
      <c r="K1249" s="241"/>
      <c r="L1249" s="242"/>
      <c r="M1249" s="241"/>
      <c r="N1249" s="241"/>
      <c r="O1249" s="241"/>
      <c r="P1249" s="241"/>
      <c r="Q1249" s="241"/>
      <c r="R1249" s="241"/>
      <c r="S1249" s="241"/>
      <c r="T1249" s="241"/>
      <c r="U1249" s="241"/>
      <c r="V1249" s="241"/>
      <c r="W1249" s="241"/>
      <c r="X1249" s="243"/>
      <c r="Y1249" s="243"/>
      <c r="Z1249" s="243"/>
      <c r="AA1249" s="243"/>
      <c r="AB1249" s="243"/>
      <c r="AC1249" s="243"/>
      <c r="AD1249" s="243"/>
      <c r="AE1249" s="243"/>
      <c r="AF1249" s="243"/>
      <c r="AG1249" s="243"/>
      <c r="AH1249" s="243"/>
      <c r="AI1249" s="243"/>
      <c r="AJ1249" s="243"/>
    </row>
    <row r="1250" hidden="1">
      <c r="A1250" s="241"/>
      <c r="B1250" s="241"/>
      <c r="C1250" s="241"/>
      <c r="D1250" s="241"/>
      <c r="E1250" s="241"/>
      <c r="F1250" s="241"/>
      <c r="G1250" s="241"/>
      <c r="H1250" s="241"/>
      <c r="I1250" s="241"/>
      <c r="J1250" s="241"/>
      <c r="K1250" s="241"/>
      <c r="L1250" s="242"/>
      <c r="M1250" s="241"/>
      <c r="N1250" s="241"/>
      <c r="O1250" s="241"/>
      <c r="P1250" s="241"/>
      <c r="Q1250" s="241"/>
      <c r="R1250" s="241"/>
      <c r="S1250" s="241"/>
      <c r="T1250" s="241"/>
      <c r="U1250" s="241"/>
      <c r="V1250" s="241"/>
      <c r="W1250" s="241"/>
      <c r="X1250" s="243"/>
      <c r="Y1250" s="243"/>
      <c r="Z1250" s="243"/>
      <c r="AA1250" s="243"/>
      <c r="AB1250" s="243"/>
      <c r="AC1250" s="243"/>
      <c r="AD1250" s="243"/>
      <c r="AE1250" s="243"/>
      <c r="AF1250" s="243"/>
      <c r="AG1250" s="243"/>
      <c r="AH1250" s="243"/>
      <c r="AI1250" s="243"/>
      <c r="AJ1250" s="243"/>
    </row>
    <row r="1251" hidden="1">
      <c r="A1251" s="241"/>
      <c r="B1251" s="241"/>
      <c r="C1251" s="241"/>
      <c r="D1251" s="241"/>
      <c r="E1251" s="241"/>
      <c r="F1251" s="241"/>
      <c r="G1251" s="241"/>
      <c r="H1251" s="241"/>
      <c r="I1251" s="241"/>
      <c r="J1251" s="241"/>
      <c r="K1251" s="241"/>
      <c r="L1251" s="242"/>
      <c r="M1251" s="241"/>
      <c r="N1251" s="241"/>
      <c r="O1251" s="241"/>
      <c r="P1251" s="241"/>
      <c r="Q1251" s="241"/>
      <c r="R1251" s="241"/>
      <c r="S1251" s="241"/>
      <c r="T1251" s="241"/>
      <c r="U1251" s="241"/>
      <c r="V1251" s="241"/>
      <c r="W1251" s="241"/>
      <c r="X1251" s="243"/>
      <c r="Y1251" s="243"/>
      <c r="Z1251" s="243"/>
      <c r="AA1251" s="243"/>
      <c r="AB1251" s="243"/>
      <c r="AC1251" s="243"/>
      <c r="AD1251" s="243"/>
      <c r="AE1251" s="243"/>
      <c r="AF1251" s="243"/>
      <c r="AG1251" s="243"/>
      <c r="AH1251" s="243"/>
      <c r="AI1251" s="243"/>
      <c r="AJ1251" s="243"/>
    </row>
    <row r="1252" hidden="1">
      <c r="A1252" s="241"/>
      <c r="B1252" s="241"/>
      <c r="C1252" s="241"/>
      <c r="D1252" s="241"/>
      <c r="E1252" s="241"/>
      <c r="F1252" s="241"/>
      <c r="G1252" s="241"/>
      <c r="H1252" s="241"/>
      <c r="I1252" s="241"/>
      <c r="J1252" s="241"/>
      <c r="K1252" s="241"/>
      <c r="L1252" s="242"/>
      <c r="M1252" s="241"/>
      <c r="N1252" s="241"/>
      <c r="O1252" s="241"/>
      <c r="P1252" s="241"/>
      <c r="Q1252" s="241"/>
      <c r="R1252" s="241"/>
      <c r="S1252" s="241"/>
      <c r="T1252" s="241"/>
      <c r="U1252" s="241"/>
      <c r="V1252" s="241"/>
      <c r="W1252" s="241"/>
      <c r="X1252" s="243"/>
      <c r="Y1252" s="243"/>
      <c r="Z1252" s="243"/>
      <c r="AA1252" s="243"/>
      <c r="AB1252" s="243"/>
      <c r="AC1252" s="243"/>
      <c r="AD1252" s="243"/>
      <c r="AE1252" s="243"/>
      <c r="AF1252" s="243"/>
      <c r="AG1252" s="243"/>
      <c r="AH1252" s="243"/>
      <c r="AI1252" s="243"/>
      <c r="AJ1252" s="243"/>
    </row>
    <row r="1253" hidden="1">
      <c r="A1253" s="241"/>
      <c r="B1253" s="241"/>
      <c r="C1253" s="241"/>
      <c r="D1253" s="241"/>
      <c r="E1253" s="241"/>
      <c r="F1253" s="241"/>
      <c r="G1253" s="241"/>
      <c r="H1253" s="241"/>
      <c r="I1253" s="241"/>
      <c r="J1253" s="241"/>
      <c r="K1253" s="241"/>
      <c r="L1253" s="242"/>
      <c r="M1253" s="241"/>
      <c r="N1253" s="241"/>
      <c r="O1253" s="241"/>
      <c r="P1253" s="241"/>
      <c r="Q1253" s="241"/>
      <c r="R1253" s="241"/>
      <c r="S1253" s="241"/>
      <c r="T1253" s="241"/>
      <c r="U1253" s="241"/>
      <c r="V1253" s="241"/>
      <c r="W1253" s="241"/>
      <c r="X1253" s="243"/>
      <c r="Y1253" s="243"/>
      <c r="Z1253" s="243"/>
      <c r="AA1253" s="243"/>
      <c r="AB1253" s="243"/>
      <c r="AC1253" s="243"/>
      <c r="AD1253" s="243"/>
      <c r="AE1253" s="243"/>
      <c r="AF1253" s="243"/>
      <c r="AG1253" s="243"/>
      <c r="AH1253" s="243"/>
      <c r="AI1253" s="243"/>
      <c r="AJ1253" s="243"/>
    </row>
    <row r="1254" hidden="1">
      <c r="A1254" s="241"/>
      <c r="B1254" s="241"/>
      <c r="C1254" s="241"/>
      <c r="D1254" s="241"/>
      <c r="E1254" s="241"/>
      <c r="F1254" s="241"/>
      <c r="G1254" s="241"/>
      <c r="H1254" s="241"/>
      <c r="I1254" s="241"/>
      <c r="J1254" s="241"/>
      <c r="K1254" s="241"/>
      <c r="L1254" s="242"/>
      <c r="M1254" s="241"/>
      <c r="N1254" s="241"/>
      <c r="O1254" s="241"/>
      <c r="P1254" s="241"/>
      <c r="Q1254" s="241"/>
      <c r="R1254" s="241"/>
      <c r="S1254" s="241"/>
      <c r="T1254" s="241"/>
      <c r="U1254" s="241"/>
      <c r="V1254" s="241"/>
      <c r="W1254" s="241"/>
      <c r="X1254" s="243"/>
      <c r="Y1254" s="243"/>
      <c r="Z1254" s="243"/>
      <c r="AA1254" s="243"/>
      <c r="AB1254" s="243"/>
      <c r="AC1254" s="243"/>
      <c r="AD1254" s="243"/>
      <c r="AE1254" s="243"/>
      <c r="AF1254" s="243"/>
      <c r="AG1254" s="243"/>
      <c r="AH1254" s="243"/>
      <c r="AI1254" s="243"/>
      <c r="AJ1254" s="243"/>
    </row>
    <row r="1255" hidden="1">
      <c r="A1255" s="241"/>
      <c r="B1255" s="241"/>
      <c r="C1255" s="241"/>
      <c r="D1255" s="241"/>
      <c r="E1255" s="241"/>
      <c r="F1255" s="241"/>
      <c r="G1255" s="241"/>
      <c r="H1255" s="241"/>
      <c r="I1255" s="241"/>
      <c r="J1255" s="241"/>
      <c r="K1255" s="241"/>
      <c r="L1255" s="242"/>
      <c r="M1255" s="241"/>
      <c r="N1255" s="241"/>
      <c r="O1255" s="241"/>
      <c r="P1255" s="241"/>
      <c r="Q1255" s="241"/>
      <c r="R1255" s="241"/>
      <c r="S1255" s="241"/>
      <c r="T1255" s="241"/>
      <c r="U1255" s="241"/>
      <c r="V1255" s="241"/>
      <c r="W1255" s="241"/>
      <c r="X1255" s="243"/>
      <c r="Y1255" s="243"/>
      <c r="Z1255" s="243"/>
      <c r="AA1255" s="243"/>
      <c r="AB1255" s="243"/>
      <c r="AC1255" s="243"/>
      <c r="AD1255" s="243"/>
      <c r="AE1255" s="243"/>
      <c r="AF1255" s="243"/>
      <c r="AG1255" s="243"/>
      <c r="AH1255" s="243"/>
      <c r="AI1255" s="243"/>
      <c r="AJ1255" s="243"/>
    </row>
    <row r="1256" hidden="1">
      <c r="A1256" s="241"/>
      <c r="B1256" s="241"/>
      <c r="C1256" s="241"/>
      <c r="D1256" s="241"/>
      <c r="E1256" s="241"/>
      <c r="F1256" s="241"/>
      <c r="G1256" s="241"/>
      <c r="H1256" s="241"/>
      <c r="I1256" s="241"/>
      <c r="J1256" s="241"/>
      <c r="K1256" s="241"/>
      <c r="L1256" s="242"/>
      <c r="M1256" s="241"/>
      <c r="N1256" s="241"/>
      <c r="O1256" s="241"/>
      <c r="P1256" s="241"/>
      <c r="Q1256" s="241"/>
      <c r="R1256" s="241"/>
      <c r="S1256" s="241"/>
      <c r="T1256" s="241"/>
      <c r="U1256" s="241"/>
      <c r="V1256" s="241"/>
      <c r="W1256" s="241"/>
      <c r="X1256" s="243"/>
      <c r="Y1256" s="243"/>
      <c r="Z1256" s="243"/>
      <c r="AA1256" s="243"/>
      <c r="AB1256" s="243"/>
      <c r="AC1256" s="243"/>
      <c r="AD1256" s="243"/>
      <c r="AE1256" s="243"/>
      <c r="AF1256" s="243"/>
      <c r="AG1256" s="243"/>
      <c r="AH1256" s="243"/>
      <c r="AI1256" s="243"/>
      <c r="AJ1256" s="243"/>
    </row>
    <row r="1257" hidden="1">
      <c r="A1257" s="241"/>
      <c r="B1257" s="241"/>
      <c r="C1257" s="241"/>
      <c r="D1257" s="241"/>
      <c r="E1257" s="241"/>
      <c r="F1257" s="241"/>
      <c r="G1257" s="241"/>
      <c r="H1257" s="241"/>
      <c r="I1257" s="241"/>
      <c r="J1257" s="241"/>
      <c r="K1257" s="241"/>
      <c r="L1257" s="242"/>
      <c r="M1257" s="241"/>
      <c r="N1257" s="241"/>
      <c r="O1257" s="241"/>
      <c r="P1257" s="241"/>
      <c r="Q1257" s="241"/>
      <c r="R1257" s="241"/>
      <c r="S1257" s="241"/>
      <c r="T1257" s="241"/>
      <c r="U1257" s="241"/>
      <c r="V1257" s="241"/>
      <c r="W1257" s="241"/>
      <c r="X1257" s="243"/>
      <c r="Y1257" s="243"/>
      <c r="Z1257" s="243"/>
      <c r="AA1257" s="243"/>
      <c r="AB1257" s="243"/>
      <c r="AC1257" s="243"/>
      <c r="AD1257" s="243"/>
      <c r="AE1257" s="243"/>
      <c r="AF1257" s="243"/>
      <c r="AG1257" s="243"/>
      <c r="AH1257" s="243"/>
      <c r="AI1257" s="243"/>
      <c r="AJ1257" s="243"/>
    </row>
    <row r="1258" hidden="1">
      <c r="A1258" s="241"/>
      <c r="B1258" s="241"/>
      <c r="C1258" s="241"/>
      <c r="D1258" s="241"/>
      <c r="E1258" s="241"/>
      <c r="F1258" s="241"/>
      <c r="G1258" s="241"/>
      <c r="H1258" s="241"/>
      <c r="I1258" s="241"/>
      <c r="J1258" s="241"/>
      <c r="K1258" s="241"/>
      <c r="L1258" s="242"/>
      <c r="M1258" s="241"/>
      <c r="N1258" s="241"/>
      <c r="O1258" s="241"/>
      <c r="P1258" s="241"/>
      <c r="Q1258" s="241"/>
      <c r="R1258" s="241"/>
      <c r="S1258" s="241"/>
      <c r="T1258" s="241"/>
      <c r="U1258" s="241"/>
      <c r="V1258" s="241"/>
      <c r="W1258" s="241"/>
      <c r="X1258" s="243"/>
      <c r="Y1258" s="243"/>
      <c r="Z1258" s="243"/>
      <c r="AA1258" s="243"/>
      <c r="AB1258" s="243"/>
      <c r="AC1258" s="243"/>
      <c r="AD1258" s="243"/>
      <c r="AE1258" s="243"/>
      <c r="AF1258" s="243"/>
      <c r="AG1258" s="243"/>
      <c r="AH1258" s="243"/>
      <c r="AI1258" s="243"/>
      <c r="AJ1258" s="243"/>
    </row>
    <row r="1259" hidden="1">
      <c r="A1259" s="241"/>
      <c r="B1259" s="241"/>
      <c r="C1259" s="241"/>
      <c r="D1259" s="241"/>
      <c r="E1259" s="241"/>
      <c r="F1259" s="241"/>
      <c r="G1259" s="241"/>
      <c r="H1259" s="241"/>
      <c r="I1259" s="241"/>
      <c r="J1259" s="241"/>
      <c r="K1259" s="241"/>
      <c r="L1259" s="242"/>
      <c r="M1259" s="241"/>
      <c r="N1259" s="241"/>
      <c r="O1259" s="241"/>
      <c r="P1259" s="241"/>
      <c r="Q1259" s="241"/>
      <c r="R1259" s="241"/>
      <c r="S1259" s="241"/>
      <c r="T1259" s="241"/>
      <c r="U1259" s="241"/>
      <c r="V1259" s="241"/>
      <c r="W1259" s="241"/>
      <c r="X1259" s="243"/>
      <c r="Y1259" s="243"/>
      <c r="Z1259" s="243"/>
      <c r="AA1259" s="243"/>
      <c r="AB1259" s="243"/>
      <c r="AC1259" s="243"/>
      <c r="AD1259" s="243"/>
      <c r="AE1259" s="243"/>
      <c r="AF1259" s="243"/>
      <c r="AG1259" s="243"/>
      <c r="AH1259" s="243"/>
      <c r="AI1259" s="243"/>
      <c r="AJ1259" s="243"/>
    </row>
    <row r="1260" hidden="1">
      <c r="A1260" s="241"/>
      <c r="B1260" s="241"/>
      <c r="C1260" s="241"/>
      <c r="D1260" s="241"/>
      <c r="E1260" s="241"/>
      <c r="F1260" s="241"/>
      <c r="G1260" s="241"/>
      <c r="H1260" s="241"/>
      <c r="I1260" s="241"/>
      <c r="J1260" s="241"/>
      <c r="K1260" s="241"/>
      <c r="L1260" s="242"/>
      <c r="M1260" s="241"/>
      <c r="N1260" s="241"/>
      <c r="O1260" s="241"/>
      <c r="P1260" s="241"/>
      <c r="Q1260" s="241"/>
      <c r="R1260" s="241"/>
      <c r="S1260" s="241"/>
      <c r="T1260" s="241"/>
      <c r="U1260" s="241"/>
      <c r="V1260" s="241"/>
      <c r="W1260" s="241"/>
      <c r="X1260" s="243"/>
      <c r="Y1260" s="243"/>
      <c r="Z1260" s="243"/>
      <c r="AA1260" s="243"/>
      <c r="AB1260" s="243"/>
      <c r="AC1260" s="243"/>
      <c r="AD1260" s="243"/>
      <c r="AE1260" s="243"/>
      <c r="AF1260" s="243"/>
      <c r="AG1260" s="243"/>
      <c r="AH1260" s="243"/>
      <c r="AI1260" s="243"/>
      <c r="AJ1260" s="243"/>
    </row>
    <row r="1261" hidden="1">
      <c r="A1261" s="241"/>
      <c r="B1261" s="241"/>
      <c r="C1261" s="241"/>
      <c r="D1261" s="241"/>
      <c r="E1261" s="241"/>
      <c r="F1261" s="241"/>
      <c r="G1261" s="241"/>
      <c r="H1261" s="241"/>
      <c r="I1261" s="241"/>
      <c r="J1261" s="241"/>
      <c r="K1261" s="241"/>
      <c r="L1261" s="242"/>
      <c r="M1261" s="241"/>
      <c r="N1261" s="241"/>
      <c r="O1261" s="241"/>
      <c r="P1261" s="241"/>
      <c r="Q1261" s="241"/>
      <c r="R1261" s="241"/>
      <c r="S1261" s="241"/>
      <c r="T1261" s="241"/>
      <c r="U1261" s="241"/>
      <c r="V1261" s="241"/>
      <c r="W1261" s="241"/>
      <c r="X1261" s="243"/>
      <c r="Y1261" s="243"/>
      <c r="Z1261" s="243"/>
      <c r="AA1261" s="243"/>
      <c r="AB1261" s="243"/>
      <c r="AC1261" s="243"/>
      <c r="AD1261" s="243"/>
      <c r="AE1261" s="243"/>
      <c r="AF1261" s="243"/>
      <c r="AG1261" s="243"/>
      <c r="AH1261" s="243"/>
      <c r="AI1261" s="243"/>
      <c r="AJ1261" s="243"/>
    </row>
    <row r="1262" hidden="1">
      <c r="A1262" s="241"/>
      <c r="B1262" s="241"/>
      <c r="C1262" s="241"/>
      <c r="D1262" s="241"/>
      <c r="E1262" s="241"/>
      <c r="F1262" s="241"/>
      <c r="G1262" s="241"/>
      <c r="H1262" s="241"/>
      <c r="I1262" s="241"/>
      <c r="J1262" s="241"/>
      <c r="K1262" s="241"/>
      <c r="L1262" s="242"/>
      <c r="M1262" s="241"/>
      <c r="N1262" s="241"/>
      <c r="O1262" s="241"/>
      <c r="P1262" s="241"/>
      <c r="Q1262" s="241"/>
      <c r="R1262" s="241"/>
      <c r="S1262" s="241"/>
      <c r="T1262" s="241"/>
      <c r="U1262" s="241"/>
      <c r="V1262" s="241"/>
      <c r="W1262" s="241"/>
      <c r="X1262" s="243"/>
      <c r="Y1262" s="243"/>
      <c r="Z1262" s="243"/>
      <c r="AA1262" s="243"/>
      <c r="AB1262" s="243"/>
      <c r="AC1262" s="243"/>
      <c r="AD1262" s="243"/>
      <c r="AE1262" s="243"/>
      <c r="AF1262" s="243"/>
      <c r="AG1262" s="243"/>
      <c r="AH1262" s="243"/>
      <c r="AI1262" s="243"/>
      <c r="AJ1262" s="243"/>
    </row>
    <row r="1263" hidden="1">
      <c r="A1263" s="241"/>
      <c r="B1263" s="241"/>
      <c r="C1263" s="241"/>
      <c r="D1263" s="241"/>
      <c r="E1263" s="241"/>
      <c r="F1263" s="241"/>
      <c r="G1263" s="241"/>
      <c r="H1263" s="241"/>
      <c r="I1263" s="241"/>
      <c r="J1263" s="241"/>
      <c r="K1263" s="241"/>
      <c r="L1263" s="242"/>
      <c r="M1263" s="241"/>
      <c r="N1263" s="241"/>
      <c r="O1263" s="241"/>
      <c r="P1263" s="241"/>
      <c r="Q1263" s="241"/>
      <c r="R1263" s="241"/>
      <c r="S1263" s="241"/>
      <c r="T1263" s="241"/>
      <c r="U1263" s="241"/>
      <c r="V1263" s="241"/>
      <c r="W1263" s="241"/>
      <c r="X1263" s="243"/>
      <c r="Y1263" s="243"/>
      <c r="Z1263" s="243"/>
      <c r="AA1263" s="243"/>
      <c r="AB1263" s="243"/>
      <c r="AC1263" s="243"/>
      <c r="AD1263" s="243"/>
      <c r="AE1263" s="243"/>
      <c r="AF1263" s="243"/>
      <c r="AG1263" s="243"/>
      <c r="AH1263" s="243"/>
      <c r="AI1263" s="243"/>
      <c r="AJ1263" s="243"/>
    </row>
    <row r="1264" hidden="1">
      <c r="A1264" s="241"/>
      <c r="B1264" s="241"/>
      <c r="C1264" s="241"/>
      <c r="D1264" s="241"/>
      <c r="E1264" s="241"/>
      <c r="F1264" s="241"/>
      <c r="G1264" s="241"/>
      <c r="H1264" s="241"/>
      <c r="I1264" s="241"/>
      <c r="J1264" s="241"/>
      <c r="K1264" s="241"/>
      <c r="L1264" s="242"/>
      <c r="M1264" s="241"/>
      <c r="N1264" s="241"/>
      <c r="O1264" s="241"/>
      <c r="P1264" s="241"/>
      <c r="Q1264" s="241"/>
      <c r="R1264" s="241"/>
      <c r="S1264" s="241"/>
      <c r="T1264" s="241"/>
      <c r="U1264" s="241"/>
      <c r="V1264" s="241"/>
      <c r="W1264" s="241"/>
      <c r="X1264" s="243"/>
      <c r="Y1264" s="243"/>
      <c r="Z1264" s="243"/>
      <c r="AA1264" s="243"/>
      <c r="AB1264" s="243"/>
      <c r="AC1264" s="243"/>
      <c r="AD1264" s="243"/>
      <c r="AE1264" s="243"/>
      <c r="AF1264" s="243"/>
      <c r="AG1264" s="243"/>
      <c r="AH1264" s="243"/>
      <c r="AI1264" s="243"/>
      <c r="AJ1264" s="243"/>
    </row>
    <row r="1265" hidden="1">
      <c r="A1265" s="241"/>
      <c r="B1265" s="241"/>
      <c r="C1265" s="241"/>
      <c r="D1265" s="241"/>
      <c r="E1265" s="241"/>
      <c r="F1265" s="241"/>
      <c r="G1265" s="241"/>
      <c r="H1265" s="241"/>
      <c r="I1265" s="241"/>
      <c r="J1265" s="241"/>
      <c r="K1265" s="241"/>
      <c r="L1265" s="242"/>
      <c r="M1265" s="241"/>
      <c r="N1265" s="241"/>
      <c r="O1265" s="241"/>
      <c r="P1265" s="241"/>
      <c r="Q1265" s="241"/>
      <c r="R1265" s="241"/>
      <c r="S1265" s="241"/>
      <c r="T1265" s="241"/>
      <c r="U1265" s="241"/>
      <c r="V1265" s="241"/>
      <c r="W1265" s="241"/>
      <c r="X1265" s="243"/>
      <c r="Y1265" s="243"/>
      <c r="Z1265" s="243"/>
      <c r="AA1265" s="243"/>
      <c r="AB1265" s="243"/>
      <c r="AC1265" s="243"/>
      <c r="AD1265" s="243"/>
      <c r="AE1265" s="243"/>
      <c r="AF1265" s="243"/>
      <c r="AG1265" s="243"/>
      <c r="AH1265" s="243"/>
      <c r="AI1265" s="243"/>
      <c r="AJ1265" s="243"/>
    </row>
    <row r="1266" hidden="1">
      <c r="A1266" s="241"/>
      <c r="B1266" s="241"/>
      <c r="C1266" s="241"/>
      <c r="D1266" s="241"/>
      <c r="E1266" s="241"/>
      <c r="F1266" s="241"/>
      <c r="G1266" s="241"/>
      <c r="H1266" s="241"/>
      <c r="I1266" s="241"/>
      <c r="J1266" s="241"/>
      <c r="K1266" s="241"/>
      <c r="L1266" s="242"/>
      <c r="M1266" s="241"/>
      <c r="N1266" s="241"/>
      <c r="O1266" s="241"/>
      <c r="P1266" s="241"/>
      <c r="Q1266" s="241"/>
      <c r="R1266" s="241"/>
      <c r="S1266" s="241"/>
      <c r="T1266" s="241"/>
      <c r="U1266" s="241"/>
      <c r="V1266" s="241"/>
      <c r="W1266" s="241"/>
      <c r="X1266" s="243"/>
      <c r="Y1266" s="243"/>
      <c r="Z1266" s="243"/>
      <c r="AA1266" s="243"/>
      <c r="AB1266" s="243"/>
      <c r="AC1266" s="243"/>
      <c r="AD1266" s="243"/>
      <c r="AE1266" s="243"/>
      <c r="AF1266" s="243"/>
      <c r="AG1266" s="243"/>
      <c r="AH1266" s="243"/>
      <c r="AI1266" s="243"/>
      <c r="AJ1266" s="243"/>
    </row>
    <row r="1267" hidden="1">
      <c r="A1267" s="241"/>
      <c r="B1267" s="241"/>
      <c r="C1267" s="241"/>
      <c r="D1267" s="241"/>
      <c r="E1267" s="241"/>
      <c r="F1267" s="241"/>
      <c r="G1267" s="241"/>
      <c r="H1267" s="241"/>
      <c r="I1267" s="241"/>
      <c r="J1267" s="241"/>
      <c r="K1267" s="241"/>
      <c r="L1267" s="242"/>
      <c r="M1267" s="241"/>
      <c r="N1267" s="241"/>
      <c r="O1267" s="241"/>
      <c r="P1267" s="241"/>
      <c r="Q1267" s="241"/>
      <c r="R1267" s="241"/>
      <c r="S1267" s="241"/>
      <c r="T1267" s="241"/>
      <c r="U1267" s="241"/>
      <c r="V1267" s="241"/>
      <c r="W1267" s="241"/>
      <c r="X1267" s="243"/>
      <c r="Y1267" s="243"/>
      <c r="Z1267" s="243"/>
      <c r="AA1267" s="243"/>
      <c r="AB1267" s="243"/>
      <c r="AC1267" s="243"/>
      <c r="AD1267" s="243"/>
      <c r="AE1267" s="243"/>
      <c r="AF1267" s="243"/>
      <c r="AG1267" s="243"/>
      <c r="AH1267" s="243"/>
      <c r="AI1267" s="243"/>
      <c r="AJ1267" s="243"/>
    </row>
    <row r="1268" hidden="1">
      <c r="A1268" s="241"/>
      <c r="B1268" s="241"/>
      <c r="C1268" s="241"/>
      <c r="D1268" s="241"/>
      <c r="E1268" s="241"/>
      <c r="F1268" s="241"/>
      <c r="G1268" s="241"/>
      <c r="H1268" s="241"/>
      <c r="I1268" s="241"/>
      <c r="J1268" s="241"/>
      <c r="K1268" s="241"/>
      <c r="L1268" s="242"/>
      <c r="M1268" s="241"/>
      <c r="N1268" s="241"/>
      <c r="O1268" s="241"/>
      <c r="P1268" s="241"/>
      <c r="Q1268" s="241"/>
      <c r="R1268" s="241"/>
      <c r="S1268" s="241"/>
      <c r="T1268" s="241"/>
      <c r="U1268" s="241"/>
      <c r="V1268" s="241"/>
      <c r="W1268" s="241"/>
      <c r="X1268" s="243"/>
      <c r="Y1268" s="243"/>
      <c r="Z1268" s="243"/>
      <c r="AA1268" s="243"/>
      <c r="AB1268" s="243"/>
      <c r="AC1268" s="243"/>
      <c r="AD1268" s="243"/>
      <c r="AE1268" s="243"/>
      <c r="AF1268" s="243"/>
      <c r="AG1268" s="243"/>
      <c r="AH1268" s="243"/>
      <c r="AI1268" s="243"/>
      <c r="AJ1268" s="243"/>
    </row>
    <row r="1269" hidden="1">
      <c r="A1269" s="241"/>
      <c r="B1269" s="241"/>
      <c r="C1269" s="241"/>
      <c r="D1269" s="241"/>
      <c r="E1269" s="241"/>
      <c r="F1269" s="241"/>
      <c r="G1269" s="241"/>
      <c r="H1269" s="241"/>
      <c r="I1269" s="241"/>
      <c r="J1269" s="241"/>
      <c r="K1269" s="241"/>
      <c r="L1269" s="242"/>
      <c r="M1269" s="241"/>
      <c r="N1269" s="241"/>
      <c r="O1269" s="241"/>
      <c r="P1269" s="241"/>
      <c r="Q1269" s="241"/>
      <c r="R1269" s="241"/>
      <c r="S1269" s="241"/>
      <c r="T1269" s="241"/>
      <c r="U1269" s="241"/>
      <c r="V1269" s="241"/>
      <c r="W1269" s="241"/>
      <c r="X1269" s="243"/>
      <c r="Y1269" s="243"/>
      <c r="Z1269" s="243"/>
      <c r="AA1269" s="243"/>
      <c r="AB1269" s="243"/>
      <c r="AC1269" s="243"/>
      <c r="AD1269" s="243"/>
      <c r="AE1269" s="243"/>
      <c r="AF1269" s="243"/>
      <c r="AG1269" s="243"/>
      <c r="AH1269" s="243"/>
      <c r="AI1269" s="243"/>
      <c r="AJ1269" s="243"/>
    </row>
    <row r="1270" hidden="1">
      <c r="A1270" s="241"/>
      <c r="B1270" s="241"/>
      <c r="C1270" s="241"/>
      <c r="D1270" s="241"/>
      <c r="E1270" s="241"/>
      <c r="F1270" s="241"/>
      <c r="G1270" s="241"/>
      <c r="H1270" s="241"/>
      <c r="I1270" s="241"/>
      <c r="J1270" s="241"/>
      <c r="K1270" s="241"/>
      <c r="L1270" s="242"/>
      <c r="M1270" s="241"/>
      <c r="N1270" s="241"/>
      <c r="O1270" s="241"/>
      <c r="P1270" s="241"/>
      <c r="Q1270" s="241"/>
      <c r="R1270" s="241"/>
      <c r="S1270" s="241"/>
      <c r="T1270" s="241"/>
      <c r="U1270" s="241"/>
      <c r="V1270" s="241"/>
      <c r="W1270" s="241"/>
      <c r="X1270" s="243"/>
      <c r="Y1270" s="243"/>
      <c r="Z1270" s="243"/>
      <c r="AA1270" s="243"/>
      <c r="AB1270" s="243"/>
      <c r="AC1270" s="243"/>
      <c r="AD1270" s="243"/>
      <c r="AE1270" s="243"/>
      <c r="AF1270" s="243"/>
      <c r="AG1270" s="243"/>
      <c r="AH1270" s="243"/>
      <c r="AI1270" s="243"/>
      <c r="AJ1270" s="243"/>
    </row>
    <row r="1271" hidden="1">
      <c r="A1271" s="241"/>
      <c r="B1271" s="241"/>
      <c r="C1271" s="241"/>
      <c r="D1271" s="241"/>
      <c r="E1271" s="241"/>
      <c r="F1271" s="241"/>
      <c r="G1271" s="241"/>
      <c r="H1271" s="241"/>
      <c r="I1271" s="241"/>
      <c r="J1271" s="241"/>
      <c r="K1271" s="241"/>
      <c r="L1271" s="242"/>
      <c r="M1271" s="241"/>
      <c r="N1271" s="241"/>
      <c r="O1271" s="241"/>
      <c r="P1271" s="241"/>
      <c r="Q1271" s="241"/>
      <c r="R1271" s="241"/>
      <c r="S1271" s="241"/>
      <c r="T1271" s="241"/>
      <c r="U1271" s="241"/>
      <c r="V1271" s="241"/>
      <c r="W1271" s="241"/>
      <c r="X1271" s="243"/>
      <c r="Y1271" s="243"/>
      <c r="Z1271" s="243"/>
      <c r="AA1271" s="243"/>
      <c r="AB1271" s="243"/>
      <c r="AC1271" s="243"/>
      <c r="AD1271" s="243"/>
      <c r="AE1271" s="243"/>
      <c r="AF1271" s="243"/>
      <c r="AG1271" s="243"/>
      <c r="AH1271" s="243"/>
      <c r="AI1271" s="243"/>
      <c r="AJ1271" s="243"/>
    </row>
    <row r="1272" hidden="1">
      <c r="A1272" s="241"/>
      <c r="B1272" s="241"/>
      <c r="C1272" s="241"/>
      <c r="D1272" s="241"/>
      <c r="E1272" s="241"/>
      <c r="F1272" s="241"/>
      <c r="G1272" s="241"/>
      <c r="H1272" s="241"/>
      <c r="I1272" s="241"/>
      <c r="J1272" s="241"/>
      <c r="K1272" s="241"/>
      <c r="L1272" s="242"/>
      <c r="M1272" s="241"/>
      <c r="N1272" s="241"/>
      <c r="O1272" s="241"/>
      <c r="P1272" s="241"/>
      <c r="Q1272" s="241"/>
      <c r="R1272" s="241"/>
      <c r="S1272" s="241"/>
      <c r="T1272" s="241"/>
      <c r="U1272" s="241"/>
      <c r="V1272" s="241"/>
      <c r="W1272" s="241"/>
      <c r="X1272" s="243"/>
      <c r="Y1272" s="243"/>
      <c r="Z1272" s="243"/>
      <c r="AA1272" s="243"/>
      <c r="AB1272" s="243"/>
      <c r="AC1272" s="243"/>
      <c r="AD1272" s="243"/>
      <c r="AE1272" s="243"/>
      <c r="AF1272" s="243"/>
      <c r="AG1272" s="243"/>
      <c r="AH1272" s="243"/>
      <c r="AI1272" s="243"/>
      <c r="AJ1272" s="243"/>
    </row>
    <row r="1273" hidden="1">
      <c r="A1273" s="241"/>
      <c r="B1273" s="241"/>
      <c r="C1273" s="241"/>
      <c r="D1273" s="241"/>
      <c r="E1273" s="241"/>
      <c r="F1273" s="241"/>
      <c r="G1273" s="241"/>
      <c r="H1273" s="241"/>
      <c r="I1273" s="241"/>
      <c r="J1273" s="241"/>
      <c r="K1273" s="241"/>
      <c r="L1273" s="242"/>
      <c r="M1273" s="241"/>
      <c r="N1273" s="241"/>
      <c r="O1273" s="241"/>
      <c r="P1273" s="241"/>
      <c r="Q1273" s="241"/>
      <c r="R1273" s="241"/>
      <c r="S1273" s="241"/>
      <c r="T1273" s="241"/>
      <c r="U1273" s="241"/>
      <c r="V1273" s="241"/>
      <c r="W1273" s="241"/>
      <c r="X1273" s="243"/>
      <c r="Y1273" s="243"/>
      <c r="Z1273" s="243"/>
      <c r="AA1273" s="243"/>
      <c r="AB1273" s="243"/>
      <c r="AC1273" s="243"/>
      <c r="AD1273" s="243"/>
      <c r="AE1273" s="243"/>
      <c r="AF1273" s="243"/>
      <c r="AG1273" s="243"/>
      <c r="AH1273" s="243"/>
      <c r="AI1273" s="243"/>
      <c r="AJ1273" s="243"/>
    </row>
    <row r="1274" hidden="1">
      <c r="A1274" s="241"/>
      <c r="B1274" s="241"/>
      <c r="C1274" s="241"/>
      <c r="D1274" s="241"/>
      <c r="E1274" s="241"/>
      <c r="F1274" s="241"/>
      <c r="G1274" s="241"/>
      <c r="H1274" s="241"/>
      <c r="I1274" s="241"/>
      <c r="J1274" s="241"/>
      <c r="K1274" s="241"/>
      <c r="L1274" s="242"/>
      <c r="M1274" s="241"/>
      <c r="N1274" s="241"/>
      <c r="O1274" s="241"/>
      <c r="P1274" s="241"/>
      <c r="Q1274" s="241"/>
      <c r="R1274" s="241"/>
      <c r="S1274" s="241"/>
      <c r="T1274" s="241"/>
      <c r="U1274" s="241"/>
      <c r="V1274" s="241"/>
      <c r="W1274" s="241"/>
      <c r="X1274" s="243"/>
      <c r="Y1274" s="243"/>
      <c r="Z1274" s="243"/>
      <c r="AA1274" s="243"/>
      <c r="AB1274" s="243"/>
      <c r="AC1274" s="243"/>
      <c r="AD1274" s="243"/>
      <c r="AE1274" s="243"/>
      <c r="AF1274" s="243"/>
      <c r="AG1274" s="243"/>
      <c r="AH1274" s="243"/>
      <c r="AI1274" s="243"/>
      <c r="AJ1274" s="243"/>
    </row>
    <row r="1275" hidden="1">
      <c r="A1275" s="241"/>
      <c r="B1275" s="241"/>
      <c r="C1275" s="241"/>
      <c r="D1275" s="241"/>
      <c r="E1275" s="241"/>
      <c r="F1275" s="241"/>
      <c r="G1275" s="241"/>
      <c r="H1275" s="241"/>
      <c r="I1275" s="241"/>
      <c r="J1275" s="241"/>
      <c r="K1275" s="241"/>
      <c r="L1275" s="242"/>
      <c r="M1275" s="241"/>
      <c r="N1275" s="241"/>
      <c r="O1275" s="241"/>
      <c r="P1275" s="241"/>
      <c r="Q1275" s="241"/>
      <c r="R1275" s="241"/>
      <c r="S1275" s="241"/>
      <c r="T1275" s="241"/>
      <c r="U1275" s="241"/>
      <c r="V1275" s="241"/>
      <c r="W1275" s="241"/>
      <c r="X1275" s="243"/>
      <c r="Y1275" s="243"/>
      <c r="Z1275" s="243"/>
      <c r="AA1275" s="243"/>
      <c r="AB1275" s="243"/>
      <c r="AC1275" s="243"/>
      <c r="AD1275" s="243"/>
      <c r="AE1275" s="243"/>
      <c r="AF1275" s="243"/>
      <c r="AG1275" s="243"/>
      <c r="AH1275" s="243"/>
      <c r="AI1275" s="243"/>
      <c r="AJ1275" s="243"/>
    </row>
    <row r="1276" hidden="1">
      <c r="A1276" s="241"/>
      <c r="B1276" s="241"/>
      <c r="C1276" s="241"/>
      <c r="D1276" s="241"/>
      <c r="E1276" s="241"/>
      <c r="F1276" s="241"/>
      <c r="G1276" s="241"/>
      <c r="H1276" s="241"/>
      <c r="I1276" s="241"/>
      <c r="J1276" s="241"/>
      <c r="K1276" s="241"/>
      <c r="L1276" s="242"/>
      <c r="M1276" s="241"/>
      <c r="N1276" s="241"/>
      <c r="O1276" s="241"/>
      <c r="P1276" s="241"/>
      <c r="Q1276" s="241"/>
      <c r="R1276" s="241"/>
      <c r="S1276" s="241"/>
      <c r="T1276" s="241"/>
      <c r="U1276" s="241"/>
      <c r="V1276" s="241"/>
      <c r="W1276" s="241"/>
      <c r="X1276" s="243"/>
      <c r="Y1276" s="243"/>
      <c r="Z1276" s="243"/>
      <c r="AA1276" s="243"/>
      <c r="AB1276" s="243"/>
      <c r="AC1276" s="243"/>
      <c r="AD1276" s="243"/>
      <c r="AE1276" s="243"/>
      <c r="AF1276" s="243"/>
      <c r="AG1276" s="243"/>
      <c r="AH1276" s="243"/>
      <c r="AI1276" s="243"/>
      <c r="AJ1276" s="243"/>
    </row>
    <row r="1277" hidden="1">
      <c r="A1277" s="241"/>
      <c r="B1277" s="241"/>
      <c r="C1277" s="241"/>
      <c r="D1277" s="241"/>
      <c r="E1277" s="241"/>
      <c r="F1277" s="241"/>
      <c r="G1277" s="241"/>
      <c r="H1277" s="241"/>
      <c r="I1277" s="241"/>
      <c r="J1277" s="241"/>
      <c r="K1277" s="241"/>
      <c r="L1277" s="242"/>
      <c r="M1277" s="241"/>
      <c r="N1277" s="241"/>
      <c r="O1277" s="241"/>
      <c r="P1277" s="241"/>
      <c r="Q1277" s="241"/>
      <c r="R1277" s="241"/>
      <c r="S1277" s="241"/>
      <c r="T1277" s="241"/>
      <c r="U1277" s="241"/>
      <c r="V1277" s="241"/>
      <c r="W1277" s="241"/>
      <c r="X1277" s="243"/>
      <c r="Y1277" s="243"/>
      <c r="Z1277" s="243"/>
      <c r="AA1277" s="243"/>
      <c r="AB1277" s="243"/>
      <c r="AC1277" s="243"/>
      <c r="AD1277" s="243"/>
      <c r="AE1277" s="243"/>
      <c r="AF1277" s="243"/>
      <c r="AG1277" s="243"/>
      <c r="AH1277" s="243"/>
      <c r="AI1277" s="243"/>
      <c r="AJ1277" s="243"/>
    </row>
    <row r="1278" hidden="1">
      <c r="A1278" s="241"/>
      <c r="B1278" s="241"/>
      <c r="C1278" s="241"/>
      <c r="D1278" s="241"/>
      <c r="E1278" s="241"/>
      <c r="F1278" s="241"/>
      <c r="G1278" s="241"/>
      <c r="H1278" s="241"/>
      <c r="I1278" s="241"/>
      <c r="J1278" s="241"/>
      <c r="K1278" s="241"/>
      <c r="L1278" s="242"/>
      <c r="M1278" s="241"/>
      <c r="N1278" s="241"/>
      <c r="O1278" s="241"/>
      <c r="P1278" s="241"/>
      <c r="Q1278" s="241"/>
      <c r="R1278" s="241"/>
      <c r="S1278" s="241"/>
      <c r="T1278" s="241"/>
      <c r="U1278" s="241"/>
      <c r="V1278" s="241"/>
      <c r="W1278" s="241"/>
      <c r="X1278" s="243"/>
      <c r="Y1278" s="243"/>
      <c r="Z1278" s="243"/>
      <c r="AA1278" s="243"/>
      <c r="AB1278" s="243"/>
      <c r="AC1278" s="243"/>
      <c r="AD1278" s="243"/>
      <c r="AE1278" s="243"/>
      <c r="AF1278" s="243"/>
      <c r="AG1278" s="243"/>
      <c r="AH1278" s="243"/>
      <c r="AI1278" s="243"/>
      <c r="AJ1278" s="243"/>
    </row>
    <row r="1279" hidden="1">
      <c r="A1279" s="241"/>
      <c r="B1279" s="241"/>
      <c r="C1279" s="241"/>
      <c r="D1279" s="241"/>
      <c r="E1279" s="241"/>
      <c r="F1279" s="241"/>
      <c r="G1279" s="241"/>
      <c r="H1279" s="241"/>
      <c r="I1279" s="241"/>
      <c r="J1279" s="241"/>
      <c r="K1279" s="241"/>
      <c r="L1279" s="242"/>
      <c r="M1279" s="241"/>
      <c r="N1279" s="241"/>
      <c r="O1279" s="241"/>
      <c r="P1279" s="241"/>
      <c r="Q1279" s="241"/>
      <c r="R1279" s="241"/>
      <c r="S1279" s="241"/>
      <c r="T1279" s="241"/>
      <c r="U1279" s="241"/>
      <c r="V1279" s="241"/>
      <c r="W1279" s="241"/>
      <c r="X1279" s="243"/>
      <c r="Y1279" s="243"/>
      <c r="Z1279" s="243"/>
      <c r="AA1279" s="243"/>
      <c r="AB1279" s="243"/>
      <c r="AC1279" s="243"/>
      <c r="AD1279" s="243"/>
      <c r="AE1279" s="243"/>
      <c r="AF1279" s="243"/>
      <c r="AG1279" s="243"/>
      <c r="AH1279" s="243"/>
      <c r="AI1279" s="243"/>
      <c r="AJ1279" s="243"/>
    </row>
    <row r="1280" hidden="1">
      <c r="A1280" s="241"/>
      <c r="B1280" s="241"/>
      <c r="C1280" s="241"/>
      <c r="D1280" s="241"/>
      <c r="E1280" s="241"/>
      <c r="F1280" s="241"/>
      <c r="G1280" s="241"/>
      <c r="H1280" s="241"/>
      <c r="I1280" s="241"/>
      <c r="J1280" s="241"/>
      <c r="K1280" s="241"/>
      <c r="L1280" s="242"/>
      <c r="M1280" s="241"/>
      <c r="N1280" s="241"/>
      <c r="O1280" s="241"/>
      <c r="P1280" s="241"/>
      <c r="Q1280" s="241"/>
      <c r="R1280" s="241"/>
      <c r="S1280" s="241"/>
      <c r="T1280" s="241"/>
      <c r="U1280" s="241"/>
      <c r="V1280" s="241"/>
      <c r="W1280" s="241"/>
      <c r="X1280" s="243"/>
      <c r="Y1280" s="243"/>
      <c r="Z1280" s="243"/>
      <c r="AA1280" s="243"/>
      <c r="AB1280" s="243"/>
      <c r="AC1280" s="243"/>
      <c r="AD1280" s="243"/>
      <c r="AE1280" s="243"/>
      <c r="AF1280" s="243"/>
      <c r="AG1280" s="243"/>
      <c r="AH1280" s="243"/>
      <c r="AI1280" s="243"/>
      <c r="AJ1280" s="243"/>
    </row>
    <row r="1281" hidden="1">
      <c r="A1281" s="241"/>
      <c r="B1281" s="241"/>
      <c r="C1281" s="241"/>
      <c r="D1281" s="241"/>
      <c r="E1281" s="241"/>
      <c r="F1281" s="241"/>
      <c r="G1281" s="241"/>
      <c r="H1281" s="241"/>
      <c r="I1281" s="241"/>
      <c r="J1281" s="241"/>
      <c r="K1281" s="241"/>
      <c r="L1281" s="242"/>
      <c r="M1281" s="241"/>
      <c r="N1281" s="241"/>
      <c r="O1281" s="241"/>
      <c r="P1281" s="241"/>
      <c r="Q1281" s="241"/>
      <c r="R1281" s="241"/>
      <c r="S1281" s="241"/>
      <c r="T1281" s="241"/>
      <c r="U1281" s="241"/>
      <c r="V1281" s="241"/>
      <c r="W1281" s="241"/>
      <c r="X1281" s="243"/>
      <c r="Y1281" s="243"/>
      <c r="Z1281" s="243"/>
      <c r="AA1281" s="243"/>
      <c r="AB1281" s="243"/>
      <c r="AC1281" s="243"/>
      <c r="AD1281" s="243"/>
      <c r="AE1281" s="243"/>
      <c r="AF1281" s="243"/>
      <c r="AG1281" s="243"/>
      <c r="AH1281" s="243"/>
      <c r="AI1281" s="243"/>
      <c r="AJ1281" s="243"/>
    </row>
    <row r="1282" hidden="1">
      <c r="A1282" s="241"/>
      <c r="B1282" s="241"/>
      <c r="C1282" s="241"/>
      <c r="D1282" s="241"/>
      <c r="E1282" s="241"/>
      <c r="F1282" s="241"/>
      <c r="G1282" s="241"/>
      <c r="H1282" s="241"/>
      <c r="I1282" s="241"/>
      <c r="J1282" s="241"/>
      <c r="K1282" s="241"/>
      <c r="L1282" s="242"/>
      <c r="M1282" s="241"/>
      <c r="N1282" s="241"/>
      <c r="O1282" s="241"/>
      <c r="P1282" s="241"/>
      <c r="Q1282" s="241"/>
      <c r="R1282" s="241"/>
      <c r="S1282" s="241"/>
      <c r="T1282" s="241"/>
      <c r="U1282" s="241"/>
      <c r="V1282" s="241"/>
      <c r="W1282" s="241"/>
      <c r="X1282" s="243"/>
      <c r="Y1282" s="243"/>
      <c r="Z1282" s="243"/>
      <c r="AA1282" s="243"/>
      <c r="AB1282" s="243"/>
      <c r="AC1282" s="243"/>
      <c r="AD1282" s="243"/>
      <c r="AE1282" s="243"/>
      <c r="AF1282" s="243"/>
      <c r="AG1282" s="243"/>
      <c r="AH1282" s="243"/>
      <c r="AI1282" s="243"/>
      <c r="AJ1282" s="243"/>
    </row>
    <row r="1283" hidden="1">
      <c r="A1283" s="241"/>
      <c r="B1283" s="241"/>
      <c r="C1283" s="241"/>
      <c r="D1283" s="241"/>
      <c r="E1283" s="241"/>
      <c r="F1283" s="241"/>
      <c r="G1283" s="241"/>
      <c r="H1283" s="241"/>
      <c r="I1283" s="241"/>
      <c r="J1283" s="241"/>
      <c r="K1283" s="241"/>
      <c r="L1283" s="242"/>
      <c r="M1283" s="241"/>
      <c r="N1283" s="241"/>
      <c r="O1283" s="241"/>
      <c r="P1283" s="241"/>
      <c r="Q1283" s="241"/>
      <c r="R1283" s="241"/>
      <c r="S1283" s="241"/>
      <c r="T1283" s="241"/>
      <c r="U1283" s="241"/>
      <c r="V1283" s="241"/>
      <c r="W1283" s="241"/>
      <c r="X1283" s="243"/>
      <c r="Y1283" s="243"/>
      <c r="Z1283" s="243"/>
      <c r="AA1283" s="243"/>
      <c r="AB1283" s="243"/>
      <c r="AC1283" s="243"/>
      <c r="AD1283" s="243"/>
      <c r="AE1283" s="243"/>
      <c r="AF1283" s="243"/>
      <c r="AG1283" s="243"/>
      <c r="AH1283" s="243"/>
      <c r="AI1283" s="243"/>
      <c r="AJ1283" s="243"/>
    </row>
    <row r="1284" hidden="1">
      <c r="A1284" s="241"/>
      <c r="B1284" s="241"/>
      <c r="C1284" s="241"/>
      <c r="D1284" s="241"/>
      <c r="E1284" s="241"/>
      <c r="F1284" s="241"/>
      <c r="G1284" s="241"/>
      <c r="H1284" s="241"/>
      <c r="I1284" s="241"/>
      <c r="J1284" s="241"/>
      <c r="K1284" s="241"/>
      <c r="L1284" s="242"/>
      <c r="M1284" s="241"/>
      <c r="N1284" s="241"/>
      <c r="O1284" s="241"/>
      <c r="P1284" s="241"/>
      <c r="Q1284" s="241"/>
      <c r="R1284" s="241"/>
      <c r="S1284" s="241"/>
      <c r="T1284" s="241"/>
      <c r="U1284" s="241"/>
      <c r="V1284" s="241"/>
      <c r="W1284" s="241"/>
      <c r="X1284" s="243"/>
      <c r="Y1284" s="243"/>
      <c r="Z1284" s="243"/>
      <c r="AA1284" s="243"/>
      <c r="AB1284" s="243"/>
      <c r="AC1284" s="243"/>
      <c r="AD1284" s="243"/>
      <c r="AE1284" s="243"/>
      <c r="AF1284" s="243"/>
      <c r="AG1284" s="243"/>
      <c r="AH1284" s="243"/>
      <c r="AI1284" s="243"/>
      <c r="AJ1284" s="243"/>
    </row>
    <row r="1285" hidden="1">
      <c r="A1285" s="241"/>
      <c r="B1285" s="241"/>
      <c r="C1285" s="241"/>
      <c r="D1285" s="241"/>
      <c r="E1285" s="241"/>
      <c r="F1285" s="241"/>
      <c r="G1285" s="241"/>
      <c r="H1285" s="241"/>
      <c r="I1285" s="241"/>
      <c r="J1285" s="241"/>
      <c r="K1285" s="241"/>
      <c r="L1285" s="242"/>
      <c r="M1285" s="241"/>
      <c r="N1285" s="241"/>
      <c r="O1285" s="241"/>
      <c r="P1285" s="241"/>
      <c r="Q1285" s="241"/>
      <c r="R1285" s="241"/>
      <c r="S1285" s="241"/>
      <c r="T1285" s="241"/>
      <c r="U1285" s="241"/>
      <c r="V1285" s="241"/>
      <c r="W1285" s="241"/>
      <c r="X1285" s="243"/>
      <c r="Y1285" s="243"/>
      <c r="Z1285" s="243"/>
      <c r="AA1285" s="243"/>
      <c r="AB1285" s="243"/>
      <c r="AC1285" s="243"/>
      <c r="AD1285" s="243"/>
      <c r="AE1285" s="243"/>
      <c r="AF1285" s="243"/>
      <c r="AG1285" s="243"/>
      <c r="AH1285" s="243"/>
      <c r="AI1285" s="243"/>
      <c r="AJ1285" s="243"/>
    </row>
    <row r="1286" hidden="1">
      <c r="A1286" s="241"/>
      <c r="B1286" s="241"/>
      <c r="C1286" s="241"/>
      <c r="D1286" s="241"/>
      <c r="E1286" s="241"/>
      <c r="F1286" s="241"/>
      <c r="G1286" s="241"/>
      <c r="H1286" s="241"/>
      <c r="I1286" s="241"/>
      <c r="J1286" s="241"/>
      <c r="K1286" s="241"/>
      <c r="L1286" s="242"/>
      <c r="M1286" s="241"/>
      <c r="N1286" s="241"/>
      <c r="O1286" s="241"/>
      <c r="P1286" s="241"/>
      <c r="Q1286" s="241"/>
      <c r="R1286" s="241"/>
      <c r="S1286" s="241"/>
      <c r="T1286" s="241"/>
      <c r="U1286" s="241"/>
      <c r="V1286" s="241"/>
      <c r="W1286" s="241"/>
      <c r="X1286" s="243"/>
      <c r="Y1286" s="243"/>
      <c r="Z1286" s="243"/>
      <c r="AA1286" s="243"/>
      <c r="AB1286" s="243"/>
      <c r="AC1286" s="243"/>
      <c r="AD1286" s="243"/>
      <c r="AE1286" s="243"/>
      <c r="AF1286" s="243"/>
      <c r="AG1286" s="243"/>
      <c r="AH1286" s="243"/>
      <c r="AI1286" s="243"/>
      <c r="AJ1286" s="243"/>
    </row>
    <row r="1287" hidden="1">
      <c r="A1287" s="241"/>
      <c r="B1287" s="241"/>
      <c r="C1287" s="241"/>
      <c r="D1287" s="241"/>
      <c r="E1287" s="241"/>
      <c r="F1287" s="241"/>
      <c r="G1287" s="241"/>
      <c r="H1287" s="241"/>
      <c r="I1287" s="241"/>
      <c r="J1287" s="241"/>
      <c r="K1287" s="241"/>
      <c r="L1287" s="242"/>
      <c r="M1287" s="241"/>
      <c r="N1287" s="241"/>
      <c r="O1287" s="241"/>
      <c r="P1287" s="241"/>
      <c r="Q1287" s="241"/>
      <c r="R1287" s="241"/>
      <c r="S1287" s="241"/>
      <c r="T1287" s="241"/>
      <c r="U1287" s="241"/>
      <c r="V1287" s="241"/>
      <c r="W1287" s="241"/>
      <c r="X1287" s="243"/>
      <c r="Y1287" s="243"/>
      <c r="Z1287" s="243"/>
      <c r="AA1287" s="243"/>
      <c r="AB1287" s="243"/>
      <c r="AC1287" s="243"/>
      <c r="AD1287" s="243"/>
      <c r="AE1287" s="243"/>
      <c r="AF1287" s="243"/>
      <c r="AG1287" s="243"/>
      <c r="AH1287" s="243"/>
      <c r="AI1287" s="243"/>
      <c r="AJ1287" s="243"/>
    </row>
    <row r="1288" hidden="1">
      <c r="A1288" s="241"/>
      <c r="B1288" s="241"/>
      <c r="C1288" s="241"/>
      <c r="D1288" s="241"/>
      <c r="E1288" s="241"/>
      <c r="F1288" s="241"/>
      <c r="G1288" s="241"/>
      <c r="H1288" s="241"/>
      <c r="I1288" s="241"/>
      <c r="J1288" s="241"/>
      <c r="K1288" s="241"/>
      <c r="L1288" s="242"/>
      <c r="M1288" s="241"/>
      <c r="N1288" s="241"/>
      <c r="O1288" s="241"/>
      <c r="P1288" s="241"/>
      <c r="Q1288" s="241"/>
      <c r="R1288" s="241"/>
      <c r="S1288" s="241"/>
      <c r="T1288" s="241"/>
      <c r="U1288" s="241"/>
      <c r="V1288" s="241"/>
      <c r="W1288" s="241"/>
      <c r="X1288" s="243"/>
      <c r="Y1288" s="243"/>
      <c r="Z1288" s="243"/>
      <c r="AA1288" s="243"/>
      <c r="AB1288" s="243"/>
      <c r="AC1288" s="243"/>
      <c r="AD1288" s="243"/>
      <c r="AE1288" s="243"/>
      <c r="AF1288" s="243"/>
      <c r="AG1288" s="243"/>
      <c r="AH1288" s="243"/>
      <c r="AI1288" s="243"/>
      <c r="AJ1288" s="243"/>
    </row>
    <row r="1289" hidden="1">
      <c r="A1289" s="241"/>
      <c r="B1289" s="241"/>
      <c r="C1289" s="241"/>
      <c r="D1289" s="241"/>
      <c r="E1289" s="241"/>
      <c r="F1289" s="241"/>
      <c r="G1289" s="241"/>
      <c r="H1289" s="241"/>
      <c r="I1289" s="241"/>
      <c r="J1289" s="241"/>
      <c r="K1289" s="241"/>
      <c r="L1289" s="242"/>
      <c r="M1289" s="241"/>
      <c r="N1289" s="241"/>
      <c r="O1289" s="241"/>
      <c r="P1289" s="241"/>
      <c r="Q1289" s="241"/>
      <c r="R1289" s="241"/>
      <c r="S1289" s="241"/>
      <c r="T1289" s="241"/>
      <c r="U1289" s="241"/>
      <c r="V1289" s="241"/>
      <c r="W1289" s="241"/>
      <c r="X1289" s="243"/>
      <c r="Y1289" s="243"/>
      <c r="Z1289" s="243"/>
      <c r="AA1289" s="243"/>
      <c r="AB1289" s="243"/>
      <c r="AC1289" s="243"/>
      <c r="AD1289" s="243"/>
      <c r="AE1289" s="243"/>
      <c r="AF1289" s="243"/>
      <c r="AG1289" s="243"/>
      <c r="AH1289" s="243"/>
      <c r="AI1289" s="243"/>
      <c r="AJ1289" s="243"/>
    </row>
    <row r="1290" hidden="1">
      <c r="A1290" s="241"/>
      <c r="B1290" s="241"/>
      <c r="C1290" s="241"/>
      <c r="D1290" s="241"/>
      <c r="E1290" s="241"/>
      <c r="F1290" s="241"/>
      <c r="G1290" s="241"/>
      <c r="H1290" s="241"/>
      <c r="I1290" s="241"/>
      <c r="J1290" s="241"/>
      <c r="K1290" s="241"/>
      <c r="L1290" s="242"/>
      <c r="M1290" s="241"/>
      <c r="N1290" s="241"/>
      <c r="O1290" s="241"/>
      <c r="P1290" s="241"/>
      <c r="Q1290" s="241"/>
      <c r="R1290" s="241"/>
      <c r="S1290" s="241"/>
      <c r="T1290" s="241"/>
      <c r="U1290" s="241"/>
      <c r="V1290" s="241"/>
      <c r="W1290" s="241"/>
      <c r="X1290" s="243"/>
      <c r="Y1290" s="243"/>
      <c r="Z1290" s="243"/>
      <c r="AA1290" s="243"/>
      <c r="AB1290" s="243"/>
      <c r="AC1290" s="243"/>
      <c r="AD1290" s="243"/>
      <c r="AE1290" s="243"/>
      <c r="AF1290" s="243"/>
      <c r="AG1290" s="243"/>
      <c r="AH1290" s="243"/>
      <c r="AI1290" s="243"/>
      <c r="AJ1290" s="243"/>
    </row>
    <row r="1291" hidden="1">
      <c r="A1291" s="241"/>
      <c r="B1291" s="241"/>
      <c r="C1291" s="241"/>
      <c r="D1291" s="241"/>
      <c r="E1291" s="241"/>
      <c r="F1291" s="241"/>
      <c r="G1291" s="241"/>
      <c r="H1291" s="241"/>
      <c r="I1291" s="241"/>
      <c r="J1291" s="241"/>
      <c r="K1291" s="241"/>
      <c r="L1291" s="242"/>
      <c r="M1291" s="241"/>
      <c r="N1291" s="241"/>
      <c r="O1291" s="241"/>
      <c r="P1291" s="241"/>
      <c r="Q1291" s="241"/>
      <c r="R1291" s="241"/>
      <c r="S1291" s="241"/>
      <c r="T1291" s="241"/>
      <c r="U1291" s="241"/>
      <c r="V1291" s="241"/>
      <c r="W1291" s="241"/>
      <c r="X1291" s="243"/>
      <c r="Y1291" s="243"/>
      <c r="Z1291" s="243"/>
      <c r="AA1291" s="243"/>
      <c r="AB1291" s="243"/>
      <c r="AC1291" s="243"/>
      <c r="AD1291" s="243"/>
      <c r="AE1291" s="243"/>
      <c r="AF1291" s="243"/>
      <c r="AG1291" s="243"/>
      <c r="AH1291" s="243"/>
      <c r="AI1291" s="243"/>
      <c r="AJ1291" s="243"/>
    </row>
    <row r="1292" hidden="1">
      <c r="A1292" s="241"/>
      <c r="B1292" s="241"/>
      <c r="C1292" s="241"/>
      <c r="D1292" s="241"/>
      <c r="E1292" s="241"/>
      <c r="F1292" s="241"/>
      <c r="G1292" s="241"/>
      <c r="H1292" s="241"/>
      <c r="I1292" s="241"/>
      <c r="J1292" s="241"/>
      <c r="K1292" s="241"/>
      <c r="L1292" s="242"/>
      <c r="M1292" s="241"/>
      <c r="N1292" s="241"/>
      <c r="O1292" s="241"/>
      <c r="P1292" s="241"/>
      <c r="Q1292" s="241"/>
      <c r="R1292" s="241"/>
      <c r="S1292" s="241"/>
      <c r="T1292" s="241"/>
      <c r="U1292" s="241"/>
      <c r="V1292" s="241"/>
      <c r="W1292" s="241"/>
      <c r="X1292" s="243"/>
      <c r="Y1292" s="243"/>
      <c r="Z1292" s="243"/>
      <c r="AA1292" s="243"/>
      <c r="AB1292" s="243"/>
      <c r="AC1292" s="243"/>
      <c r="AD1292" s="243"/>
      <c r="AE1292" s="243"/>
      <c r="AF1292" s="243"/>
      <c r="AG1292" s="243"/>
      <c r="AH1292" s="243"/>
      <c r="AI1292" s="243"/>
      <c r="AJ1292" s="243"/>
    </row>
    <row r="1293" hidden="1">
      <c r="A1293" s="241"/>
      <c r="B1293" s="241"/>
      <c r="C1293" s="241"/>
      <c r="D1293" s="241"/>
      <c r="E1293" s="241"/>
      <c r="F1293" s="241"/>
      <c r="G1293" s="241"/>
      <c r="H1293" s="241"/>
      <c r="I1293" s="241"/>
      <c r="J1293" s="241"/>
      <c r="K1293" s="241"/>
      <c r="L1293" s="242"/>
      <c r="M1293" s="241"/>
      <c r="N1293" s="241"/>
      <c r="O1293" s="241"/>
      <c r="P1293" s="241"/>
      <c r="Q1293" s="241"/>
      <c r="R1293" s="241"/>
      <c r="S1293" s="241"/>
      <c r="T1293" s="241"/>
      <c r="U1293" s="241"/>
      <c r="V1293" s="241"/>
      <c r="W1293" s="241"/>
      <c r="X1293" s="243"/>
      <c r="Y1293" s="243"/>
      <c r="Z1293" s="243"/>
      <c r="AA1293" s="243"/>
      <c r="AB1293" s="243"/>
      <c r="AC1293" s="243"/>
      <c r="AD1293" s="243"/>
      <c r="AE1293" s="243"/>
      <c r="AF1293" s="243"/>
      <c r="AG1293" s="243"/>
      <c r="AH1293" s="243"/>
      <c r="AI1293" s="243"/>
      <c r="AJ1293" s="243"/>
    </row>
    <row r="1294" hidden="1">
      <c r="A1294" s="241"/>
      <c r="B1294" s="241"/>
      <c r="C1294" s="241"/>
      <c r="D1294" s="241"/>
      <c r="E1294" s="241"/>
      <c r="F1294" s="241"/>
      <c r="G1294" s="241"/>
      <c r="H1294" s="241"/>
      <c r="I1294" s="241"/>
      <c r="J1294" s="241"/>
      <c r="K1294" s="241"/>
      <c r="L1294" s="242"/>
      <c r="M1294" s="241"/>
      <c r="N1294" s="241"/>
      <c r="O1294" s="241"/>
      <c r="P1294" s="241"/>
      <c r="Q1294" s="241"/>
      <c r="R1294" s="241"/>
      <c r="S1294" s="241"/>
      <c r="T1294" s="241"/>
      <c r="U1294" s="241"/>
      <c r="V1294" s="241"/>
      <c r="W1294" s="241"/>
      <c r="X1294" s="243"/>
      <c r="Y1294" s="243"/>
      <c r="Z1294" s="243"/>
      <c r="AA1294" s="243"/>
      <c r="AB1294" s="243"/>
      <c r="AC1294" s="243"/>
      <c r="AD1294" s="243"/>
      <c r="AE1294" s="243"/>
      <c r="AF1294" s="243"/>
      <c r="AG1294" s="243"/>
      <c r="AH1294" s="243"/>
      <c r="AI1294" s="243"/>
      <c r="AJ1294" s="243"/>
    </row>
    <row r="1295" hidden="1">
      <c r="A1295" s="241"/>
      <c r="B1295" s="241"/>
      <c r="C1295" s="241"/>
      <c r="D1295" s="241"/>
      <c r="E1295" s="241"/>
      <c r="F1295" s="241"/>
      <c r="G1295" s="241"/>
      <c r="H1295" s="241"/>
      <c r="I1295" s="241"/>
      <c r="J1295" s="241"/>
      <c r="K1295" s="241"/>
      <c r="L1295" s="242"/>
      <c r="M1295" s="241"/>
      <c r="N1295" s="241"/>
      <c r="O1295" s="241"/>
      <c r="P1295" s="241"/>
      <c r="Q1295" s="241"/>
      <c r="R1295" s="241"/>
      <c r="S1295" s="241"/>
      <c r="T1295" s="241"/>
      <c r="U1295" s="241"/>
      <c r="V1295" s="241"/>
      <c r="W1295" s="241"/>
      <c r="X1295" s="243"/>
      <c r="Y1295" s="243"/>
      <c r="Z1295" s="243"/>
      <c r="AA1295" s="243"/>
      <c r="AB1295" s="243"/>
      <c r="AC1295" s="243"/>
      <c r="AD1295" s="243"/>
      <c r="AE1295" s="243"/>
      <c r="AF1295" s="243"/>
      <c r="AG1295" s="243"/>
      <c r="AH1295" s="243"/>
      <c r="AI1295" s="243"/>
      <c r="AJ1295" s="243"/>
    </row>
    <row r="1296" hidden="1">
      <c r="A1296" s="241"/>
      <c r="B1296" s="241"/>
      <c r="C1296" s="241"/>
      <c r="D1296" s="241"/>
      <c r="E1296" s="241"/>
      <c r="F1296" s="241"/>
      <c r="G1296" s="241"/>
      <c r="H1296" s="241"/>
      <c r="I1296" s="241"/>
      <c r="J1296" s="241"/>
      <c r="K1296" s="241"/>
      <c r="L1296" s="242"/>
      <c r="M1296" s="241"/>
      <c r="N1296" s="241"/>
      <c r="O1296" s="241"/>
      <c r="P1296" s="241"/>
      <c r="Q1296" s="241"/>
      <c r="R1296" s="241"/>
      <c r="S1296" s="241"/>
      <c r="T1296" s="241"/>
      <c r="U1296" s="241"/>
      <c r="V1296" s="241"/>
      <c r="W1296" s="241"/>
      <c r="X1296" s="243"/>
      <c r="Y1296" s="243"/>
      <c r="Z1296" s="243"/>
      <c r="AA1296" s="243"/>
      <c r="AB1296" s="243"/>
      <c r="AC1296" s="243"/>
      <c r="AD1296" s="243"/>
      <c r="AE1296" s="243"/>
      <c r="AF1296" s="243"/>
      <c r="AG1296" s="243"/>
      <c r="AH1296" s="243"/>
      <c r="AI1296" s="243"/>
      <c r="AJ1296" s="243"/>
    </row>
    <row r="1297" hidden="1">
      <c r="A1297" s="241"/>
      <c r="B1297" s="241"/>
      <c r="C1297" s="241"/>
      <c r="D1297" s="241"/>
      <c r="E1297" s="241"/>
      <c r="F1297" s="241"/>
      <c r="G1297" s="241"/>
      <c r="H1297" s="241"/>
      <c r="I1297" s="241"/>
      <c r="J1297" s="241"/>
      <c r="K1297" s="241"/>
      <c r="L1297" s="242"/>
      <c r="M1297" s="241"/>
      <c r="N1297" s="241"/>
      <c r="O1297" s="241"/>
      <c r="P1297" s="241"/>
      <c r="Q1297" s="241"/>
      <c r="R1297" s="241"/>
      <c r="S1297" s="241"/>
      <c r="T1297" s="241"/>
      <c r="U1297" s="241"/>
      <c r="V1297" s="241"/>
      <c r="W1297" s="241"/>
      <c r="X1297" s="243"/>
      <c r="Y1297" s="243"/>
      <c r="Z1297" s="243"/>
      <c r="AA1297" s="243"/>
      <c r="AB1297" s="243"/>
      <c r="AC1297" s="243"/>
      <c r="AD1297" s="243"/>
      <c r="AE1297" s="243"/>
      <c r="AF1297" s="243"/>
      <c r="AG1297" s="243"/>
      <c r="AH1297" s="243"/>
      <c r="AI1297" s="243"/>
      <c r="AJ1297" s="243"/>
    </row>
    <row r="1298" hidden="1">
      <c r="A1298" s="241"/>
      <c r="B1298" s="241"/>
      <c r="C1298" s="241"/>
      <c r="D1298" s="241"/>
      <c r="E1298" s="241"/>
      <c r="F1298" s="241"/>
      <c r="G1298" s="241"/>
      <c r="H1298" s="241"/>
      <c r="I1298" s="241"/>
      <c r="J1298" s="241"/>
      <c r="K1298" s="241"/>
      <c r="L1298" s="242"/>
      <c r="M1298" s="241"/>
      <c r="N1298" s="241"/>
      <c r="O1298" s="241"/>
      <c r="P1298" s="241"/>
      <c r="Q1298" s="241"/>
      <c r="R1298" s="241"/>
      <c r="S1298" s="241"/>
      <c r="T1298" s="241"/>
      <c r="U1298" s="241"/>
      <c r="V1298" s="241"/>
      <c r="W1298" s="241"/>
      <c r="X1298" s="243"/>
      <c r="Y1298" s="243"/>
      <c r="Z1298" s="243"/>
      <c r="AA1298" s="243"/>
      <c r="AB1298" s="243"/>
      <c r="AC1298" s="243"/>
      <c r="AD1298" s="243"/>
      <c r="AE1298" s="243"/>
      <c r="AF1298" s="243"/>
      <c r="AG1298" s="243"/>
      <c r="AH1298" s="243"/>
      <c r="AI1298" s="243"/>
      <c r="AJ1298" s="243"/>
    </row>
    <row r="1299" hidden="1">
      <c r="A1299" s="241"/>
      <c r="B1299" s="241"/>
      <c r="C1299" s="241"/>
      <c r="D1299" s="241"/>
      <c r="E1299" s="241"/>
      <c r="F1299" s="241"/>
      <c r="G1299" s="241"/>
      <c r="H1299" s="241"/>
      <c r="I1299" s="241"/>
      <c r="J1299" s="241"/>
      <c r="K1299" s="241"/>
      <c r="L1299" s="242"/>
      <c r="M1299" s="241"/>
      <c r="N1299" s="241"/>
      <c r="O1299" s="241"/>
      <c r="P1299" s="241"/>
      <c r="Q1299" s="241"/>
      <c r="R1299" s="241"/>
      <c r="S1299" s="241"/>
      <c r="T1299" s="241"/>
      <c r="U1299" s="241"/>
      <c r="V1299" s="241"/>
      <c r="W1299" s="241"/>
      <c r="X1299" s="243"/>
      <c r="Y1299" s="243"/>
      <c r="Z1299" s="243"/>
      <c r="AA1299" s="243"/>
      <c r="AB1299" s="243"/>
      <c r="AC1299" s="243"/>
      <c r="AD1299" s="243"/>
      <c r="AE1299" s="243"/>
      <c r="AF1299" s="243"/>
      <c r="AG1299" s="243"/>
      <c r="AH1299" s="243"/>
      <c r="AI1299" s="243"/>
      <c r="AJ1299" s="243"/>
    </row>
    <row r="1300" hidden="1">
      <c r="A1300" s="241"/>
      <c r="B1300" s="241"/>
      <c r="C1300" s="241"/>
      <c r="D1300" s="241"/>
      <c r="E1300" s="241"/>
      <c r="F1300" s="241"/>
      <c r="G1300" s="241"/>
      <c r="H1300" s="241"/>
      <c r="I1300" s="241"/>
      <c r="J1300" s="241"/>
      <c r="K1300" s="241"/>
      <c r="L1300" s="242"/>
      <c r="M1300" s="241"/>
      <c r="N1300" s="241"/>
      <c r="O1300" s="241"/>
      <c r="P1300" s="241"/>
      <c r="Q1300" s="241"/>
      <c r="R1300" s="241"/>
      <c r="S1300" s="241"/>
      <c r="T1300" s="241"/>
      <c r="U1300" s="241"/>
      <c r="V1300" s="241"/>
      <c r="W1300" s="241"/>
      <c r="X1300" s="243"/>
      <c r="Y1300" s="243"/>
      <c r="Z1300" s="243"/>
      <c r="AA1300" s="243"/>
      <c r="AB1300" s="243"/>
      <c r="AC1300" s="243"/>
      <c r="AD1300" s="243"/>
      <c r="AE1300" s="243"/>
      <c r="AF1300" s="243"/>
      <c r="AG1300" s="243"/>
      <c r="AH1300" s="243"/>
      <c r="AI1300" s="243"/>
      <c r="AJ1300" s="243"/>
    </row>
    <row r="1301" hidden="1">
      <c r="A1301" s="241"/>
      <c r="B1301" s="241"/>
      <c r="C1301" s="241"/>
      <c r="D1301" s="241"/>
      <c r="E1301" s="241"/>
      <c r="F1301" s="241"/>
      <c r="G1301" s="241"/>
      <c r="H1301" s="241"/>
      <c r="I1301" s="241"/>
      <c r="J1301" s="241"/>
      <c r="K1301" s="241"/>
      <c r="L1301" s="242"/>
      <c r="M1301" s="241"/>
      <c r="N1301" s="241"/>
      <c r="O1301" s="241"/>
      <c r="P1301" s="241"/>
      <c r="Q1301" s="241"/>
      <c r="R1301" s="241"/>
      <c r="S1301" s="241"/>
      <c r="T1301" s="241"/>
      <c r="U1301" s="241"/>
      <c r="V1301" s="241"/>
      <c r="W1301" s="241"/>
      <c r="X1301" s="243"/>
      <c r="Y1301" s="243"/>
      <c r="Z1301" s="243"/>
      <c r="AA1301" s="243"/>
      <c r="AB1301" s="243"/>
      <c r="AC1301" s="243"/>
      <c r="AD1301" s="243"/>
      <c r="AE1301" s="243"/>
      <c r="AF1301" s="243"/>
      <c r="AG1301" s="243"/>
      <c r="AH1301" s="243"/>
      <c r="AI1301" s="243"/>
      <c r="AJ1301" s="243"/>
    </row>
    <row r="1302" hidden="1">
      <c r="A1302" s="241"/>
      <c r="B1302" s="241"/>
      <c r="C1302" s="241"/>
      <c r="D1302" s="241"/>
      <c r="E1302" s="241"/>
      <c r="F1302" s="241"/>
      <c r="G1302" s="241"/>
      <c r="H1302" s="241"/>
      <c r="I1302" s="241"/>
      <c r="J1302" s="241"/>
      <c r="K1302" s="241"/>
      <c r="L1302" s="242"/>
      <c r="M1302" s="241"/>
      <c r="N1302" s="241"/>
      <c r="O1302" s="241"/>
      <c r="P1302" s="241"/>
      <c r="Q1302" s="241"/>
      <c r="R1302" s="241"/>
      <c r="S1302" s="241"/>
      <c r="T1302" s="241"/>
      <c r="U1302" s="241"/>
      <c r="V1302" s="241"/>
      <c r="W1302" s="241"/>
      <c r="X1302" s="243"/>
      <c r="Y1302" s="243"/>
      <c r="Z1302" s="243"/>
      <c r="AA1302" s="243"/>
      <c r="AB1302" s="243"/>
      <c r="AC1302" s="243"/>
      <c r="AD1302" s="243"/>
      <c r="AE1302" s="243"/>
      <c r="AF1302" s="243"/>
      <c r="AG1302" s="243"/>
      <c r="AH1302" s="243"/>
      <c r="AI1302" s="243"/>
      <c r="AJ1302" s="243"/>
    </row>
    <row r="1303" hidden="1">
      <c r="A1303" s="241"/>
      <c r="B1303" s="241"/>
      <c r="C1303" s="241"/>
      <c r="D1303" s="241"/>
      <c r="E1303" s="241"/>
      <c r="F1303" s="241"/>
      <c r="G1303" s="241"/>
      <c r="H1303" s="241"/>
      <c r="I1303" s="241"/>
      <c r="J1303" s="241"/>
      <c r="K1303" s="241"/>
      <c r="L1303" s="242"/>
      <c r="M1303" s="241"/>
      <c r="N1303" s="241"/>
      <c r="O1303" s="241"/>
      <c r="P1303" s="241"/>
      <c r="Q1303" s="241"/>
      <c r="R1303" s="241"/>
      <c r="S1303" s="241"/>
      <c r="T1303" s="241"/>
      <c r="U1303" s="241"/>
      <c r="V1303" s="241"/>
      <c r="W1303" s="241"/>
      <c r="X1303" s="243"/>
      <c r="Y1303" s="243"/>
      <c r="Z1303" s="243"/>
      <c r="AA1303" s="243"/>
      <c r="AB1303" s="243"/>
      <c r="AC1303" s="243"/>
      <c r="AD1303" s="243"/>
      <c r="AE1303" s="243"/>
      <c r="AF1303" s="243"/>
      <c r="AG1303" s="243"/>
      <c r="AH1303" s="243"/>
      <c r="AI1303" s="243"/>
      <c r="AJ1303" s="243"/>
    </row>
    <row r="1304" hidden="1">
      <c r="A1304" s="241"/>
      <c r="B1304" s="241"/>
      <c r="C1304" s="241"/>
      <c r="D1304" s="241"/>
      <c r="E1304" s="241"/>
      <c r="F1304" s="241"/>
      <c r="G1304" s="241"/>
      <c r="H1304" s="241"/>
      <c r="I1304" s="241"/>
      <c r="J1304" s="241"/>
      <c r="K1304" s="241"/>
      <c r="L1304" s="242"/>
      <c r="M1304" s="241"/>
      <c r="N1304" s="241"/>
      <c r="O1304" s="241"/>
      <c r="P1304" s="241"/>
      <c r="Q1304" s="241"/>
      <c r="R1304" s="241"/>
      <c r="S1304" s="241"/>
      <c r="T1304" s="241"/>
      <c r="U1304" s="241"/>
      <c r="V1304" s="241"/>
      <c r="W1304" s="241"/>
      <c r="X1304" s="243"/>
      <c r="Y1304" s="243"/>
      <c r="Z1304" s="243"/>
      <c r="AA1304" s="243"/>
      <c r="AB1304" s="243"/>
      <c r="AC1304" s="243"/>
      <c r="AD1304" s="243"/>
      <c r="AE1304" s="243"/>
      <c r="AF1304" s="243"/>
      <c r="AG1304" s="243"/>
      <c r="AH1304" s="243"/>
      <c r="AI1304" s="243"/>
      <c r="AJ1304" s="243"/>
    </row>
    <row r="1305" hidden="1">
      <c r="A1305" s="241"/>
      <c r="B1305" s="241"/>
      <c r="C1305" s="241"/>
      <c r="D1305" s="241"/>
      <c r="E1305" s="241"/>
      <c r="F1305" s="241"/>
      <c r="G1305" s="241"/>
      <c r="H1305" s="241"/>
      <c r="I1305" s="241"/>
      <c r="J1305" s="241"/>
      <c r="K1305" s="241"/>
      <c r="L1305" s="242"/>
      <c r="M1305" s="241"/>
      <c r="N1305" s="241"/>
      <c r="O1305" s="241"/>
      <c r="P1305" s="241"/>
      <c r="Q1305" s="241"/>
      <c r="R1305" s="241"/>
      <c r="S1305" s="241"/>
      <c r="T1305" s="241"/>
      <c r="U1305" s="241"/>
      <c r="V1305" s="241"/>
      <c r="W1305" s="241"/>
      <c r="X1305" s="243"/>
      <c r="Y1305" s="243"/>
      <c r="Z1305" s="243"/>
      <c r="AA1305" s="243"/>
      <c r="AB1305" s="243"/>
      <c r="AC1305" s="243"/>
      <c r="AD1305" s="243"/>
      <c r="AE1305" s="243"/>
      <c r="AF1305" s="243"/>
      <c r="AG1305" s="243"/>
      <c r="AH1305" s="243"/>
      <c r="AI1305" s="243"/>
      <c r="AJ1305" s="243"/>
    </row>
    <row r="1306" hidden="1">
      <c r="A1306" s="241"/>
      <c r="B1306" s="241"/>
      <c r="C1306" s="241"/>
      <c r="D1306" s="241"/>
      <c r="E1306" s="241"/>
      <c r="F1306" s="241"/>
      <c r="G1306" s="241"/>
      <c r="H1306" s="241"/>
      <c r="I1306" s="241"/>
      <c r="J1306" s="241"/>
      <c r="K1306" s="241"/>
      <c r="L1306" s="242"/>
      <c r="M1306" s="241"/>
      <c r="N1306" s="241"/>
      <c r="O1306" s="241"/>
      <c r="P1306" s="241"/>
      <c r="Q1306" s="241"/>
      <c r="R1306" s="241"/>
      <c r="S1306" s="241"/>
      <c r="T1306" s="241"/>
      <c r="U1306" s="241"/>
      <c r="V1306" s="241"/>
      <c r="W1306" s="241"/>
      <c r="X1306" s="243"/>
      <c r="Y1306" s="243"/>
      <c r="Z1306" s="243"/>
      <c r="AA1306" s="243"/>
      <c r="AB1306" s="243"/>
      <c r="AC1306" s="243"/>
      <c r="AD1306" s="243"/>
      <c r="AE1306" s="243"/>
      <c r="AF1306" s="243"/>
      <c r="AG1306" s="243"/>
      <c r="AH1306" s="243"/>
      <c r="AI1306" s="243"/>
      <c r="AJ1306" s="243"/>
    </row>
    <row r="1307" hidden="1">
      <c r="A1307" s="241"/>
      <c r="B1307" s="241"/>
      <c r="C1307" s="241"/>
      <c r="D1307" s="241"/>
      <c r="E1307" s="241"/>
      <c r="F1307" s="241"/>
      <c r="G1307" s="241"/>
      <c r="H1307" s="241"/>
      <c r="I1307" s="241"/>
      <c r="J1307" s="241"/>
      <c r="K1307" s="241"/>
      <c r="L1307" s="242"/>
      <c r="M1307" s="241"/>
      <c r="N1307" s="241"/>
      <c r="O1307" s="241"/>
      <c r="P1307" s="241"/>
      <c r="Q1307" s="241"/>
      <c r="R1307" s="241"/>
      <c r="S1307" s="241"/>
      <c r="T1307" s="241"/>
      <c r="U1307" s="241"/>
      <c r="V1307" s="241"/>
      <c r="W1307" s="241"/>
      <c r="X1307" s="243"/>
      <c r="Y1307" s="243"/>
      <c r="Z1307" s="243"/>
      <c r="AA1307" s="243"/>
      <c r="AB1307" s="243"/>
      <c r="AC1307" s="243"/>
      <c r="AD1307" s="243"/>
      <c r="AE1307" s="243"/>
      <c r="AF1307" s="243"/>
      <c r="AG1307" s="243"/>
      <c r="AH1307" s="243"/>
      <c r="AI1307" s="243"/>
      <c r="AJ1307" s="243"/>
    </row>
    <row r="1308" hidden="1">
      <c r="A1308" s="241"/>
      <c r="B1308" s="241"/>
      <c r="C1308" s="241"/>
      <c r="D1308" s="241"/>
      <c r="E1308" s="241"/>
      <c r="F1308" s="241"/>
      <c r="G1308" s="241"/>
      <c r="H1308" s="241"/>
      <c r="I1308" s="241"/>
      <c r="J1308" s="241"/>
      <c r="K1308" s="241"/>
      <c r="L1308" s="242"/>
      <c r="M1308" s="241"/>
      <c r="N1308" s="241"/>
      <c r="O1308" s="241"/>
      <c r="P1308" s="241"/>
      <c r="Q1308" s="241"/>
      <c r="R1308" s="241"/>
      <c r="S1308" s="241"/>
      <c r="T1308" s="241"/>
      <c r="U1308" s="241"/>
      <c r="V1308" s="241"/>
      <c r="W1308" s="241"/>
      <c r="X1308" s="243"/>
      <c r="Y1308" s="243"/>
      <c r="Z1308" s="243"/>
      <c r="AA1308" s="243"/>
      <c r="AB1308" s="243"/>
      <c r="AC1308" s="243"/>
      <c r="AD1308" s="243"/>
      <c r="AE1308" s="243"/>
      <c r="AF1308" s="243"/>
      <c r="AG1308" s="243"/>
      <c r="AH1308" s="243"/>
      <c r="AI1308" s="243"/>
      <c r="AJ1308" s="243"/>
    </row>
    <row r="1309" hidden="1">
      <c r="A1309" s="241"/>
      <c r="B1309" s="241"/>
      <c r="C1309" s="241"/>
      <c r="D1309" s="241"/>
      <c r="E1309" s="241"/>
      <c r="F1309" s="241"/>
      <c r="G1309" s="241"/>
      <c r="H1309" s="241"/>
      <c r="I1309" s="241"/>
      <c r="J1309" s="241"/>
      <c r="K1309" s="241"/>
      <c r="L1309" s="242"/>
      <c r="M1309" s="241"/>
      <c r="N1309" s="241"/>
      <c r="O1309" s="241"/>
      <c r="P1309" s="241"/>
      <c r="Q1309" s="241"/>
      <c r="R1309" s="241"/>
      <c r="S1309" s="241"/>
      <c r="T1309" s="241"/>
      <c r="U1309" s="241"/>
      <c r="V1309" s="241"/>
      <c r="W1309" s="241"/>
      <c r="X1309" s="243"/>
      <c r="Y1309" s="243"/>
      <c r="Z1309" s="243"/>
      <c r="AA1309" s="243"/>
      <c r="AB1309" s="243"/>
      <c r="AC1309" s="243"/>
      <c r="AD1309" s="243"/>
      <c r="AE1309" s="243"/>
      <c r="AF1309" s="243"/>
      <c r="AG1309" s="243"/>
      <c r="AH1309" s="243"/>
      <c r="AI1309" s="243"/>
      <c r="AJ1309" s="243"/>
    </row>
    <row r="1310" hidden="1">
      <c r="A1310" s="241"/>
      <c r="B1310" s="241"/>
      <c r="C1310" s="241"/>
      <c r="D1310" s="241"/>
      <c r="E1310" s="241"/>
      <c r="F1310" s="241"/>
      <c r="G1310" s="241"/>
      <c r="H1310" s="241"/>
      <c r="I1310" s="241"/>
      <c r="J1310" s="241"/>
      <c r="K1310" s="241"/>
      <c r="L1310" s="242"/>
      <c r="M1310" s="241"/>
      <c r="N1310" s="241"/>
      <c r="O1310" s="241"/>
      <c r="P1310" s="241"/>
      <c r="Q1310" s="241"/>
      <c r="R1310" s="241"/>
      <c r="S1310" s="241"/>
      <c r="T1310" s="241"/>
      <c r="U1310" s="241"/>
      <c r="V1310" s="241"/>
      <c r="W1310" s="241"/>
      <c r="X1310" s="243"/>
      <c r="Y1310" s="243"/>
      <c r="Z1310" s="243"/>
      <c r="AA1310" s="243"/>
      <c r="AB1310" s="243"/>
      <c r="AC1310" s="243"/>
      <c r="AD1310" s="243"/>
      <c r="AE1310" s="243"/>
      <c r="AF1310" s="243"/>
      <c r="AG1310" s="243"/>
      <c r="AH1310" s="243"/>
      <c r="AI1310" s="243"/>
      <c r="AJ1310" s="243"/>
    </row>
    <row r="1311" hidden="1">
      <c r="A1311" s="241"/>
      <c r="B1311" s="241"/>
      <c r="C1311" s="241"/>
      <c r="D1311" s="241"/>
      <c r="E1311" s="241"/>
      <c r="F1311" s="241"/>
      <c r="G1311" s="241"/>
      <c r="H1311" s="241"/>
      <c r="I1311" s="241"/>
      <c r="J1311" s="241"/>
      <c r="K1311" s="241"/>
      <c r="L1311" s="242"/>
      <c r="M1311" s="241"/>
      <c r="N1311" s="241"/>
      <c r="O1311" s="241"/>
      <c r="P1311" s="241"/>
      <c r="Q1311" s="241"/>
      <c r="R1311" s="241"/>
      <c r="S1311" s="241"/>
      <c r="T1311" s="241"/>
      <c r="U1311" s="241"/>
      <c r="V1311" s="241"/>
      <c r="W1311" s="241"/>
      <c r="X1311" s="243"/>
      <c r="Y1311" s="243"/>
      <c r="Z1311" s="243"/>
      <c r="AA1311" s="243"/>
      <c r="AB1311" s="243"/>
      <c r="AC1311" s="243"/>
      <c r="AD1311" s="243"/>
      <c r="AE1311" s="243"/>
      <c r="AF1311" s="243"/>
      <c r="AG1311" s="243"/>
      <c r="AH1311" s="243"/>
      <c r="AI1311" s="243"/>
      <c r="AJ1311" s="243"/>
    </row>
    <row r="1312" hidden="1">
      <c r="A1312" s="241"/>
      <c r="B1312" s="241"/>
      <c r="C1312" s="241"/>
      <c r="D1312" s="241"/>
      <c r="E1312" s="241"/>
      <c r="F1312" s="241"/>
      <c r="G1312" s="241"/>
      <c r="H1312" s="241"/>
      <c r="I1312" s="241"/>
      <c r="J1312" s="241"/>
      <c r="K1312" s="241"/>
      <c r="L1312" s="242"/>
      <c r="M1312" s="241"/>
      <c r="N1312" s="241"/>
      <c r="O1312" s="241"/>
      <c r="P1312" s="241"/>
      <c r="Q1312" s="241"/>
      <c r="R1312" s="241"/>
      <c r="S1312" s="241"/>
      <c r="T1312" s="241"/>
      <c r="U1312" s="241"/>
      <c r="V1312" s="241"/>
      <c r="W1312" s="241"/>
      <c r="X1312" s="243"/>
      <c r="Y1312" s="243"/>
      <c r="Z1312" s="243"/>
      <c r="AA1312" s="243"/>
      <c r="AB1312" s="243"/>
      <c r="AC1312" s="243"/>
      <c r="AD1312" s="243"/>
      <c r="AE1312" s="243"/>
      <c r="AF1312" s="243"/>
      <c r="AG1312" s="243"/>
      <c r="AH1312" s="243"/>
      <c r="AI1312" s="243"/>
      <c r="AJ1312" s="243"/>
    </row>
    <row r="1313" hidden="1">
      <c r="A1313" s="241"/>
      <c r="B1313" s="241"/>
      <c r="C1313" s="241"/>
      <c r="D1313" s="241"/>
      <c r="E1313" s="241"/>
      <c r="F1313" s="241"/>
      <c r="G1313" s="241"/>
      <c r="H1313" s="241"/>
      <c r="I1313" s="241"/>
      <c r="J1313" s="241"/>
      <c r="K1313" s="241"/>
      <c r="L1313" s="242"/>
      <c r="M1313" s="241"/>
      <c r="N1313" s="241"/>
      <c r="O1313" s="241"/>
      <c r="P1313" s="241"/>
      <c r="Q1313" s="241"/>
      <c r="R1313" s="241"/>
      <c r="S1313" s="241"/>
      <c r="T1313" s="241"/>
      <c r="U1313" s="241"/>
      <c r="V1313" s="241"/>
      <c r="W1313" s="241"/>
      <c r="X1313" s="243"/>
      <c r="Y1313" s="243"/>
      <c r="Z1313" s="243"/>
      <c r="AA1313" s="243"/>
      <c r="AB1313" s="243"/>
      <c r="AC1313" s="243"/>
      <c r="AD1313" s="243"/>
      <c r="AE1313" s="243"/>
      <c r="AF1313" s="243"/>
      <c r="AG1313" s="243"/>
      <c r="AH1313" s="243"/>
      <c r="AI1313" s="243"/>
      <c r="AJ1313" s="243"/>
    </row>
    <row r="1314" hidden="1">
      <c r="A1314" s="241"/>
      <c r="B1314" s="241"/>
      <c r="C1314" s="241"/>
      <c r="D1314" s="241"/>
      <c r="E1314" s="241"/>
      <c r="F1314" s="241"/>
      <c r="G1314" s="241"/>
      <c r="H1314" s="241"/>
      <c r="I1314" s="241"/>
      <c r="J1314" s="241"/>
      <c r="K1314" s="241"/>
      <c r="L1314" s="242"/>
      <c r="M1314" s="241"/>
      <c r="N1314" s="241"/>
      <c r="O1314" s="241"/>
      <c r="P1314" s="241"/>
      <c r="Q1314" s="241"/>
      <c r="R1314" s="241"/>
      <c r="S1314" s="241"/>
      <c r="T1314" s="241"/>
      <c r="U1314" s="241"/>
      <c r="V1314" s="241"/>
      <c r="W1314" s="241"/>
      <c r="X1314" s="243"/>
      <c r="Y1314" s="243"/>
      <c r="Z1314" s="243"/>
      <c r="AA1314" s="243"/>
      <c r="AB1314" s="243"/>
      <c r="AC1314" s="243"/>
      <c r="AD1314" s="243"/>
      <c r="AE1314" s="243"/>
      <c r="AF1314" s="243"/>
      <c r="AG1314" s="243"/>
      <c r="AH1314" s="243"/>
      <c r="AI1314" s="243"/>
      <c r="AJ1314" s="243"/>
    </row>
    <row r="1315" hidden="1">
      <c r="A1315" s="241"/>
      <c r="B1315" s="241"/>
      <c r="C1315" s="241"/>
      <c r="D1315" s="241"/>
      <c r="E1315" s="241"/>
      <c r="F1315" s="241"/>
      <c r="G1315" s="241"/>
      <c r="H1315" s="241"/>
      <c r="I1315" s="241"/>
      <c r="J1315" s="241"/>
      <c r="K1315" s="241"/>
      <c r="L1315" s="242"/>
      <c r="M1315" s="241"/>
      <c r="N1315" s="241"/>
      <c r="O1315" s="241"/>
      <c r="P1315" s="241"/>
      <c r="Q1315" s="241"/>
      <c r="R1315" s="241"/>
      <c r="S1315" s="241"/>
      <c r="T1315" s="241"/>
      <c r="U1315" s="241"/>
      <c r="V1315" s="241"/>
      <c r="W1315" s="241"/>
      <c r="X1315" s="243"/>
      <c r="Y1315" s="243"/>
      <c r="Z1315" s="243"/>
      <c r="AA1315" s="243"/>
      <c r="AB1315" s="243"/>
      <c r="AC1315" s="243"/>
      <c r="AD1315" s="243"/>
      <c r="AE1315" s="243"/>
      <c r="AF1315" s="243"/>
      <c r="AG1315" s="243"/>
      <c r="AH1315" s="243"/>
      <c r="AI1315" s="243"/>
      <c r="AJ1315" s="243"/>
    </row>
    <row r="1316" hidden="1">
      <c r="A1316" s="241"/>
      <c r="B1316" s="241"/>
      <c r="C1316" s="241"/>
      <c r="D1316" s="241"/>
      <c r="E1316" s="241"/>
      <c r="F1316" s="241"/>
      <c r="G1316" s="241"/>
      <c r="H1316" s="241"/>
      <c r="I1316" s="241"/>
      <c r="J1316" s="241"/>
      <c r="K1316" s="241"/>
      <c r="L1316" s="242"/>
      <c r="M1316" s="241"/>
      <c r="N1316" s="241"/>
      <c r="O1316" s="241"/>
      <c r="P1316" s="241"/>
      <c r="Q1316" s="241"/>
      <c r="R1316" s="241"/>
      <c r="S1316" s="241"/>
      <c r="T1316" s="241"/>
      <c r="U1316" s="241"/>
      <c r="V1316" s="241"/>
      <c r="W1316" s="241"/>
      <c r="X1316" s="243"/>
      <c r="Y1316" s="243"/>
      <c r="Z1316" s="243"/>
      <c r="AA1316" s="243"/>
      <c r="AB1316" s="243"/>
      <c r="AC1316" s="243"/>
      <c r="AD1316" s="243"/>
      <c r="AE1316" s="243"/>
      <c r="AF1316" s="243"/>
      <c r="AG1316" s="243"/>
      <c r="AH1316" s="243"/>
      <c r="AI1316" s="243"/>
      <c r="AJ1316" s="243"/>
    </row>
    <row r="1317" hidden="1">
      <c r="A1317" s="241"/>
      <c r="B1317" s="241"/>
      <c r="C1317" s="241"/>
      <c r="D1317" s="241"/>
      <c r="E1317" s="241"/>
      <c r="F1317" s="241"/>
      <c r="G1317" s="241"/>
      <c r="H1317" s="241"/>
      <c r="I1317" s="241"/>
      <c r="J1317" s="241"/>
      <c r="K1317" s="241"/>
      <c r="L1317" s="242"/>
      <c r="M1317" s="241"/>
      <c r="N1317" s="241"/>
      <c r="O1317" s="241"/>
      <c r="P1317" s="241"/>
      <c r="Q1317" s="241"/>
      <c r="R1317" s="241"/>
      <c r="S1317" s="241"/>
      <c r="T1317" s="241"/>
      <c r="U1317" s="241"/>
      <c r="V1317" s="241"/>
      <c r="W1317" s="241"/>
      <c r="X1317" s="243"/>
      <c r="Y1317" s="243"/>
      <c r="Z1317" s="243"/>
      <c r="AA1317" s="243"/>
      <c r="AB1317" s="243"/>
      <c r="AC1317" s="243"/>
      <c r="AD1317" s="243"/>
      <c r="AE1317" s="243"/>
      <c r="AF1317" s="243"/>
      <c r="AG1317" s="243"/>
      <c r="AH1317" s="243"/>
      <c r="AI1317" s="243"/>
      <c r="AJ1317" s="243"/>
    </row>
    <row r="1318" hidden="1">
      <c r="A1318" s="241"/>
      <c r="B1318" s="241"/>
      <c r="C1318" s="241"/>
      <c r="D1318" s="241"/>
      <c r="E1318" s="241"/>
      <c r="F1318" s="241"/>
      <c r="G1318" s="241"/>
      <c r="H1318" s="241"/>
      <c r="I1318" s="241"/>
      <c r="J1318" s="241"/>
      <c r="K1318" s="241"/>
      <c r="L1318" s="242"/>
      <c r="M1318" s="241"/>
      <c r="N1318" s="241"/>
      <c r="O1318" s="241"/>
      <c r="P1318" s="241"/>
      <c r="Q1318" s="241"/>
      <c r="R1318" s="241"/>
      <c r="S1318" s="241"/>
      <c r="T1318" s="241"/>
      <c r="U1318" s="241"/>
      <c r="V1318" s="241"/>
      <c r="W1318" s="241"/>
      <c r="X1318" s="243"/>
      <c r="Y1318" s="243"/>
      <c r="Z1318" s="243"/>
      <c r="AA1318" s="243"/>
      <c r="AB1318" s="243"/>
      <c r="AC1318" s="243"/>
      <c r="AD1318" s="243"/>
      <c r="AE1318" s="243"/>
      <c r="AF1318" s="243"/>
      <c r="AG1318" s="243"/>
      <c r="AH1318" s="243"/>
      <c r="AI1318" s="243"/>
      <c r="AJ1318" s="243"/>
    </row>
    <row r="1319" hidden="1">
      <c r="A1319" s="241"/>
      <c r="B1319" s="241"/>
      <c r="C1319" s="241"/>
      <c r="D1319" s="241"/>
      <c r="E1319" s="241"/>
      <c r="F1319" s="241"/>
      <c r="G1319" s="241"/>
      <c r="H1319" s="241"/>
      <c r="I1319" s="241"/>
      <c r="J1319" s="241"/>
      <c r="K1319" s="241"/>
      <c r="L1319" s="242"/>
      <c r="M1319" s="241"/>
      <c r="N1319" s="241"/>
      <c r="O1319" s="241"/>
      <c r="P1319" s="241"/>
      <c r="Q1319" s="241"/>
      <c r="R1319" s="241"/>
      <c r="S1319" s="241"/>
      <c r="T1319" s="241"/>
      <c r="U1319" s="241"/>
      <c r="V1319" s="241"/>
      <c r="W1319" s="241"/>
      <c r="X1319" s="243"/>
      <c r="Y1319" s="243"/>
      <c r="Z1319" s="243"/>
      <c r="AA1319" s="243"/>
      <c r="AB1319" s="243"/>
      <c r="AC1319" s="243"/>
      <c r="AD1319" s="243"/>
      <c r="AE1319" s="243"/>
      <c r="AF1319" s="243"/>
      <c r="AG1319" s="243"/>
      <c r="AH1319" s="243"/>
      <c r="AI1319" s="243"/>
      <c r="AJ1319" s="243"/>
    </row>
    <row r="1320" hidden="1">
      <c r="A1320" s="241"/>
      <c r="B1320" s="241"/>
      <c r="C1320" s="241"/>
      <c r="D1320" s="241"/>
      <c r="E1320" s="241"/>
      <c r="F1320" s="241"/>
      <c r="G1320" s="241"/>
      <c r="H1320" s="241"/>
      <c r="I1320" s="241"/>
      <c r="J1320" s="241"/>
      <c r="K1320" s="241"/>
      <c r="L1320" s="242"/>
      <c r="M1320" s="241"/>
      <c r="N1320" s="241"/>
      <c r="O1320" s="241"/>
      <c r="P1320" s="241"/>
      <c r="Q1320" s="241"/>
      <c r="R1320" s="241"/>
      <c r="S1320" s="241"/>
      <c r="T1320" s="241"/>
      <c r="U1320" s="241"/>
      <c r="V1320" s="241"/>
      <c r="W1320" s="241"/>
      <c r="X1320" s="243"/>
      <c r="Y1320" s="243"/>
      <c r="Z1320" s="243"/>
      <c r="AA1320" s="243"/>
      <c r="AB1320" s="243"/>
      <c r="AC1320" s="243"/>
      <c r="AD1320" s="243"/>
      <c r="AE1320" s="243"/>
      <c r="AF1320" s="243"/>
      <c r="AG1320" s="243"/>
      <c r="AH1320" s="243"/>
      <c r="AI1320" s="243"/>
      <c r="AJ1320" s="243"/>
    </row>
    <row r="1321" hidden="1">
      <c r="A1321" s="241"/>
      <c r="B1321" s="241"/>
      <c r="C1321" s="241"/>
      <c r="D1321" s="241"/>
      <c r="E1321" s="241"/>
      <c r="F1321" s="241"/>
      <c r="G1321" s="241"/>
      <c r="H1321" s="241"/>
      <c r="I1321" s="241"/>
      <c r="J1321" s="241"/>
      <c r="K1321" s="241"/>
      <c r="L1321" s="242"/>
      <c r="M1321" s="241"/>
      <c r="N1321" s="241"/>
      <c r="O1321" s="241"/>
      <c r="P1321" s="241"/>
      <c r="Q1321" s="241"/>
      <c r="R1321" s="241"/>
      <c r="S1321" s="241"/>
      <c r="T1321" s="241"/>
      <c r="U1321" s="241"/>
      <c r="V1321" s="241"/>
      <c r="W1321" s="241"/>
      <c r="X1321" s="243"/>
      <c r="Y1321" s="243"/>
      <c r="Z1321" s="243"/>
      <c r="AA1321" s="243"/>
      <c r="AB1321" s="243"/>
      <c r="AC1321" s="243"/>
      <c r="AD1321" s="243"/>
      <c r="AE1321" s="243"/>
      <c r="AF1321" s="243"/>
      <c r="AG1321" s="243"/>
      <c r="AH1321" s="243"/>
      <c r="AI1321" s="243"/>
      <c r="AJ1321" s="243"/>
    </row>
    <row r="1322" hidden="1">
      <c r="A1322" s="241"/>
      <c r="B1322" s="241"/>
      <c r="C1322" s="241"/>
      <c r="D1322" s="241"/>
      <c r="E1322" s="241"/>
      <c r="F1322" s="241"/>
      <c r="G1322" s="241"/>
      <c r="H1322" s="241"/>
      <c r="I1322" s="241"/>
      <c r="J1322" s="241"/>
      <c r="K1322" s="241"/>
      <c r="L1322" s="242"/>
      <c r="M1322" s="241"/>
      <c r="N1322" s="241"/>
      <c r="O1322" s="241"/>
      <c r="P1322" s="241"/>
      <c r="Q1322" s="241"/>
      <c r="R1322" s="241"/>
      <c r="S1322" s="241"/>
      <c r="T1322" s="241"/>
      <c r="U1322" s="241"/>
      <c r="V1322" s="241"/>
      <c r="W1322" s="241"/>
      <c r="X1322" s="243"/>
      <c r="Y1322" s="243"/>
      <c r="Z1322" s="243"/>
      <c r="AA1322" s="243"/>
      <c r="AB1322" s="243"/>
      <c r="AC1322" s="243"/>
      <c r="AD1322" s="243"/>
      <c r="AE1322" s="243"/>
      <c r="AF1322" s="243"/>
      <c r="AG1322" s="243"/>
      <c r="AH1322" s="243"/>
      <c r="AI1322" s="243"/>
      <c r="AJ1322" s="243"/>
    </row>
    <row r="1323" hidden="1">
      <c r="A1323" s="241"/>
      <c r="B1323" s="241"/>
      <c r="C1323" s="241"/>
      <c r="D1323" s="241"/>
      <c r="E1323" s="241"/>
      <c r="F1323" s="241"/>
      <c r="G1323" s="241"/>
      <c r="H1323" s="241"/>
      <c r="I1323" s="241"/>
      <c r="J1323" s="241"/>
      <c r="K1323" s="241"/>
      <c r="L1323" s="242"/>
      <c r="M1323" s="241"/>
      <c r="N1323" s="241"/>
      <c r="O1323" s="241"/>
      <c r="P1323" s="241"/>
      <c r="Q1323" s="241"/>
      <c r="R1323" s="241"/>
      <c r="S1323" s="241"/>
      <c r="T1323" s="241"/>
      <c r="U1323" s="241"/>
      <c r="V1323" s="241"/>
      <c r="W1323" s="241"/>
      <c r="X1323" s="243"/>
      <c r="Y1323" s="243"/>
      <c r="Z1323" s="243"/>
      <c r="AA1323" s="243"/>
      <c r="AB1323" s="243"/>
      <c r="AC1323" s="243"/>
      <c r="AD1323" s="243"/>
      <c r="AE1323" s="243"/>
      <c r="AF1323" s="243"/>
      <c r="AG1323" s="243"/>
      <c r="AH1323" s="243"/>
      <c r="AI1323" s="243"/>
      <c r="AJ1323" s="243"/>
    </row>
    <row r="1324" hidden="1">
      <c r="A1324" s="241"/>
      <c r="B1324" s="241"/>
      <c r="C1324" s="241"/>
      <c r="D1324" s="241"/>
      <c r="E1324" s="241"/>
      <c r="F1324" s="241"/>
      <c r="G1324" s="241"/>
      <c r="H1324" s="241"/>
      <c r="I1324" s="241"/>
      <c r="J1324" s="241"/>
      <c r="K1324" s="241"/>
      <c r="L1324" s="242"/>
      <c r="M1324" s="241"/>
      <c r="N1324" s="241"/>
      <c r="O1324" s="241"/>
      <c r="P1324" s="241"/>
      <c r="Q1324" s="241"/>
      <c r="R1324" s="241"/>
      <c r="S1324" s="241"/>
      <c r="T1324" s="241"/>
      <c r="U1324" s="241"/>
      <c r="V1324" s="241"/>
      <c r="W1324" s="241"/>
      <c r="X1324" s="243"/>
      <c r="Y1324" s="243"/>
      <c r="Z1324" s="243"/>
      <c r="AA1324" s="243"/>
      <c r="AB1324" s="243"/>
      <c r="AC1324" s="243"/>
      <c r="AD1324" s="243"/>
      <c r="AE1324" s="243"/>
      <c r="AF1324" s="243"/>
      <c r="AG1324" s="243"/>
      <c r="AH1324" s="243"/>
      <c r="AI1324" s="243"/>
      <c r="AJ1324" s="243"/>
    </row>
    <row r="1325" hidden="1">
      <c r="A1325" s="241"/>
      <c r="B1325" s="241"/>
      <c r="C1325" s="241"/>
      <c r="D1325" s="241"/>
      <c r="E1325" s="241"/>
      <c r="F1325" s="241"/>
      <c r="G1325" s="241"/>
      <c r="H1325" s="241"/>
      <c r="I1325" s="241"/>
      <c r="J1325" s="241"/>
      <c r="K1325" s="241"/>
      <c r="L1325" s="242"/>
      <c r="M1325" s="241"/>
      <c r="N1325" s="241"/>
      <c r="O1325" s="241"/>
      <c r="P1325" s="241"/>
      <c r="Q1325" s="241"/>
      <c r="R1325" s="241"/>
      <c r="S1325" s="241"/>
      <c r="T1325" s="241"/>
      <c r="U1325" s="241"/>
      <c r="V1325" s="241"/>
      <c r="W1325" s="241"/>
      <c r="X1325" s="243"/>
      <c r="Y1325" s="243"/>
      <c r="Z1325" s="243"/>
      <c r="AA1325" s="243"/>
      <c r="AB1325" s="243"/>
      <c r="AC1325" s="243"/>
      <c r="AD1325" s="243"/>
      <c r="AE1325" s="243"/>
      <c r="AF1325" s="243"/>
      <c r="AG1325" s="243"/>
      <c r="AH1325" s="243"/>
      <c r="AI1325" s="243"/>
      <c r="AJ1325" s="243"/>
    </row>
    <row r="1326" hidden="1">
      <c r="A1326" s="241"/>
      <c r="B1326" s="241"/>
      <c r="C1326" s="241"/>
      <c r="D1326" s="241"/>
      <c r="E1326" s="241"/>
      <c r="F1326" s="241"/>
      <c r="G1326" s="241"/>
      <c r="H1326" s="241"/>
      <c r="I1326" s="241"/>
      <c r="J1326" s="241"/>
      <c r="K1326" s="241"/>
      <c r="L1326" s="242"/>
      <c r="M1326" s="241"/>
      <c r="N1326" s="241"/>
      <c r="O1326" s="241"/>
      <c r="P1326" s="241"/>
      <c r="Q1326" s="241"/>
      <c r="R1326" s="241"/>
      <c r="S1326" s="241"/>
      <c r="T1326" s="241"/>
      <c r="U1326" s="241"/>
      <c r="V1326" s="241"/>
      <c r="W1326" s="241"/>
      <c r="X1326" s="243"/>
      <c r="Y1326" s="243"/>
      <c r="Z1326" s="243"/>
      <c r="AA1326" s="243"/>
      <c r="AB1326" s="243"/>
      <c r="AC1326" s="243"/>
      <c r="AD1326" s="243"/>
      <c r="AE1326" s="243"/>
      <c r="AF1326" s="243"/>
      <c r="AG1326" s="243"/>
      <c r="AH1326" s="243"/>
      <c r="AI1326" s="243"/>
      <c r="AJ1326" s="243"/>
    </row>
    <row r="1327" hidden="1">
      <c r="A1327" s="241"/>
      <c r="B1327" s="241"/>
      <c r="C1327" s="241"/>
      <c r="D1327" s="241"/>
      <c r="E1327" s="241"/>
      <c r="F1327" s="241"/>
      <c r="G1327" s="241"/>
      <c r="H1327" s="241"/>
      <c r="I1327" s="241"/>
      <c r="J1327" s="241"/>
      <c r="K1327" s="241"/>
      <c r="L1327" s="242"/>
      <c r="M1327" s="241"/>
      <c r="N1327" s="241"/>
      <c r="O1327" s="241"/>
      <c r="P1327" s="241"/>
      <c r="Q1327" s="241"/>
      <c r="R1327" s="241"/>
      <c r="S1327" s="241"/>
      <c r="T1327" s="241"/>
      <c r="U1327" s="241"/>
      <c r="V1327" s="241"/>
      <c r="W1327" s="241"/>
      <c r="X1327" s="243"/>
      <c r="Y1327" s="243"/>
      <c r="Z1327" s="243"/>
      <c r="AA1327" s="243"/>
      <c r="AB1327" s="243"/>
      <c r="AC1327" s="243"/>
      <c r="AD1327" s="243"/>
      <c r="AE1327" s="243"/>
      <c r="AF1327" s="243"/>
      <c r="AG1327" s="243"/>
      <c r="AH1327" s="243"/>
      <c r="AI1327" s="243"/>
      <c r="AJ1327" s="243"/>
    </row>
    <row r="1328" hidden="1">
      <c r="A1328" s="241"/>
      <c r="B1328" s="241"/>
      <c r="C1328" s="241"/>
      <c r="D1328" s="241"/>
      <c r="E1328" s="241"/>
      <c r="F1328" s="241"/>
      <c r="G1328" s="241"/>
      <c r="H1328" s="241"/>
      <c r="I1328" s="241"/>
      <c r="J1328" s="241"/>
      <c r="K1328" s="241"/>
      <c r="L1328" s="242"/>
      <c r="M1328" s="241"/>
      <c r="N1328" s="241"/>
      <c r="O1328" s="241"/>
      <c r="P1328" s="241"/>
      <c r="Q1328" s="241"/>
      <c r="R1328" s="241"/>
      <c r="S1328" s="241"/>
      <c r="T1328" s="241"/>
      <c r="U1328" s="241"/>
      <c r="V1328" s="241"/>
      <c r="W1328" s="241"/>
      <c r="X1328" s="243"/>
      <c r="Y1328" s="243"/>
      <c r="Z1328" s="243"/>
      <c r="AA1328" s="243"/>
      <c r="AB1328" s="243"/>
      <c r="AC1328" s="243"/>
      <c r="AD1328" s="243"/>
      <c r="AE1328" s="243"/>
      <c r="AF1328" s="243"/>
      <c r="AG1328" s="243"/>
      <c r="AH1328" s="243"/>
      <c r="AI1328" s="243"/>
      <c r="AJ1328" s="243"/>
    </row>
    <row r="1329" hidden="1">
      <c r="A1329" s="241"/>
      <c r="B1329" s="241"/>
      <c r="C1329" s="241"/>
      <c r="D1329" s="241"/>
      <c r="E1329" s="241"/>
      <c r="F1329" s="241"/>
      <c r="G1329" s="241"/>
      <c r="H1329" s="241"/>
      <c r="I1329" s="241"/>
      <c r="J1329" s="241"/>
      <c r="K1329" s="241"/>
      <c r="L1329" s="242"/>
      <c r="M1329" s="241"/>
      <c r="N1329" s="241"/>
      <c r="O1329" s="241"/>
      <c r="P1329" s="241"/>
      <c r="Q1329" s="241"/>
      <c r="R1329" s="241"/>
      <c r="S1329" s="241"/>
      <c r="T1329" s="241"/>
      <c r="U1329" s="241"/>
      <c r="V1329" s="241"/>
      <c r="W1329" s="241"/>
      <c r="X1329" s="243"/>
      <c r="Y1329" s="243"/>
      <c r="Z1329" s="243"/>
      <c r="AA1329" s="243"/>
      <c r="AB1329" s="243"/>
      <c r="AC1329" s="243"/>
      <c r="AD1329" s="243"/>
      <c r="AE1329" s="243"/>
      <c r="AF1329" s="243"/>
      <c r="AG1329" s="243"/>
      <c r="AH1329" s="243"/>
      <c r="AI1329" s="243"/>
      <c r="AJ1329" s="243"/>
    </row>
    <row r="1330" hidden="1">
      <c r="A1330" s="241"/>
      <c r="B1330" s="241"/>
      <c r="C1330" s="241"/>
      <c r="D1330" s="241"/>
      <c r="E1330" s="241"/>
      <c r="F1330" s="241"/>
      <c r="G1330" s="241"/>
      <c r="H1330" s="241"/>
      <c r="I1330" s="241"/>
      <c r="J1330" s="241"/>
      <c r="K1330" s="241"/>
      <c r="L1330" s="242"/>
      <c r="M1330" s="241"/>
      <c r="N1330" s="241"/>
      <c r="O1330" s="241"/>
      <c r="P1330" s="241"/>
      <c r="Q1330" s="241"/>
      <c r="R1330" s="241"/>
      <c r="S1330" s="241"/>
      <c r="T1330" s="241"/>
      <c r="U1330" s="241"/>
      <c r="V1330" s="241"/>
      <c r="W1330" s="241"/>
      <c r="X1330" s="243"/>
      <c r="Y1330" s="243"/>
      <c r="Z1330" s="243"/>
      <c r="AA1330" s="243"/>
      <c r="AB1330" s="243"/>
      <c r="AC1330" s="243"/>
      <c r="AD1330" s="243"/>
      <c r="AE1330" s="243"/>
      <c r="AF1330" s="243"/>
      <c r="AG1330" s="243"/>
      <c r="AH1330" s="243"/>
      <c r="AI1330" s="243"/>
      <c r="AJ1330" s="243"/>
    </row>
    <row r="1331" hidden="1">
      <c r="A1331" s="241"/>
      <c r="B1331" s="241"/>
      <c r="C1331" s="241"/>
      <c r="D1331" s="241"/>
      <c r="E1331" s="241"/>
      <c r="F1331" s="241"/>
      <c r="G1331" s="241"/>
      <c r="H1331" s="241"/>
      <c r="I1331" s="241"/>
      <c r="J1331" s="241"/>
      <c r="K1331" s="241"/>
      <c r="L1331" s="242"/>
      <c r="M1331" s="241"/>
      <c r="N1331" s="241"/>
      <c r="O1331" s="241"/>
      <c r="P1331" s="241"/>
      <c r="Q1331" s="241"/>
      <c r="R1331" s="241"/>
      <c r="S1331" s="241"/>
      <c r="T1331" s="241"/>
      <c r="U1331" s="241"/>
      <c r="V1331" s="241"/>
      <c r="W1331" s="241"/>
      <c r="X1331" s="243"/>
      <c r="Y1331" s="243"/>
      <c r="Z1331" s="243"/>
      <c r="AA1331" s="243"/>
      <c r="AB1331" s="243"/>
      <c r="AC1331" s="243"/>
      <c r="AD1331" s="243"/>
      <c r="AE1331" s="243"/>
      <c r="AF1331" s="243"/>
      <c r="AG1331" s="243"/>
      <c r="AH1331" s="243"/>
      <c r="AI1331" s="243"/>
      <c r="AJ1331" s="243"/>
    </row>
    <row r="1332" hidden="1">
      <c r="A1332" s="241"/>
      <c r="B1332" s="241"/>
      <c r="C1332" s="241"/>
      <c r="D1332" s="241"/>
      <c r="E1332" s="241"/>
      <c r="F1332" s="241"/>
      <c r="G1332" s="241"/>
      <c r="H1332" s="241"/>
      <c r="I1332" s="241"/>
      <c r="J1332" s="241"/>
      <c r="K1332" s="241"/>
      <c r="L1332" s="242"/>
      <c r="M1332" s="241"/>
      <c r="N1332" s="241"/>
      <c r="O1332" s="241"/>
      <c r="P1332" s="241"/>
      <c r="Q1332" s="241"/>
      <c r="R1332" s="241"/>
      <c r="S1332" s="241"/>
      <c r="T1332" s="241"/>
      <c r="U1332" s="241"/>
      <c r="V1332" s="241"/>
      <c r="W1332" s="241"/>
      <c r="X1332" s="243"/>
      <c r="Y1332" s="243"/>
      <c r="Z1332" s="243"/>
      <c r="AA1332" s="243"/>
      <c r="AB1332" s="243"/>
      <c r="AC1332" s="243"/>
      <c r="AD1332" s="243"/>
      <c r="AE1332" s="243"/>
      <c r="AF1332" s="243"/>
      <c r="AG1332" s="243"/>
      <c r="AH1332" s="243"/>
      <c r="AI1332" s="243"/>
      <c r="AJ1332" s="243"/>
    </row>
    <row r="1333" hidden="1">
      <c r="A1333" s="241"/>
      <c r="B1333" s="241"/>
      <c r="C1333" s="241"/>
      <c r="D1333" s="241"/>
      <c r="E1333" s="241"/>
      <c r="F1333" s="241"/>
      <c r="G1333" s="241"/>
      <c r="H1333" s="241"/>
      <c r="I1333" s="241"/>
      <c r="J1333" s="241"/>
      <c r="K1333" s="241"/>
      <c r="L1333" s="242"/>
      <c r="M1333" s="241"/>
      <c r="N1333" s="241"/>
      <c r="O1333" s="241"/>
      <c r="P1333" s="241"/>
      <c r="Q1333" s="241"/>
      <c r="R1333" s="241"/>
      <c r="S1333" s="241"/>
      <c r="T1333" s="241"/>
      <c r="U1333" s="241"/>
      <c r="V1333" s="241"/>
      <c r="W1333" s="241"/>
      <c r="X1333" s="243"/>
      <c r="Y1333" s="243"/>
      <c r="Z1333" s="243"/>
      <c r="AA1333" s="243"/>
      <c r="AB1333" s="243"/>
      <c r="AC1333" s="243"/>
      <c r="AD1333" s="243"/>
      <c r="AE1333" s="243"/>
      <c r="AF1333" s="243"/>
      <c r="AG1333" s="243"/>
      <c r="AH1333" s="243"/>
      <c r="AI1333" s="243"/>
      <c r="AJ1333" s="243"/>
    </row>
    <row r="1334" hidden="1">
      <c r="A1334" s="241"/>
      <c r="B1334" s="241"/>
      <c r="C1334" s="241"/>
      <c r="D1334" s="241"/>
      <c r="E1334" s="241"/>
      <c r="F1334" s="241"/>
      <c r="G1334" s="241"/>
      <c r="H1334" s="241"/>
      <c r="I1334" s="241"/>
      <c r="J1334" s="241"/>
      <c r="K1334" s="241"/>
      <c r="L1334" s="242"/>
      <c r="M1334" s="241"/>
      <c r="N1334" s="241"/>
      <c r="O1334" s="241"/>
      <c r="P1334" s="241"/>
      <c r="Q1334" s="241"/>
      <c r="R1334" s="241"/>
      <c r="S1334" s="241"/>
      <c r="T1334" s="241"/>
      <c r="U1334" s="241"/>
      <c r="V1334" s="241"/>
      <c r="W1334" s="241"/>
      <c r="X1334" s="243"/>
      <c r="Y1334" s="243"/>
      <c r="Z1334" s="243"/>
      <c r="AA1334" s="243"/>
      <c r="AB1334" s="243"/>
      <c r="AC1334" s="243"/>
      <c r="AD1334" s="243"/>
      <c r="AE1334" s="243"/>
      <c r="AF1334" s="243"/>
      <c r="AG1334" s="243"/>
      <c r="AH1334" s="243"/>
      <c r="AI1334" s="243"/>
      <c r="AJ1334" s="243"/>
    </row>
    <row r="1335" hidden="1">
      <c r="A1335" s="241"/>
      <c r="B1335" s="241"/>
      <c r="C1335" s="241"/>
      <c r="D1335" s="241"/>
      <c r="E1335" s="241"/>
      <c r="F1335" s="241"/>
      <c r="G1335" s="241"/>
      <c r="H1335" s="241"/>
      <c r="I1335" s="241"/>
      <c r="J1335" s="241"/>
      <c r="K1335" s="241"/>
      <c r="L1335" s="242"/>
      <c r="M1335" s="241"/>
      <c r="N1335" s="241"/>
      <c r="O1335" s="241"/>
      <c r="P1335" s="241"/>
      <c r="Q1335" s="241"/>
      <c r="R1335" s="241"/>
      <c r="S1335" s="241"/>
      <c r="T1335" s="241"/>
      <c r="U1335" s="241"/>
      <c r="V1335" s="241"/>
      <c r="W1335" s="241"/>
      <c r="X1335" s="243"/>
      <c r="Y1335" s="243"/>
      <c r="Z1335" s="243"/>
      <c r="AA1335" s="243"/>
      <c r="AB1335" s="243"/>
      <c r="AC1335" s="243"/>
      <c r="AD1335" s="243"/>
      <c r="AE1335" s="243"/>
      <c r="AF1335" s="243"/>
      <c r="AG1335" s="243"/>
      <c r="AH1335" s="243"/>
      <c r="AI1335" s="243"/>
      <c r="AJ1335" s="243"/>
    </row>
    <row r="1336" hidden="1">
      <c r="A1336" s="241"/>
      <c r="B1336" s="241"/>
      <c r="C1336" s="241"/>
      <c r="D1336" s="241"/>
      <c r="E1336" s="241"/>
      <c r="F1336" s="241"/>
      <c r="G1336" s="241"/>
      <c r="H1336" s="241"/>
      <c r="I1336" s="241"/>
      <c r="J1336" s="241"/>
      <c r="K1336" s="241"/>
      <c r="L1336" s="242"/>
      <c r="M1336" s="241"/>
      <c r="N1336" s="241"/>
      <c r="O1336" s="241"/>
      <c r="P1336" s="241"/>
      <c r="Q1336" s="241"/>
      <c r="R1336" s="241"/>
      <c r="S1336" s="241"/>
      <c r="T1336" s="241"/>
      <c r="U1336" s="241"/>
      <c r="V1336" s="241"/>
      <c r="W1336" s="241"/>
      <c r="X1336" s="243"/>
      <c r="Y1336" s="243"/>
      <c r="Z1336" s="243"/>
      <c r="AA1336" s="243"/>
      <c r="AB1336" s="243"/>
      <c r="AC1336" s="243"/>
      <c r="AD1336" s="243"/>
      <c r="AE1336" s="243"/>
      <c r="AF1336" s="243"/>
      <c r="AG1336" s="243"/>
      <c r="AH1336" s="243"/>
      <c r="AI1336" s="243"/>
      <c r="AJ1336" s="243"/>
    </row>
    <row r="1337" hidden="1">
      <c r="A1337" s="241"/>
      <c r="B1337" s="241"/>
      <c r="C1337" s="241"/>
      <c r="D1337" s="241"/>
      <c r="E1337" s="241"/>
      <c r="F1337" s="241"/>
      <c r="G1337" s="241"/>
      <c r="H1337" s="241"/>
      <c r="I1337" s="241"/>
      <c r="J1337" s="241"/>
      <c r="K1337" s="241"/>
      <c r="L1337" s="242"/>
      <c r="M1337" s="241"/>
      <c r="N1337" s="241"/>
      <c r="O1337" s="241"/>
      <c r="P1337" s="241"/>
      <c r="Q1337" s="241"/>
      <c r="R1337" s="241"/>
      <c r="S1337" s="241"/>
      <c r="T1337" s="241"/>
      <c r="U1337" s="241"/>
      <c r="V1337" s="241"/>
      <c r="W1337" s="241"/>
      <c r="X1337" s="243"/>
      <c r="Y1337" s="243"/>
      <c r="Z1337" s="243"/>
      <c r="AA1337" s="243"/>
      <c r="AB1337" s="243"/>
      <c r="AC1337" s="243"/>
      <c r="AD1337" s="243"/>
      <c r="AE1337" s="243"/>
      <c r="AF1337" s="243"/>
      <c r="AG1337" s="243"/>
      <c r="AH1337" s="243"/>
      <c r="AI1337" s="243"/>
      <c r="AJ1337" s="243"/>
    </row>
    <row r="1338" hidden="1">
      <c r="A1338" s="241"/>
      <c r="B1338" s="241"/>
      <c r="C1338" s="241"/>
      <c r="D1338" s="241"/>
      <c r="E1338" s="241"/>
      <c r="F1338" s="241"/>
      <c r="G1338" s="241"/>
      <c r="H1338" s="241"/>
      <c r="I1338" s="241"/>
      <c r="J1338" s="241"/>
      <c r="K1338" s="241"/>
      <c r="L1338" s="242"/>
      <c r="M1338" s="241"/>
      <c r="N1338" s="241"/>
      <c r="O1338" s="241"/>
      <c r="P1338" s="241"/>
      <c r="Q1338" s="241"/>
      <c r="R1338" s="241"/>
      <c r="S1338" s="241"/>
      <c r="T1338" s="241"/>
      <c r="U1338" s="241"/>
      <c r="V1338" s="241"/>
      <c r="W1338" s="241"/>
      <c r="X1338" s="243"/>
      <c r="Y1338" s="243"/>
      <c r="Z1338" s="243"/>
      <c r="AA1338" s="243"/>
      <c r="AB1338" s="243"/>
      <c r="AC1338" s="243"/>
      <c r="AD1338" s="243"/>
      <c r="AE1338" s="243"/>
      <c r="AF1338" s="243"/>
      <c r="AG1338" s="243"/>
      <c r="AH1338" s="243"/>
      <c r="AI1338" s="243"/>
      <c r="AJ1338" s="243"/>
    </row>
    <row r="1339" hidden="1">
      <c r="A1339" s="241"/>
      <c r="B1339" s="241"/>
      <c r="C1339" s="241"/>
      <c r="D1339" s="241"/>
      <c r="E1339" s="241"/>
      <c r="F1339" s="241"/>
      <c r="G1339" s="241"/>
      <c r="H1339" s="241"/>
      <c r="I1339" s="241"/>
      <c r="J1339" s="241"/>
      <c r="K1339" s="241"/>
      <c r="L1339" s="242"/>
      <c r="M1339" s="241"/>
      <c r="N1339" s="241"/>
      <c r="O1339" s="241"/>
      <c r="P1339" s="241"/>
      <c r="Q1339" s="241"/>
      <c r="R1339" s="241"/>
      <c r="S1339" s="241"/>
      <c r="T1339" s="241"/>
      <c r="U1339" s="241"/>
      <c r="V1339" s="241"/>
      <c r="W1339" s="241"/>
      <c r="X1339" s="243"/>
      <c r="Y1339" s="243"/>
      <c r="Z1339" s="243"/>
      <c r="AA1339" s="243"/>
      <c r="AB1339" s="243"/>
      <c r="AC1339" s="243"/>
      <c r="AD1339" s="243"/>
      <c r="AE1339" s="243"/>
      <c r="AF1339" s="243"/>
      <c r="AG1339" s="243"/>
      <c r="AH1339" s="243"/>
      <c r="AI1339" s="243"/>
      <c r="AJ1339" s="243"/>
    </row>
    <row r="1340" hidden="1">
      <c r="A1340" s="241"/>
      <c r="B1340" s="241"/>
      <c r="C1340" s="241"/>
      <c r="D1340" s="241"/>
      <c r="E1340" s="241"/>
      <c r="F1340" s="241"/>
      <c r="G1340" s="241"/>
      <c r="H1340" s="241"/>
      <c r="I1340" s="241"/>
      <c r="J1340" s="241"/>
      <c r="K1340" s="241"/>
      <c r="L1340" s="242"/>
      <c r="M1340" s="241"/>
      <c r="N1340" s="241"/>
      <c r="O1340" s="241"/>
      <c r="P1340" s="241"/>
      <c r="Q1340" s="241"/>
      <c r="R1340" s="241"/>
      <c r="S1340" s="241"/>
      <c r="T1340" s="241"/>
      <c r="U1340" s="241"/>
      <c r="V1340" s="241"/>
      <c r="W1340" s="241"/>
      <c r="X1340" s="243"/>
      <c r="Y1340" s="243"/>
      <c r="Z1340" s="243"/>
      <c r="AA1340" s="243"/>
      <c r="AB1340" s="243"/>
      <c r="AC1340" s="243"/>
      <c r="AD1340" s="243"/>
      <c r="AE1340" s="243"/>
      <c r="AF1340" s="243"/>
      <c r="AG1340" s="243"/>
      <c r="AH1340" s="243"/>
      <c r="AI1340" s="243"/>
      <c r="AJ1340" s="243"/>
    </row>
    <row r="1341" hidden="1">
      <c r="A1341" s="241"/>
      <c r="B1341" s="241"/>
      <c r="C1341" s="241"/>
      <c r="D1341" s="241"/>
      <c r="E1341" s="241"/>
      <c r="F1341" s="241"/>
      <c r="G1341" s="241"/>
      <c r="H1341" s="241"/>
      <c r="I1341" s="241"/>
      <c r="J1341" s="241"/>
      <c r="K1341" s="241"/>
      <c r="L1341" s="242"/>
      <c r="M1341" s="241"/>
      <c r="N1341" s="241"/>
      <c r="O1341" s="241"/>
      <c r="P1341" s="241"/>
      <c r="Q1341" s="241"/>
      <c r="R1341" s="241"/>
      <c r="S1341" s="241"/>
      <c r="T1341" s="241"/>
      <c r="U1341" s="241"/>
      <c r="V1341" s="241"/>
      <c r="W1341" s="241"/>
      <c r="X1341" s="243"/>
      <c r="Y1341" s="243"/>
      <c r="Z1341" s="243"/>
      <c r="AA1341" s="243"/>
      <c r="AB1341" s="243"/>
      <c r="AC1341" s="243"/>
      <c r="AD1341" s="243"/>
      <c r="AE1341" s="243"/>
      <c r="AF1341" s="243"/>
      <c r="AG1341" s="243"/>
      <c r="AH1341" s="243"/>
      <c r="AI1341" s="243"/>
      <c r="AJ1341" s="243"/>
    </row>
    <row r="1342" hidden="1">
      <c r="A1342" s="241"/>
      <c r="B1342" s="241"/>
      <c r="C1342" s="241"/>
      <c r="D1342" s="241"/>
      <c r="E1342" s="241"/>
      <c r="F1342" s="241"/>
      <c r="G1342" s="241"/>
      <c r="H1342" s="241"/>
      <c r="I1342" s="241"/>
      <c r="J1342" s="241"/>
      <c r="K1342" s="241"/>
      <c r="L1342" s="242"/>
      <c r="M1342" s="241"/>
      <c r="N1342" s="241"/>
      <c r="O1342" s="241"/>
      <c r="P1342" s="241"/>
      <c r="Q1342" s="241"/>
      <c r="R1342" s="241"/>
      <c r="S1342" s="241"/>
      <c r="T1342" s="241"/>
      <c r="U1342" s="241"/>
      <c r="V1342" s="241"/>
      <c r="W1342" s="241"/>
      <c r="X1342" s="243"/>
      <c r="Y1342" s="243"/>
      <c r="Z1342" s="243"/>
      <c r="AA1342" s="243"/>
      <c r="AB1342" s="243"/>
      <c r="AC1342" s="243"/>
      <c r="AD1342" s="243"/>
      <c r="AE1342" s="243"/>
      <c r="AF1342" s="243"/>
      <c r="AG1342" s="243"/>
      <c r="AH1342" s="243"/>
      <c r="AI1342" s="243"/>
      <c r="AJ1342" s="243"/>
    </row>
    <row r="1343" hidden="1">
      <c r="A1343" s="241"/>
      <c r="B1343" s="241"/>
      <c r="C1343" s="241"/>
      <c r="D1343" s="241"/>
      <c r="E1343" s="241"/>
      <c r="F1343" s="241"/>
      <c r="G1343" s="241"/>
      <c r="H1343" s="241"/>
      <c r="I1343" s="241"/>
      <c r="J1343" s="241"/>
      <c r="K1343" s="241"/>
      <c r="L1343" s="242"/>
      <c r="M1343" s="241"/>
      <c r="N1343" s="241"/>
      <c r="O1343" s="241"/>
      <c r="P1343" s="241"/>
      <c r="Q1343" s="241"/>
      <c r="R1343" s="241"/>
      <c r="S1343" s="241"/>
      <c r="T1343" s="241"/>
      <c r="U1343" s="241"/>
      <c r="V1343" s="241"/>
      <c r="W1343" s="241"/>
      <c r="X1343" s="243"/>
      <c r="Y1343" s="243"/>
      <c r="Z1343" s="243"/>
      <c r="AA1343" s="243"/>
      <c r="AB1343" s="243"/>
      <c r="AC1343" s="243"/>
      <c r="AD1343" s="243"/>
      <c r="AE1343" s="243"/>
      <c r="AF1343" s="243"/>
      <c r="AG1343" s="243"/>
      <c r="AH1343" s="243"/>
      <c r="AI1343" s="243"/>
      <c r="AJ1343" s="243"/>
    </row>
    <row r="1344" hidden="1">
      <c r="A1344" s="241"/>
      <c r="B1344" s="241"/>
      <c r="C1344" s="241"/>
      <c r="D1344" s="241"/>
      <c r="E1344" s="241"/>
      <c r="F1344" s="241"/>
      <c r="G1344" s="241"/>
      <c r="H1344" s="241"/>
      <c r="I1344" s="241"/>
      <c r="J1344" s="241"/>
      <c r="K1344" s="241"/>
      <c r="L1344" s="242"/>
      <c r="M1344" s="241"/>
      <c r="N1344" s="241"/>
      <c r="O1344" s="241"/>
      <c r="P1344" s="241"/>
      <c r="Q1344" s="241"/>
      <c r="R1344" s="241"/>
      <c r="S1344" s="241"/>
      <c r="T1344" s="241"/>
      <c r="U1344" s="241"/>
      <c r="V1344" s="241"/>
      <c r="W1344" s="241"/>
      <c r="X1344" s="243"/>
      <c r="Y1344" s="243"/>
      <c r="Z1344" s="243"/>
      <c r="AA1344" s="243"/>
      <c r="AB1344" s="243"/>
      <c r="AC1344" s="243"/>
      <c r="AD1344" s="243"/>
      <c r="AE1344" s="243"/>
      <c r="AF1344" s="243"/>
      <c r="AG1344" s="243"/>
      <c r="AH1344" s="243"/>
      <c r="AI1344" s="243"/>
      <c r="AJ1344" s="243"/>
    </row>
    <row r="1345" hidden="1">
      <c r="A1345" s="241"/>
      <c r="B1345" s="241"/>
      <c r="C1345" s="241"/>
      <c r="D1345" s="241"/>
      <c r="E1345" s="241"/>
      <c r="F1345" s="241"/>
      <c r="G1345" s="241"/>
      <c r="H1345" s="241"/>
      <c r="I1345" s="241"/>
      <c r="J1345" s="241"/>
      <c r="K1345" s="241"/>
      <c r="L1345" s="242"/>
      <c r="M1345" s="241"/>
      <c r="N1345" s="241"/>
      <c r="O1345" s="241"/>
      <c r="P1345" s="241"/>
      <c r="Q1345" s="241"/>
      <c r="R1345" s="241"/>
      <c r="S1345" s="241"/>
      <c r="T1345" s="241"/>
      <c r="U1345" s="241"/>
      <c r="V1345" s="241"/>
      <c r="W1345" s="241"/>
      <c r="X1345" s="243"/>
      <c r="Y1345" s="243"/>
      <c r="Z1345" s="243"/>
      <c r="AA1345" s="243"/>
      <c r="AB1345" s="243"/>
      <c r="AC1345" s="243"/>
      <c r="AD1345" s="243"/>
      <c r="AE1345" s="243"/>
      <c r="AF1345" s="243"/>
      <c r="AG1345" s="243"/>
      <c r="AH1345" s="243"/>
      <c r="AI1345" s="243"/>
      <c r="AJ1345" s="243"/>
    </row>
    <row r="1346" hidden="1">
      <c r="A1346" s="241"/>
      <c r="B1346" s="241"/>
      <c r="C1346" s="241"/>
      <c r="D1346" s="241"/>
      <c r="E1346" s="241"/>
      <c r="F1346" s="241"/>
      <c r="G1346" s="241"/>
      <c r="H1346" s="241"/>
      <c r="I1346" s="241"/>
      <c r="J1346" s="241"/>
      <c r="K1346" s="241"/>
      <c r="L1346" s="242"/>
      <c r="M1346" s="241"/>
      <c r="N1346" s="241"/>
      <c r="O1346" s="241"/>
      <c r="P1346" s="241"/>
      <c r="Q1346" s="241"/>
      <c r="R1346" s="241"/>
      <c r="S1346" s="241"/>
      <c r="T1346" s="241"/>
      <c r="U1346" s="241"/>
      <c r="V1346" s="241"/>
      <c r="W1346" s="241"/>
      <c r="X1346" s="243"/>
      <c r="Y1346" s="243"/>
      <c r="Z1346" s="243"/>
      <c r="AA1346" s="243"/>
      <c r="AB1346" s="243"/>
      <c r="AC1346" s="243"/>
      <c r="AD1346" s="243"/>
      <c r="AE1346" s="243"/>
      <c r="AF1346" s="243"/>
      <c r="AG1346" s="243"/>
      <c r="AH1346" s="243"/>
      <c r="AI1346" s="243"/>
      <c r="AJ1346" s="243"/>
    </row>
    <row r="1347" hidden="1">
      <c r="A1347" s="241"/>
      <c r="B1347" s="241"/>
      <c r="C1347" s="241"/>
      <c r="D1347" s="241"/>
      <c r="E1347" s="241"/>
      <c r="F1347" s="241"/>
      <c r="G1347" s="241"/>
      <c r="H1347" s="241"/>
      <c r="I1347" s="241"/>
      <c r="J1347" s="241"/>
      <c r="K1347" s="241"/>
      <c r="L1347" s="242"/>
      <c r="M1347" s="241"/>
      <c r="N1347" s="241"/>
      <c r="O1347" s="241"/>
      <c r="P1347" s="241"/>
      <c r="Q1347" s="241"/>
      <c r="R1347" s="241"/>
      <c r="S1347" s="241"/>
      <c r="T1347" s="241"/>
      <c r="U1347" s="241"/>
      <c r="V1347" s="241"/>
      <c r="W1347" s="241"/>
      <c r="X1347" s="243"/>
      <c r="Y1347" s="243"/>
      <c r="Z1347" s="243"/>
      <c r="AA1347" s="243"/>
      <c r="AB1347" s="243"/>
      <c r="AC1347" s="243"/>
      <c r="AD1347" s="243"/>
      <c r="AE1347" s="243"/>
      <c r="AF1347" s="243"/>
      <c r="AG1347" s="243"/>
      <c r="AH1347" s="243"/>
      <c r="AI1347" s="243"/>
      <c r="AJ1347" s="243"/>
    </row>
    <row r="1348" hidden="1">
      <c r="A1348" s="241"/>
      <c r="B1348" s="241"/>
      <c r="C1348" s="241"/>
      <c r="D1348" s="241"/>
      <c r="E1348" s="241"/>
      <c r="F1348" s="241"/>
      <c r="G1348" s="241"/>
      <c r="H1348" s="241"/>
      <c r="I1348" s="241"/>
      <c r="J1348" s="241"/>
      <c r="K1348" s="241"/>
      <c r="L1348" s="242"/>
      <c r="M1348" s="241"/>
      <c r="N1348" s="241"/>
      <c r="O1348" s="241"/>
      <c r="P1348" s="241"/>
      <c r="Q1348" s="241"/>
      <c r="R1348" s="241"/>
      <c r="S1348" s="241"/>
      <c r="T1348" s="241"/>
      <c r="U1348" s="241"/>
      <c r="V1348" s="241"/>
      <c r="W1348" s="241"/>
      <c r="X1348" s="243"/>
      <c r="Y1348" s="243"/>
      <c r="Z1348" s="243"/>
      <c r="AA1348" s="243"/>
      <c r="AB1348" s="243"/>
      <c r="AC1348" s="243"/>
      <c r="AD1348" s="243"/>
      <c r="AE1348" s="243"/>
      <c r="AF1348" s="243"/>
      <c r="AG1348" s="243"/>
      <c r="AH1348" s="243"/>
      <c r="AI1348" s="243"/>
      <c r="AJ1348" s="243"/>
    </row>
    <row r="1349" hidden="1">
      <c r="A1349" s="241"/>
      <c r="B1349" s="241"/>
      <c r="C1349" s="241"/>
      <c r="D1349" s="241"/>
      <c r="E1349" s="241"/>
      <c r="F1349" s="241"/>
      <c r="G1349" s="241"/>
      <c r="H1349" s="241"/>
      <c r="I1349" s="241"/>
      <c r="J1349" s="241"/>
      <c r="K1349" s="241"/>
      <c r="L1349" s="242"/>
      <c r="M1349" s="241"/>
      <c r="N1349" s="241"/>
      <c r="O1349" s="241"/>
      <c r="P1349" s="241"/>
      <c r="Q1349" s="241"/>
      <c r="R1349" s="241"/>
      <c r="S1349" s="241"/>
      <c r="T1349" s="241"/>
      <c r="U1349" s="241"/>
      <c r="V1349" s="241"/>
      <c r="W1349" s="241"/>
      <c r="X1349" s="243"/>
      <c r="Y1349" s="243"/>
      <c r="Z1349" s="243"/>
      <c r="AA1349" s="243"/>
      <c r="AB1349" s="243"/>
      <c r="AC1349" s="243"/>
      <c r="AD1349" s="243"/>
      <c r="AE1349" s="243"/>
      <c r="AF1349" s="243"/>
      <c r="AG1349" s="243"/>
      <c r="AH1349" s="243"/>
      <c r="AI1349" s="243"/>
      <c r="AJ1349" s="243"/>
    </row>
    <row r="1350" hidden="1">
      <c r="A1350" s="241"/>
      <c r="B1350" s="241"/>
      <c r="C1350" s="241"/>
      <c r="D1350" s="241"/>
      <c r="E1350" s="241"/>
      <c r="F1350" s="241"/>
      <c r="G1350" s="241"/>
      <c r="H1350" s="241"/>
      <c r="I1350" s="241"/>
      <c r="J1350" s="241"/>
      <c r="K1350" s="241"/>
      <c r="L1350" s="242"/>
      <c r="M1350" s="241"/>
      <c r="N1350" s="241"/>
      <c r="O1350" s="241"/>
      <c r="P1350" s="241"/>
      <c r="Q1350" s="241"/>
      <c r="R1350" s="241"/>
      <c r="S1350" s="241"/>
      <c r="T1350" s="241"/>
      <c r="U1350" s="241"/>
      <c r="V1350" s="241"/>
      <c r="W1350" s="241"/>
      <c r="X1350" s="243"/>
      <c r="Y1350" s="243"/>
      <c r="Z1350" s="243"/>
      <c r="AA1350" s="243"/>
      <c r="AB1350" s="243"/>
      <c r="AC1350" s="243"/>
      <c r="AD1350" s="243"/>
      <c r="AE1350" s="243"/>
      <c r="AF1350" s="243"/>
      <c r="AG1350" s="243"/>
      <c r="AH1350" s="243"/>
      <c r="AI1350" s="243"/>
      <c r="AJ1350" s="243"/>
    </row>
    <row r="1351" hidden="1">
      <c r="A1351" s="241"/>
      <c r="B1351" s="241"/>
      <c r="C1351" s="241"/>
      <c r="D1351" s="241"/>
      <c r="E1351" s="241"/>
      <c r="F1351" s="241"/>
      <c r="G1351" s="241"/>
      <c r="H1351" s="241"/>
      <c r="I1351" s="241"/>
      <c r="J1351" s="241"/>
      <c r="K1351" s="241"/>
      <c r="L1351" s="242"/>
      <c r="M1351" s="241"/>
      <c r="N1351" s="241"/>
      <c r="O1351" s="241"/>
      <c r="P1351" s="241"/>
      <c r="Q1351" s="241"/>
      <c r="R1351" s="241"/>
      <c r="S1351" s="241"/>
      <c r="T1351" s="241"/>
      <c r="U1351" s="241"/>
      <c r="V1351" s="241"/>
      <c r="W1351" s="241"/>
      <c r="X1351" s="243"/>
      <c r="Y1351" s="243"/>
      <c r="Z1351" s="243"/>
      <c r="AA1351" s="243"/>
      <c r="AB1351" s="243"/>
      <c r="AC1351" s="243"/>
      <c r="AD1351" s="243"/>
      <c r="AE1351" s="243"/>
      <c r="AF1351" s="243"/>
      <c r="AG1351" s="243"/>
      <c r="AH1351" s="243"/>
      <c r="AI1351" s="243"/>
      <c r="AJ1351" s="243"/>
    </row>
    <row r="1352" hidden="1">
      <c r="A1352" s="241"/>
      <c r="B1352" s="241"/>
      <c r="C1352" s="241"/>
      <c r="D1352" s="241"/>
      <c r="E1352" s="241"/>
      <c r="F1352" s="241"/>
      <c r="G1352" s="241"/>
      <c r="H1352" s="241"/>
      <c r="I1352" s="241"/>
      <c r="J1352" s="241"/>
      <c r="K1352" s="241"/>
      <c r="L1352" s="242"/>
      <c r="M1352" s="241"/>
      <c r="N1352" s="241"/>
      <c r="O1352" s="241"/>
      <c r="P1352" s="241"/>
      <c r="Q1352" s="241"/>
      <c r="R1352" s="241"/>
      <c r="S1352" s="241"/>
      <c r="T1352" s="241"/>
      <c r="U1352" s="241"/>
      <c r="V1352" s="241"/>
      <c r="W1352" s="241"/>
      <c r="X1352" s="243"/>
      <c r="Y1352" s="243"/>
      <c r="Z1352" s="243"/>
      <c r="AA1352" s="243"/>
      <c r="AB1352" s="243"/>
      <c r="AC1352" s="243"/>
      <c r="AD1352" s="243"/>
      <c r="AE1352" s="243"/>
      <c r="AF1352" s="243"/>
      <c r="AG1352" s="243"/>
      <c r="AH1352" s="243"/>
      <c r="AI1352" s="243"/>
      <c r="AJ1352" s="243"/>
    </row>
    <row r="1353" hidden="1">
      <c r="A1353" s="241"/>
      <c r="B1353" s="241"/>
      <c r="C1353" s="241"/>
      <c r="D1353" s="241"/>
      <c r="E1353" s="241"/>
      <c r="F1353" s="241"/>
      <c r="G1353" s="241"/>
      <c r="H1353" s="241"/>
      <c r="I1353" s="241"/>
      <c r="J1353" s="241"/>
      <c r="K1353" s="241"/>
      <c r="L1353" s="242"/>
      <c r="M1353" s="241"/>
      <c r="N1353" s="241"/>
      <c r="O1353" s="241"/>
      <c r="P1353" s="241"/>
      <c r="Q1353" s="241"/>
      <c r="R1353" s="241"/>
      <c r="S1353" s="241"/>
      <c r="T1353" s="241"/>
      <c r="U1353" s="241"/>
      <c r="V1353" s="241"/>
      <c r="W1353" s="241"/>
      <c r="X1353" s="243"/>
      <c r="Y1353" s="243"/>
      <c r="Z1353" s="243"/>
      <c r="AA1353" s="243"/>
      <c r="AB1353" s="243"/>
      <c r="AC1353" s="243"/>
      <c r="AD1353" s="243"/>
      <c r="AE1353" s="243"/>
      <c r="AF1353" s="243"/>
      <c r="AG1353" s="243"/>
      <c r="AH1353" s="243"/>
      <c r="AI1353" s="243"/>
      <c r="AJ1353" s="243"/>
    </row>
    <row r="1354" hidden="1">
      <c r="A1354" s="241"/>
      <c r="B1354" s="241"/>
      <c r="C1354" s="241"/>
      <c r="D1354" s="241"/>
      <c r="E1354" s="241"/>
      <c r="F1354" s="241"/>
      <c r="G1354" s="241"/>
      <c r="H1354" s="241"/>
      <c r="I1354" s="241"/>
      <c r="J1354" s="241"/>
      <c r="K1354" s="241"/>
      <c r="L1354" s="242"/>
      <c r="M1354" s="241"/>
      <c r="N1354" s="241"/>
      <c r="O1354" s="241"/>
      <c r="P1354" s="241"/>
      <c r="Q1354" s="241"/>
      <c r="R1354" s="241"/>
      <c r="S1354" s="241"/>
      <c r="T1354" s="241"/>
      <c r="U1354" s="241"/>
      <c r="V1354" s="241"/>
      <c r="W1354" s="241"/>
      <c r="X1354" s="243"/>
      <c r="Y1354" s="243"/>
      <c r="Z1354" s="243"/>
      <c r="AA1354" s="243"/>
      <c r="AB1354" s="243"/>
      <c r="AC1354" s="243"/>
      <c r="AD1354" s="243"/>
      <c r="AE1354" s="243"/>
      <c r="AF1354" s="243"/>
      <c r="AG1354" s="243"/>
      <c r="AH1354" s="243"/>
      <c r="AI1354" s="243"/>
      <c r="AJ1354" s="243"/>
    </row>
    <row r="1355" hidden="1">
      <c r="A1355" s="241"/>
      <c r="B1355" s="241"/>
      <c r="C1355" s="241"/>
      <c r="D1355" s="241"/>
      <c r="E1355" s="241"/>
      <c r="F1355" s="241"/>
      <c r="G1355" s="241"/>
      <c r="H1355" s="241"/>
      <c r="I1355" s="241"/>
      <c r="J1355" s="241"/>
      <c r="K1355" s="241"/>
      <c r="L1355" s="242"/>
      <c r="M1355" s="241"/>
      <c r="N1355" s="241"/>
      <c r="O1355" s="241"/>
      <c r="P1355" s="241"/>
      <c r="Q1355" s="241"/>
      <c r="R1355" s="241"/>
      <c r="S1355" s="241"/>
      <c r="T1355" s="241"/>
      <c r="U1355" s="241"/>
      <c r="V1355" s="241"/>
      <c r="W1355" s="241"/>
      <c r="X1355" s="243"/>
      <c r="Y1355" s="243"/>
      <c r="Z1355" s="243"/>
      <c r="AA1355" s="243"/>
      <c r="AB1355" s="243"/>
      <c r="AC1355" s="243"/>
      <c r="AD1355" s="243"/>
      <c r="AE1355" s="243"/>
      <c r="AF1355" s="243"/>
      <c r="AG1355" s="243"/>
      <c r="AH1355" s="243"/>
      <c r="AI1355" s="243"/>
      <c r="AJ1355" s="243"/>
    </row>
    <row r="1356" hidden="1">
      <c r="A1356" s="241"/>
      <c r="B1356" s="241"/>
      <c r="C1356" s="241"/>
      <c r="D1356" s="241"/>
      <c r="E1356" s="241"/>
      <c r="F1356" s="241"/>
      <c r="G1356" s="241"/>
      <c r="H1356" s="241"/>
      <c r="I1356" s="241"/>
      <c r="J1356" s="241"/>
      <c r="K1356" s="241"/>
      <c r="L1356" s="242"/>
      <c r="M1356" s="241"/>
      <c r="N1356" s="241"/>
      <c r="O1356" s="241"/>
      <c r="P1356" s="241"/>
      <c r="Q1356" s="241"/>
      <c r="R1356" s="241"/>
      <c r="S1356" s="241"/>
      <c r="T1356" s="241"/>
      <c r="U1356" s="241"/>
      <c r="V1356" s="241"/>
      <c r="W1356" s="241"/>
      <c r="X1356" s="243"/>
      <c r="Y1356" s="243"/>
      <c r="Z1356" s="243"/>
      <c r="AA1356" s="243"/>
      <c r="AB1356" s="243"/>
      <c r="AC1356" s="243"/>
      <c r="AD1356" s="243"/>
      <c r="AE1356" s="243"/>
      <c r="AF1356" s="243"/>
      <c r="AG1356" s="243"/>
      <c r="AH1356" s="243"/>
      <c r="AI1356" s="243"/>
      <c r="AJ1356" s="243"/>
    </row>
    <row r="1357" hidden="1">
      <c r="A1357" s="241"/>
      <c r="B1357" s="241"/>
      <c r="C1357" s="241"/>
      <c r="D1357" s="241"/>
      <c r="E1357" s="241"/>
      <c r="F1357" s="241"/>
      <c r="G1357" s="241"/>
      <c r="H1357" s="241"/>
      <c r="I1357" s="241"/>
      <c r="J1357" s="241"/>
      <c r="K1357" s="241"/>
      <c r="L1357" s="242"/>
      <c r="M1357" s="241"/>
      <c r="N1357" s="241"/>
      <c r="O1357" s="241"/>
      <c r="P1357" s="241"/>
      <c r="Q1357" s="241"/>
      <c r="R1357" s="241"/>
      <c r="S1357" s="241"/>
      <c r="T1357" s="241"/>
      <c r="U1357" s="241"/>
      <c r="V1357" s="241"/>
      <c r="W1357" s="241"/>
      <c r="X1357" s="243"/>
      <c r="Y1357" s="243"/>
      <c r="Z1357" s="243"/>
      <c r="AA1357" s="243"/>
      <c r="AB1357" s="243"/>
      <c r="AC1357" s="243"/>
      <c r="AD1357" s="243"/>
      <c r="AE1357" s="243"/>
      <c r="AF1357" s="243"/>
      <c r="AG1357" s="243"/>
      <c r="AH1357" s="243"/>
      <c r="AI1357" s="243"/>
      <c r="AJ1357" s="243"/>
    </row>
    <row r="1358" hidden="1">
      <c r="A1358" s="241"/>
      <c r="B1358" s="241"/>
      <c r="C1358" s="241"/>
      <c r="D1358" s="241"/>
      <c r="E1358" s="241"/>
      <c r="F1358" s="241"/>
      <c r="G1358" s="241"/>
      <c r="H1358" s="241"/>
      <c r="I1358" s="241"/>
      <c r="J1358" s="241"/>
      <c r="K1358" s="241"/>
      <c r="L1358" s="242"/>
      <c r="M1358" s="241"/>
      <c r="N1358" s="241"/>
      <c r="O1358" s="241"/>
      <c r="P1358" s="241"/>
      <c r="Q1358" s="241"/>
      <c r="R1358" s="241"/>
      <c r="S1358" s="241"/>
      <c r="T1358" s="241"/>
      <c r="U1358" s="241"/>
      <c r="V1358" s="241"/>
      <c r="W1358" s="241"/>
      <c r="X1358" s="243"/>
      <c r="Y1358" s="243"/>
      <c r="Z1358" s="243"/>
      <c r="AA1358" s="243"/>
      <c r="AB1358" s="243"/>
      <c r="AC1358" s="243"/>
      <c r="AD1358" s="243"/>
      <c r="AE1358" s="243"/>
      <c r="AF1358" s="243"/>
      <c r="AG1358" s="243"/>
      <c r="AH1358" s="243"/>
      <c r="AI1358" s="243"/>
      <c r="AJ1358" s="243"/>
    </row>
    <row r="1359" hidden="1">
      <c r="A1359" s="241"/>
      <c r="B1359" s="241"/>
      <c r="C1359" s="241"/>
      <c r="D1359" s="241"/>
      <c r="E1359" s="241"/>
      <c r="F1359" s="241"/>
      <c r="G1359" s="241"/>
      <c r="H1359" s="241"/>
      <c r="I1359" s="241"/>
      <c r="J1359" s="241"/>
      <c r="K1359" s="241"/>
      <c r="L1359" s="242"/>
      <c r="M1359" s="241"/>
      <c r="N1359" s="241"/>
      <c r="O1359" s="241"/>
      <c r="P1359" s="241"/>
      <c r="Q1359" s="241"/>
      <c r="R1359" s="241"/>
      <c r="S1359" s="241"/>
      <c r="T1359" s="241"/>
      <c r="U1359" s="241"/>
      <c r="V1359" s="241"/>
      <c r="W1359" s="241"/>
      <c r="X1359" s="243"/>
      <c r="Y1359" s="243"/>
      <c r="Z1359" s="243"/>
      <c r="AA1359" s="243"/>
      <c r="AB1359" s="243"/>
      <c r="AC1359" s="243"/>
      <c r="AD1359" s="243"/>
      <c r="AE1359" s="243"/>
      <c r="AF1359" s="243"/>
      <c r="AG1359" s="243"/>
      <c r="AH1359" s="243"/>
      <c r="AI1359" s="243"/>
      <c r="AJ1359" s="243"/>
    </row>
    <row r="1360" hidden="1">
      <c r="A1360" s="241"/>
      <c r="B1360" s="241"/>
      <c r="C1360" s="241"/>
      <c r="D1360" s="241"/>
      <c r="E1360" s="241"/>
      <c r="F1360" s="241"/>
      <c r="G1360" s="241"/>
      <c r="H1360" s="241"/>
      <c r="I1360" s="241"/>
      <c r="J1360" s="241"/>
      <c r="K1360" s="241"/>
      <c r="L1360" s="242"/>
      <c r="M1360" s="241"/>
      <c r="N1360" s="241"/>
      <c r="O1360" s="241"/>
      <c r="P1360" s="241"/>
      <c r="Q1360" s="241"/>
      <c r="R1360" s="241"/>
      <c r="S1360" s="241"/>
      <c r="T1360" s="241"/>
      <c r="U1360" s="241"/>
      <c r="V1360" s="241"/>
      <c r="W1360" s="241"/>
      <c r="X1360" s="243"/>
      <c r="Y1360" s="243"/>
      <c r="Z1360" s="243"/>
      <c r="AA1360" s="243"/>
      <c r="AB1360" s="243"/>
      <c r="AC1360" s="243"/>
      <c r="AD1360" s="243"/>
      <c r="AE1360" s="243"/>
      <c r="AF1360" s="243"/>
      <c r="AG1360" s="243"/>
      <c r="AH1360" s="243"/>
      <c r="AI1360" s="243"/>
      <c r="AJ1360" s="243"/>
    </row>
    <row r="1361" hidden="1">
      <c r="A1361" s="241"/>
      <c r="B1361" s="241"/>
      <c r="C1361" s="241"/>
      <c r="D1361" s="241"/>
      <c r="E1361" s="241"/>
      <c r="F1361" s="241"/>
      <c r="G1361" s="241"/>
      <c r="H1361" s="241"/>
      <c r="I1361" s="241"/>
      <c r="J1361" s="241"/>
      <c r="K1361" s="241"/>
      <c r="L1361" s="242"/>
      <c r="M1361" s="241"/>
      <c r="N1361" s="241"/>
      <c r="O1361" s="241"/>
      <c r="P1361" s="241"/>
      <c r="Q1361" s="241"/>
      <c r="R1361" s="241"/>
      <c r="S1361" s="241"/>
      <c r="T1361" s="241"/>
      <c r="U1361" s="241"/>
      <c r="V1361" s="241"/>
      <c r="W1361" s="241"/>
      <c r="X1361" s="243"/>
      <c r="Y1361" s="243"/>
      <c r="Z1361" s="243"/>
      <c r="AA1361" s="243"/>
      <c r="AB1361" s="243"/>
      <c r="AC1361" s="243"/>
      <c r="AD1361" s="243"/>
      <c r="AE1361" s="243"/>
      <c r="AF1361" s="243"/>
      <c r="AG1361" s="243"/>
      <c r="AH1361" s="243"/>
      <c r="AI1361" s="243"/>
      <c r="AJ1361" s="243"/>
    </row>
    <row r="1362" hidden="1">
      <c r="A1362" s="241"/>
      <c r="B1362" s="241"/>
      <c r="C1362" s="241"/>
      <c r="D1362" s="241"/>
      <c r="E1362" s="241"/>
      <c r="F1362" s="241"/>
      <c r="G1362" s="241"/>
      <c r="H1362" s="241"/>
      <c r="I1362" s="241"/>
      <c r="J1362" s="241"/>
      <c r="K1362" s="241"/>
      <c r="L1362" s="242"/>
      <c r="M1362" s="241"/>
      <c r="N1362" s="241"/>
      <c r="O1362" s="241"/>
      <c r="P1362" s="241"/>
      <c r="Q1362" s="241"/>
      <c r="R1362" s="241"/>
      <c r="S1362" s="241"/>
      <c r="T1362" s="241"/>
      <c r="U1362" s="241"/>
      <c r="V1362" s="241"/>
      <c r="W1362" s="241"/>
      <c r="X1362" s="243"/>
      <c r="Y1362" s="243"/>
      <c r="Z1362" s="243"/>
      <c r="AA1362" s="243"/>
      <c r="AB1362" s="243"/>
      <c r="AC1362" s="243"/>
      <c r="AD1362" s="243"/>
      <c r="AE1362" s="243"/>
      <c r="AF1362" s="243"/>
      <c r="AG1362" s="243"/>
      <c r="AH1362" s="243"/>
      <c r="AI1362" s="243"/>
      <c r="AJ1362" s="243"/>
    </row>
    <row r="1363" hidden="1">
      <c r="A1363" s="241"/>
      <c r="B1363" s="241"/>
      <c r="C1363" s="241"/>
      <c r="D1363" s="241"/>
      <c r="E1363" s="241"/>
      <c r="F1363" s="241"/>
      <c r="G1363" s="241"/>
      <c r="H1363" s="241"/>
      <c r="I1363" s="241"/>
      <c r="J1363" s="241"/>
      <c r="K1363" s="241"/>
      <c r="L1363" s="242"/>
      <c r="M1363" s="241"/>
      <c r="N1363" s="241"/>
      <c r="O1363" s="241"/>
      <c r="P1363" s="241"/>
      <c r="Q1363" s="241"/>
      <c r="R1363" s="241"/>
      <c r="S1363" s="241"/>
      <c r="T1363" s="241"/>
      <c r="U1363" s="241"/>
      <c r="V1363" s="241"/>
      <c r="W1363" s="241"/>
      <c r="X1363" s="243"/>
      <c r="Y1363" s="243"/>
      <c r="Z1363" s="243"/>
      <c r="AA1363" s="243"/>
      <c r="AB1363" s="243"/>
      <c r="AC1363" s="243"/>
      <c r="AD1363" s="243"/>
      <c r="AE1363" s="243"/>
      <c r="AF1363" s="243"/>
      <c r="AG1363" s="243"/>
      <c r="AH1363" s="243"/>
      <c r="AI1363" s="243"/>
      <c r="AJ1363" s="243"/>
    </row>
    <row r="1364" hidden="1">
      <c r="A1364" s="241"/>
      <c r="B1364" s="241"/>
      <c r="C1364" s="241"/>
      <c r="D1364" s="241"/>
      <c r="E1364" s="241"/>
      <c r="F1364" s="241"/>
      <c r="G1364" s="241"/>
      <c r="H1364" s="241"/>
      <c r="I1364" s="241"/>
      <c r="J1364" s="241"/>
      <c r="K1364" s="241"/>
      <c r="L1364" s="242"/>
      <c r="M1364" s="241"/>
      <c r="N1364" s="241"/>
      <c r="O1364" s="241"/>
      <c r="P1364" s="241"/>
      <c r="Q1364" s="241"/>
      <c r="R1364" s="241"/>
      <c r="S1364" s="241"/>
      <c r="T1364" s="241"/>
      <c r="U1364" s="241"/>
      <c r="V1364" s="241"/>
      <c r="W1364" s="241"/>
      <c r="X1364" s="243"/>
      <c r="Y1364" s="243"/>
      <c r="Z1364" s="243"/>
      <c r="AA1364" s="243"/>
      <c r="AB1364" s="243"/>
      <c r="AC1364" s="243"/>
      <c r="AD1364" s="243"/>
      <c r="AE1364" s="243"/>
      <c r="AF1364" s="243"/>
      <c r="AG1364" s="243"/>
      <c r="AH1364" s="243"/>
      <c r="AI1364" s="243"/>
      <c r="AJ1364" s="243"/>
    </row>
    <row r="1365" hidden="1">
      <c r="A1365" s="241"/>
      <c r="B1365" s="241"/>
      <c r="C1365" s="241"/>
      <c r="D1365" s="241"/>
      <c r="E1365" s="241"/>
      <c r="F1365" s="241"/>
      <c r="G1365" s="241"/>
      <c r="H1365" s="241"/>
      <c r="I1365" s="241"/>
      <c r="J1365" s="241"/>
      <c r="K1365" s="241"/>
      <c r="L1365" s="242"/>
      <c r="M1365" s="241"/>
      <c r="N1365" s="241"/>
      <c r="O1365" s="241"/>
      <c r="P1365" s="241"/>
      <c r="Q1365" s="241"/>
      <c r="R1365" s="241"/>
      <c r="S1365" s="241"/>
      <c r="T1365" s="241"/>
      <c r="U1365" s="241"/>
      <c r="V1365" s="241"/>
      <c r="W1365" s="241"/>
      <c r="X1365" s="243"/>
      <c r="Y1365" s="243"/>
      <c r="Z1365" s="243"/>
      <c r="AA1365" s="243"/>
      <c r="AB1365" s="243"/>
      <c r="AC1365" s="243"/>
      <c r="AD1365" s="243"/>
      <c r="AE1365" s="243"/>
      <c r="AF1365" s="243"/>
      <c r="AG1365" s="243"/>
      <c r="AH1365" s="243"/>
      <c r="AI1365" s="243"/>
      <c r="AJ1365" s="243"/>
    </row>
    <row r="1366" hidden="1">
      <c r="A1366" s="241"/>
      <c r="B1366" s="241"/>
      <c r="C1366" s="241"/>
      <c r="D1366" s="241"/>
      <c r="E1366" s="241"/>
      <c r="F1366" s="241"/>
      <c r="G1366" s="241"/>
      <c r="H1366" s="241"/>
      <c r="I1366" s="241"/>
      <c r="J1366" s="241"/>
      <c r="K1366" s="241"/>
      <c r="L1366" s="242"/>
      <c r="M1366" s="241"/>
      <c r="N1366" s="241"/>
      <c r="O1366" s="241"/>
      <c r="P1366" s="241"/>
      <c r="Q1366" s="241"/>
      <c r="R1366" s="241"/>
      <c r="S1366" s="241"/>
      <c r="T1366" s="241"/>
      <c r="U1366" s="241"/>
      <c r="V1366" s="241"/>
      <c r="W1366" s="241"/>
      <c r="X1366" s="243"/>
      <c r="Y1366" s="243"/>
      <c r="Z1366" s="243"/>
      <c r="AA1366" s="243"/>
      <c r="AB1366" s="243"/>
      <c r="AC1366" s="243"/>
      <c r="AD1366" s="243"/>
      <c r="AE1366" s="243"/>
      <c r="AF1366" s="243"/>
      <c r="AG1366" s="243"/>
      <c r="AH1366" s="243"/>
      <c r="AI1366" s="243"/>
      <c r="AJ1366" s="243"/>
    </row>
    <row r="1367" hidden="1">
      <c r="A1367" s="241"/>
      <c r="B1367" s="241"/>
      <c r="C1367" s="241"/>
      <c r="D1367" s="241"/>
      <c r="E1367" s="241"/>
      <c r="F1367" s="241"/>
      <c r="G1367" s="241"/>
      <c r="H1367" s="241"/>
      <c r="I1367" s="241"/>
      <c r="J1367" s="241"/>
      <c r="K1367" s="241"/>
      <c r="L1367" s="242"/>
      <c r="M1367" s="241"/>
      <c r="N1367" s="241"/>
      <c r="O1367" s="241"/>
      <c r="P1367" s="241"/>
      <c r="Q1367" s="241"/>
      <c r="R1367" s="241"/>
      <c r="S1367" s="241"/>
      <c r="T1367" s="241"/>
      <c r="U1367" s="241"/>
      <c r="V1367" s="241"/>
      <c r="W1367" s="241"/>
      <c r="X1367" s="243"/>
      <c r="Y1367" s="243"/>
      <c r="Z1367" s="243"/>
      <c r="AA1367" s="243"/>
      <c r="AB1367" s="243"/>
      <c r="AC1367" s="243"/>
      <c r="AD1367" s="243"/>
      <c r="AE1367" s="243"/>
      <c r="AF1367" s="243"/>
      <c r="AG1367" s="243"/>
      <c r="AH1367" s="243"/>
      <c r="AI1367" s="243"/>
      <c r="AJ1367" s="243"/>
    </row>
    <row r="1368" hidden="1">
      <c r="A1368" s="241"/>
      <c r="B1368" s="241"/>
      <c r="C1368" s="241"/>
      <c r="D1368" s="241"/>
      <c r="E1368" s="241"/>
      <c r="F1368" s="241"/>
      <c r="G1368" s="241"/>
      <c r="H1368" s="241"/>
      <c r="I1368" s="241"/>
      <c r="J1368" s="241"/>
      <c r="K1368" s="241"/>
      <c r="L1368" s="242"/>
      <c r="M1368" s="241"/>
      <c r="N1368" s="241"/>
      <c r="O1368" s="241"/>
      <c r="P1368" s="241"/>
      <c r="Q1368" s="241"/>
      <c r="R1368" s="241"/>
      <c r="S1368" s="241"/>
      <c r="T1368" s="241"/>
      <c r="U1368" s="241"/>
      <c r="V1368" s="241"/>
      <c r="W1368" s="241"/>
      <c r="X1368" s="243"/>
      <c r="Y1368" s="243"/>
      <c r="Z1368" s="243"/>
      <c r="AA1368" s="243"/>
      <c r="AB1368" s="243"/>
      <c r="AC1368" s="243"/>
      <c r="AD1368" s="243"/>
      <c r="AE1368" s="243"/>
      <c r="AF1368" s="243"/>
      <c r="AG1368" s="243"/>
      <c r="AH1368" s="243"/>
      <c r="AI1368" s="243"/>
      <c r="AJ1368" s="243"/>
    </row>
    <row r="1369" hidden="1">
      <c r="A1369" s="241"/>
      <c r="B1369" s="241"/>
      <c r="C1369" s="241"/>
      <c r="D1369" s="241"/>
      <c r="E1369" s="241"/>
      <c r="F1369" s="241"/>
      <c r="G1369" s="241"/>
      <c r="H1369" s="241"/>
      <c r="I1369" s="241"/>
      <c r="J1369" s="241"/>
      <c r="K1369" s="241"/>
      <c r="L1369" s="242"/>
      <c r="M1369" s="241"/>
      <c r="N1369" s="241"/>
      <c r="O1369" s="241"/>
      <c r="P1369" s="241"/>
      <c r="Q1369" s="241"/>
      <c r="R1369" s="241"/>
      <c r="S1369" s="241"/>
      <c r="T1369" s="241"/>
      <c r="U1369" s="241"/>
      <c r="V1369" s="241"/>
      <c r="W1369" s="241"/>
      <c r="X1369" s="243"/>
      <c r="Y1369" s="243"/>
      <c r="Z1369" s="243"/>
      <c r="AA1369" s="243"/>
      <c r="AB1369" s="243"/>
      <c r="AC1369" s="243"/>
      <c r="AD1369" s="243"/>
      <c r="AE1369" s="243"/>
      <c r="AF1369" s="243"/>
      <c r="AG1369" s="243"/>
      <c r="AH1369" s="243"/>
      <c r="AI1369" s="243"/>
      <c r="AJ1369" s="243"/>
    </row>
    <row r="1370" hidden="1">
      <c r="A1370" s="241"/>
      <c r="B1370" s="241"/>
      <c r="C1370" s="241"/>
      <c r="D1370" s="241"/>
      <c r="E1370" s="241"/>
      <c r="F1370" s="241"/>
      <c r="G1370" s="241"/>
      <c r="H1370" s="241"/>
      <c r="I1370" s="241"/>
      <c r="J1370" s="241"/>
      <c r="K1370" s="241"/>
      <c r="L1370" s="242"/>
      <c r="M1370" s="241"/>
      <c r="N1370" s="241"/>
      <c r="O1370" s="241"/>
      <c r="P1370" s="241"/>
      <c r="Q1370" s="241"/>
      <c r="R1370" s="241"/>
      <c r="S1370" s="241"/>
      <c r="T1370" s="241"/>
      <c r="U1370" s="241"/>
      <c r="V1370" s="241"/>
      <c r="W1370" s="241"/>
      <c r="X1370" s="243"/>
      <c r="Y1370" s="243"/>
      <c r="Z1370" s="243"/>
      <c r="AA1370" s="243"/>
      <c r="AB1370" s="243"/>
      <c r="AC1370" s="243"/>
      <c r="AD1370" s="243"/>
      <c r="AE1370" s="243"/>
      <c r="AF1370" s="243"/>
      <c r="AG1370" s="243"/>
      <c r="AH1370" s="243"/>
      <c r="AI1370" s="243"/>
      <c r="AJ1370" s="243"/>
    </row>
    <row r="1371" hidden="1">
      <c r="A1371" s="241"/>
      <c r="B1371" s="241"/>
      <c r="C1371" s="241"/>
      <c r="D1371" s="241"/>
      <c r="E1371" s="241"/>
      <c r="F1371" s="241"/>
      <c r="G1371" s="241"/>
      <c r="H1371" s="241"/>
      <c r="I1371" s="241"/>
      <c r="J1371" s="241"/>
      <c r="K1371" s="241"/>
      <c r="L1371" s="242"/>
      <c r="M1371" s="241"/>
      <c r="N1371" s="241"/>
      <c r="O1371" s="241"/>
      <c r="P1371" s="241"/>
      <c r="Q1371" s="241"/>
      <c r="R1371" s="241"/>
      <c r="S1371" s="241"/>
      <c r="T1371" s="241"/>
      <c r="U1371" s="241"/>
      <c r="V1371" s="241"/>
      <c r="W1371" s="241"/>
      <c r="X1371" s="243"/>
      <c r="Y1371" s="243"/>
      <c r="Z1371" s="243"/>
      <c r="AA1371" s="243"/>
      <c r="AB1371" s="243"/>
      <c r="AC1371" s="243"/>
      <c r="AD1371" s="243"/>
      <c r="AE1371" s="243"/>
      <c r="AF1371" s="243"/>
      <c r="AG1371" s="243"/>
      <c r="AH1371" s="243"/>
      <c r="AI1371" s="243"/>
      <c r="AJ1371" s="243"/>
    </row>
    <row r="1372" hidden="1">
      <c r="A1372" s="241"/>
      <c r="B1372" s="241"/>
      <c r="C1372" s="241"/>
      <c r="D1372" s="241"/>
      <c r="E1372" s="241"/>
      <c r="F1372" s="241"/>
      <c r="G1372" s="241"/>
      <c r="H1372" s="241"/>
      <c r="I1372" s="241"/>
      <c r="J1372" s="241"/>
      <c r="K1372" s="241"/>
      <c r="L1372" s="242"/>
      <c r="M1372" s="241"/>
      <c r="N1372" s="241"/>
      <c r="O1372" s="241"/>
      <c r="P1372" s="241"/>
      <c r="Q1372" s="241"/>
      <c r="R1372" s="241"/>
      <c r="S1372" s="241"/>
      <c r="T1372" s="241"/>
      <c r="U1372" s="241"/>
      <c r="V1372" s="241"/>
      <c r="W1372" s="241"/>
      <c r="X1372" s="243"/>
      <c r="Y1372" s="243"/>
      <c r="Z1372" s="243"/>
      <c r="AA1372" s="243"/>
      <c r="AB1372" s="243"/>
      <c r="AC1372" s="243"/>
      <c r="AD1372" s="243"/>
      <c r="AE1372" s="243"/>
      <c r="AF1372" s="243"/>
      <c r="AG1372" s="243"/>
      <c r="AH1372" s="243"/>
      <c r="AI1372" s="243"/>
      <c r="AJ1372" s="243"/>
    </row>
    <row r="1373" hidden="1">
      <c r="A1373" s="241"/>
      <c r="B1373" s="241"/>
      <c r="C1373" s="241"/>
      <c r="D1373" s="241"/>
      <c r="E1373" s="241"/>
      <c r="F1373" s="241"/>
      <c r="G1373" s="241"/>
      <c r="H1373" s="241"/>
      <c r="I1373" s="241"/>
      <c r="J1373" s="241"/>
      <c r="K1373" s="241"/>
      <c r="L1373" s="242"/>
      <c r="M1373" s="241"/>
      <c r="N1373" s="241"/>
      <c r="O1373" s="241"/>
      <c r="P1373" s="241"/>
      <c r="Q1373" s="241"/>
      <c r="R1373" s="241"/>
      <c r="S1373" s="241"/>
      <c r="T1373" s="241"/>
      <c r="U1373" s="241"/>
      <c r="V1373" s="241"/>
      <c r="W1373" s="241"/>
      <c r="X1373" s="243"/>
      <c r="Y1373" s="243"/>
      <c r="Z1373" s="243"/>
      <c r="AA1373" s="243"/>
      <c r="AB1373" s="243"/>
      <c r="AC1373" s="243"/>
      <c r="AD1373" s="243"/>
      <c r="AE1373" s="243"/>
      <c r="AF1373" s="243"/>
      <c r="AG1373" s="243"/>
      <c r="AH1373" s="243"/>
      <c r="AI1373" s="243"/>
      <c r="AJ1373" s="243"/>
    </row>
    <row r="1374" hidden="1">
      <c r="A1374" s="241"/>
      <c r="B1374" s="241"/>
      <c r="C1374" s="241"/>
      <c r="D1374" s="241"/>
      <c r="E1374" s="241"/>
      <c r="F1374" s="241"/>
      <c r="G1374" s="241"/>
      <c r="H1374" s="241"/>
      <c r="I1374" s="241"/>
      <c r="J1374" s="241"/>
      <c r="K1374" s="241"/>
      <c r="L1374" s="242"/>
      <c r="M1374" s="241"/>
      <c r="N1374" s="241"/>
      <c r="O1374" s="241"/>
      <c r="P1374" s="241"/>
      <c r="Q1374" s="241"/>
      <c r="R1374" s="241"/>
      <c r="S1374" s="241"/>
      <c r="T1374" s="241"/>
      <c r="U1374" s="241"/>
      <c r="V1374" s="241"/>
      <c r="W1374" s="241"/>
      <c r="X1374" s="243"/>
      <c r="Y1374" s="243"/>
      <c r="Z1374" s="243"/>
      <c r="AA1374" s="243"/>
      <c r="AB1374" s="243"/>
      <c r="AC1374" s="243"/>
      <c r="AD1374" s="243"/>
      <c r="AE1374" s="243"/>
      <c r="AF1374" s="243"/>
      <c r="AG1374" s="243"/>
      <c r="AH1374" s="243"/>
      <c r="AI1374" s="243"/>
      <c r="AJ1374" s="243"/>
    </row>
    <row r="1375" hidden="1">
      <c r="A1375" s="241"/>
      <c r="B1375" s="241"/>
      <c r="C1375" s="241"/>
      <c r="D1375" s="241"/>
      <c r="E1375" s="241"/>
      <c r="F1375" s="241"/>
      <c r="G1375" s="241"/>
      <c r="H1375" s="241"/>
      <c r="I1375" s="241"/>
      <c r="J1375" s="241"/>
      <c r="K1375" s="241"/>
      <c r="L1375" s="242"/>
      <c r="M1375" s="241"/>
      <c r="N1375" s="241"/>
      <c r="O1375" s="241"/>
      <c r="P1375" s="241"/>
      <c r="Q1375" s="241"/>
      <c r="R1375" s="241"/>
      <c r="S1375" s="241"/>
      <c r="T1375" s="241"/>
      <c r="U1375" s="241"/>
      <c r="V1375" s="241"/>
      <c r="W1375" s="241"/>
      <c r="X1375" s="243"/>
      <c r="Y1375" s="243"/>
      <c r="Z1375" s="243"/>
      <c r="AA1375" s="243"/>
      <c r="AB1375" s="243"/>
      <c r="AC1375" s="243"/>
      <c r="AD1375" s="243"/>
      <c r="AE1375" s="243"/>
      <c r="AF1375" s="243"/>
      <c r="AG1375" s="243"/>
      <c r="AH1375" s="243"/>
      <c r="AI1375" s="243"/>
      <c r="AJ1375" s="243"/>
    </row>
    <row r="1376" hidden="1">
      <c r="A1376" s="241"/>
      <c r="B1376" s="241"/>
      <c r="C1376" s="241"/>
      <c r="D1376" s="241"/>
      <c r="E1376" s="241"/>
      <c r="F1376" s="241"/>
      <c r="G1376" s="241"/>
      <c r="H1376" s="241"/>
      <c r="I1376" s="241"/>
      <c r="J1376" s="241"/>
      <c r="K1376" s="241"/>
      <c r="L1376" s="242"/>
      <c r="M1376" s="241"/>
      <c r="N1376" s="241"/>
      <c r="O1376" s="241"/>
      <c r="P1376" s="241"/>
      <c r="Q1376" s="241"/>
      <c r="R1376" s="241"/>
      <c r="S1376" s="241"/>
      <c r="T1376" s="241"/>
      <c r="U1376" s="241"/>
      <c r="V1376" s="241"/>
      <c r="W1376" s="241"/>
      <c r="X1376" s="243"/>
      <c r="Y1376" s="243"/>
      <c r="Z1376" s="243"/>
      <c r="AA1376" s="243"/>
      <c r="AB1376" s="243"/>
      <c r="AC1376" s="243"/>
      <c r="AD1376" s="243"/>
      <c r="AE1376" s="243"/>
      <c r="AF1376" s="243"/>
      <c r="AG1376" s="243"/>
      <c r="AH1376" s="243"/>
      <c r="AI1376" s="243"/>
      <c r="AJ1376" s="243"/>
    </row>
    <row r="1377" hidden="1">
      <c r="A1377" s="241"/>
      <c r="B1377" s="241"/>
      <c r="C1377" s="241"/>
      <c r="D1377" s="241"/>
      <c r="E1377" s="241"/>
      <c r="F1377" s="241"/>
      <c r="G1377" s="241"/>
      <c r="H1377" s="241"/>
      <c r="I1377" s="241"/>
      <c r="J1377" s="241"/>
      <c r="K1377" s="241"/>
      <c r="L1377" s="242"/>
      <c r="M1377" s="241"/>
      <c r="N1377" s="241"/>
      <c r="O1377" s="241"/>
      <c r="P1377" s="241"/>
      <c r="Q1377" s="241"/>
      <c r="R1377" s="241"/>
      <c r="S1377" s="241"/>
      <c r="T1377" s="241"/>
      <c r="U1377" s="241"/>
      <c r="V1377" s="241"/>
      <c r="W1377" s="241"/>
      <c r="X1377" s="243"/>
      <c r="Y1377" s="243"/>
      <c r="Z1377" s="243"/>
      <c r="AA1377" s="243"/>
      <c r="AB1377" s="243"/>
      <c r="AC1377" s="243"/>
      <c r="AD1377" s="243"/>
      <c r="AE1377" s="243"/>
      <c r="AF1377" s="243"/>
      <c r="AG1377" s="243"/>
      <c r="AH1377" s="243"/>
      <c r="AI1377" s="243"/>
      <c r="AJ1377" s="243"/>
    </row>
    <row r="1378" hidden="1">
      <c r="A1378" s="241"/>
      <c r="B1378" s="241"/>
      <c r="C1378" s="241"/>
      <c r="D1378" s="241"/>
      <c r="E1378" s="241"/>
      <c r="F1378" s="241"/>
      <c r="G1378" s="241"/>
      <c r="H1378" s="241"/>
      <c r="I1378" s="241"/>
      <c r="J1378" s="241"/>
      <c r="K1378" s="241"/>
      <c r="L1378" s="242"/>
      <c r="M1378" s="241"/>
      <c r="N1378" s="241"/>
      <c r="O1378" s="241"/>
      <c r="P1378" s="241"/>
      <c r="Q1378" s="241"/>
      <c r="R1378" s="241"/>
      <c r="S1378" s="241"/>
      <c r="T1378" s="241"/>
      <c r="U1378" s="241"/>
      <c r="V1378" s="241"/>
      <c r="W1378" s="241"/>
      <c r="X1378" s="243"/>
      <c r="Y1378" s="243"/>
      <c r="Z1378" s="243"/>
      <c r="AA1378" s="243"/>
      <c r="AB1378" s="243"/>
      <c r="AC1378" s="243"/>
      <c r="AD1378" s="243"/>
      <c r="AE1378" s="243"/>
      <c r="AF1378" s="243"/>
      <c r="AG1378" s="243"/>
      <c r="AH1378" s="243"/>
      <c r="AI1378" s="243"/>
      <c r="AJ1378" s="243"/>
    </row>
    <row r="1379" hidden="1">
      <c r="A1379" s="241"/>
      <c r="B1379" s="241"/>
      <c r="C1379" s="241"/>
      <c r="D1379" s="241"/>
      <c r="E1379" s="241"/>
      <c r="F1379" s="241"/>
      <c r="G1379" s="241"/>
      <c r="H1379" s="241"/>
      <c r="I1379" s="241"/>
      <c r="J1379" s="241"/>
      <c r="K1379" s="241"/>
      <c r="L1379" s="242"/>
      <c r="M1379" s="241"/>
      <c r="N1379" s="241"/>
      <c r="O1379" s="241"/>
      <c r="P1379" s="241"/>
      <c r="Q1379" s="241"/>
      <c r="R1379" s="241"/>
      <c r="S1379" s="241"/>
      <c r="T1379" s="241"/>
      <c r="U1379" s="241"/>
      <c r="V1379" s="241"/>
      <c r="W1379" s="241"/>
      <c r="X1379" s="243"/>
      <c r="Y1379" s="243"/>
      <c r="Z1379" s="243"/>
      <c r="AA1379" s="243"/>
      <c r="AB1379" s="243"/>
      <c r="AC1379" s="243"/>
      <c r="AD1379" s="243"/>
      <c r="AE1379" s="243"/>
      <c r="AF1379" s="243"/>
      <c r="AG1379" s="243"/>
      <c r="AH1379" s="243"/>
      <c r="AI1379" s="243"/>
      <c r="AJ1379" s="243"/>
    </row>
    <row r="1380" hidden="1">
      <c r="A1380" s="241"/>
      <c r="B1380" s="241"/>
      <c r="C1380" s="241"/>
      <c r="D1380" s="241"/>
      <c r="E1380" s="241"/>
      <c r="F1380" s="241"/>
      <c r="G1380" s="241"/>
      <c r="H1380" s="241"/>
      <c r="I1380" s="241"/>
      <c r="J1380" s="241"/>
      <c r="K1380" s="241"/>
      <c r="L1380" s="242"/>
      <c r="M1380" s="241"/>
      <c r="N1380" s="241"/>
      <c r="O1380" s="241"/>
      <c r="P1380" s="241"/>
      <c r="Q1380" s="241"/>
      <c r="R1380" s="241"/>
      <c r="S1380" s="241"/>
      <c r="T1380" s="241"/>
      <c r="U1380" s="241"/>
      <c r="V1380" s="241"/>
      <c r="W1380" s="241"/>
      <c r="X1380" s="243"/>
      <c r="Y1380" s="243"/>
      <c r="Z1380" s="243"/>
      <c r="AA1380" s="243"/>
      <c r="AB1380" s="243"/>
      <c r="AC1380" s="243"/>
      <c r="AD1380" s="243"/>
      <c r="AE1380" s="243"/>
      <c r="AF1380" s="243"/>
      <c r="AG1380" s="243"/>
      <c r="AH1380" s="243"/>
      <c r="AI1380" s="243"/>
      <c r="AJ1380" s="243"/>
    </row>
    <row r="1381" hidden="1">
      <c r="A1381" s="241"/>
      <c r="B1381" s="241"/>
      <c r="C1381" s="241"/>
      <c r="D1381" s="241"/>
      <c r="E1381" s="241"/>
      <c r="F1381" s="241"/>
      <c r="G1381" s="241"/>
      <c r="H1381" s="241"/>
      <c r="I1381" s="241"/>
      <c r="J1381" s="241"/>
      <c r="K1381" s="241"/>
      <c r="L1381" s="242"/>
      <c r="M1381" s="241"/>
      <c r="N1381" s="241"/>
      <c r="O1381" s="241"/>
      <c r="P1381" s="241"/>
      <c r="Q1381" s="241"/>
      <c r="R1381" s="241"/>
      <c r="S1381" s="241"/>
      <c r="T1381" s="241"/>
      <c r="U1381" s="241"/>
      <c r="V1381" s="241"/>
      <c r="W1381" s="241"/>
      <c r="X1381" s="243"/>
      <c r="Y1381" s="243"/>
      <c r="Z1381" s="243"/>
      <c r="AA1381" s="243"/>
      <c r="AB1381" s="243"/>
      <c r="AC1381" s="243"/>
      <c r="AD1381" s="243"/>
      <c r="AE1381" s="243"/>
      <c r="AF1381" s="243"/>
      <c r="AG1381" s="243"/>
      <c r="AH1381" s="243"/>
      <c r="AI1381" s="243"/>
      <c r="AJ1381" s="243"/>
    </row>
    <row r="1382" hidden="1">
      <c r="A1382" s="241"/>
      <c r="B1382" s="241"/>
      <c r="C1382" s="241"/>
      <c r="D1382" s="241"/>
      <c r="E1382" s="241"/>
      <c r="F1382" s="241"/>
      <c r="G1382" s="241"/>
      <c r="H1382" s="241"/>
      <c r="I1382" s="241"/>
      <c r="J1382" s="241"/>
      <c r="K1382" s="241"/>
      <c r="L1382" s="242"/>
      <c r="M1382" s="241"/>
      <c r="N1382" s="241"/>
      <c r="O1382" s="241"/>
      <c r="P1382" s="241"/>
      <c r="Q1382" s="241"/>
      <c r="R1382" s="241"/>
      <c r="S1382" s="241"/>
      <c r="T1382" s="241"/>
      <c r="U1382" s="241"/>
      <c r="V1382" s="241"/>
      <c r="W1382" s="241"/>
      <c r="X1382" s="243"/>
      <c r="Y1382" s="243"/>
      <c r="Z1382" s="243"/>
      <c r="AA1382" s="243"/>
      <c r="AB1382" s="243"/>
      <c r="AC1382" s="243"/>
      <c r="AD1382" s="243"/>
      <c r="AE1382" s="243"/>
      <c r="AF1382" s="243"/>
      <c r="AG1382" s="243"/>
      <c r="AH1382" s="243"/>
      <c r="AI1382" s="243"/>
      <c r="AJ1382" s="243"/>
    </row>
    <row r="1383" hidden="1">
      <c r="A1383" s="241"/>
      <c r="B1383" s="241"/>
      <c r="C1383" s="241"/>
      <c r="D1383" s="241"/>
      <c r="E1383" s="241"/>
      <c r="F1383" s="241"/>
      <c r="G1383" s="241"/>
      <c r="H1383" s="241"/>
      <c r="I1383" s="241"/>
      <c r="J1383" s="241"/>
      <c r="K1383" s="241"/>
      <c r="L1383" s="242"/>
      <c r="M1383" s="241"/>
      <c r="N1383" s="241"/>
      <c r="O1383" s="241"/>
      <c r="P1383" s="241"/>
      <c r="Q1383" s="241"/>
      <c r="R1383" s="241"/>
      <c r="S1383" s="241"/>
      <c r="T1383" s="241"/>
      <c r="U1383" s="241"/>
      <c r="V1383" s="241"/>
      <c r="W1383" s="241"/>
      <c r="X1383" s="243"/>
      <c r="Y1383" s="243"/>
      <c r="Z1383" s="243"/>
      <c r="AA1383" s="243"/>
      <c r="AB1383" s="243"/>
      <c r="AC1383" s="243"/>
      <c r="AD1383" s="243"/>
      <c r="AE1383" s="243"/>
      <c r="AF1383" s="243"/>
      <c r="AG1383" s="243"/>
      <c r="AH1383" s="243"/>
      <c r="AI1383" s="243"/>
      <c r="AJ1383" s="243"/>
    </row>
    <row r="1384" hidden="1">
      <c r="A1384" s="241"/>
      <c r="B1384" s="241"/>
      <c r="C1384" s="241"/>
      <c r="D1384" s="241"/>
      <c r="E1384" s="241"/>
      <c r="F1384" s="241"/>
      <c r="G1384" s="241"/>
      <c r="H1384" s="241"/>
      <c r="I1384" s="241"/>
      <c r="J1384" s="241"/>
      <c r="K1384" s="241"/>
      <c r="L1384" s="242"/>
      <c r="M1384" s="241"/>
      <c r="N1384" s="241"/>
      <c r="O1384" s="241"/>
      <c r="P1384" s="241"/>
      <c r="Q1384" s="241"/>
      <c r="R1384" s="241"/>
      <c r="S1384" s="241"/>
      <c r="T1384" s="241"/>
      <c r="U1384" s="241"/>
      <c r="V1384" s="241"/>
      <c r="W1384" s="241"/>
      <c r="X1384" s="243"/>
      <c r="Y1384" s="243"/>
      <c r="Z1384" s="243"/>
      <c r="AA1384" s="243"/>
      <c r="AB1384" s="243"/>
      <c r="AC1384" s="243"/>
      <c r="AD1384" s="243"/>
      <c r="AE1384" s="243"/>
      <c r="AF1384" s="243"/>
      <c r="AG1384" s="243"/>
      <c r="AH1384" s="243"/>
      <c r="AI1384" s="243"/>
      <c r="AJ1384" s="243"/>
    </row>
    <row r="1385" hidden="1">
      <c r="A1385" s="241"/>
      <c r="B1385" s="241"/>
      <c r="C1385" s="241"/>
      <c r="D1385" s="241"/>
      <c r="E1385" s="241"/>
      <c r="F1385" s="241"/>
      <c r="G1385" s="241"/>
      <c r="H1385" s="241"/>
      <c r="I1385" s="241"/>
      <c r="J1385" s="241"/>
      <c r="K1385" s="241"/>
      <c r="L1385" s="242"/>
      <c r="M1385" s="241"/>
      <c r="N1385" s="241"/>
      <c r="O1385" s="241"/>
      <c r="P1385" s="241"/>
      <c r="Q1385" s="241"/>
      <c r="R1385" s="241"/>
      <c r="S1385" s="241"/>
      <c r="T1385" s="241"/>
      <c r="U1385" s="241"/>
      <c r="V1385" s="241"/>
      <c r="W1385" s="241"/>
      <c r="X1385" s="243"/>
      <c r="Y1385" s="243"/>
      <c r="Z1385" s="243"/>
      <c r="AA1385" s="243"/>
      <c r="AB1385" s="243"/>
      <c r="AC1385" s="243"/>
      <c r="AD1385" s="243"/>
      <c r="AE1385" s="243"/>
      <c r="AF1385" s="243"/>
      <c r="AG1385" s="243"/>
      <c r="AH1385" s="243"/>
      <c r="AI1385" s="243"/>
      <c r="AJ1385" s="243"/>
    </row>
    <row r="1386" hidden="1">
      <c r="A1386" s="241"/>
      <c r="B1386" s="241"/>
      <c r="C1386" s="241"/>
      <c r="D1386" s="241"/>
      <c r="E1386" s="241"/>
      <c r="F1386" s="241"/>
      <c r="G1386" s="241"/>
      <c r="H1386" s="241"/>
      <c r="I1386" s="241"/>
      <c r="J1386" s="241"/>
      <c r="K1386" s="241"/>
      <c r="L1386" s="242"/>
      <c r="M1386" s="241"/>
      <c r="N1386" s="241"/>
      <c r="O1386" s="241"/>
      <c r="P1386" s="241"/>
      <c r="Q1386" s="241"/>
      <c r="R1386" s="241"/>
      <c r="S1386" s="241"/>
      <c r="T1386" s="241"/>
      <c r="U1386" s="241"/>
      <c r="V1386" s="241"/>
      <c r="W1386" s="241"/>
      <c r="X1386" s="243"/>
      <c r="Y1386" s="243"/>
      <c r="Z1386" s="243"/>
      <c r="AA1386" s="243"/>
      <c r="AB1386" s="243"/>
      <c r="AC1386" s="243"/>
      <c r="AD1386" s="243"/>
      <c r="AE1386" s="243"/>
      <c r="AF1386" s="243"/>
      <c r="AG1386" s="243"/>
      <c r="AH1386" s="243"/>
      <c r="AI1386" s="243"/>
      <c r="AJ1386" s="243"/>
    </row>
    <row r="1387" hidden="1">
      <c r="A1387" s="241"/>
      <c r="B1387" s="241"/>
      <c r="C1387" s="241"/>
      <c r="D1387" s="241"/>
      <c r="E1387" s="241"/>
      <c r="F1387" s="241"/>
      <c r="G1387" s="241"/>
      <c r="H1387" s="241"/>
      <c r="I1387" s="241"/>
      <c r="J1387" s="241"/>
      <c r="K1387" s="241"/>
      <c r="L1387" s="242"/>
      <c r="M1387" s="241"/>
      <c r="N1387" s="241"/>
      <c r="O1387" s="241"/>
      <c r="P1387" s="241"/>
      <c r="Q1387" s="241"/>
      <c r="R1387" s="241"/>
      <c r="S1387" s="241"/>
      <c r="T1387" s="241"/>
      <c r="U1387" s="241"/>
      <c r="V1387" s="241"/>
      <c r="W1387" s="241"/>
      <c r="X1387" s="243"/>
      <c r="Y1387" s="243"/>
      <c r="Z1387" s="243"/>
      <c r="AA1387" s="243"/>
      <c r="AB1387" s="243"/>
      <c r="AC1387" s="243"/>
      <c r="AD1387" s="243"/>
      <c r="AE1387" s="243"/>
      <c r="AF1387" s="243"/>
      <c r="AG1387" s="243"/>
      <c r="AH1387" s="243"/>
      <c r="AI1387" s="243"/>
      <c r="AJ1387" s="243"/>
    </row>
    <row r="1388" hidden="1">
      <c r="A1388" s="241"/>
      <c r="B1388" s="241"/>
      <c r="C1388" s="241"/>
      <c r="D1388" s="241"/>
      <c r="E1388" s="241"/>
      <c r="F1388" s="241"/>
      <c r="G1388" s="241"/>
      <c r="H1388" s="241"/>
      <c r="I1388" s="241"/>
      <c r="J1388" s="241"/>
      <c r="K1388" s="241"/>
      <c r="L1388" s="242"/>
      <c r="M1388" s="241"/>
      <c r="N1388" s="241"/>
      <c r="O1388" s="241"/>
      <c r="P1388" s="241"/>
      <c r="Q1388" s="241"/>
      <c r="R1388" s="241"/>
      <c r="S1388" s="241"/>
      <c r="T1388" s="241"/>
      <c r="U1388" s="241"/>
      <c r="V1388" s="241"/>
      <c r="W1388" s="241"/>
      <c r="X1388" s="243"/>
      <c r="Y1388" s="243"/>
      <c r="Z1388" s="243"/>
      <c r="AA1388" s="243"/>
      <c r="AB1388" s="243"/>
      <c r="AC1388" s="243"/>
      <c r="AD1388" s="243"/>
      <c r="AE1388" s="243"/>
      <c r="AF1388" s="243"/>
      <c r="AG1388" s="243"/>
      <c r="AH1388" s="243"/>
      <c r="AI1388" s="243"/>
      <c r="AJ1388" s="243"/>
    </row>
    <row r="1389" hidden="1">
      <c r="A1389" s="241"/>
      <c r="B1389" s="241"/>
      <c r="C1389" s="241"/>
      <c r="D1389" s="241"/>
      <c r="E1389" s="241"/>
      <c r="F1389" s="241"/>
      <c r="G1389" s="241"/>
      <c r="H1389" s="241"/>
      <c r="I1389" s="241"/>
      <c r="J1389" s="241"/>
      <c r="K1389" s="241"/>
      <c r="L1389" s="242"/>
      <c r="M1389" s="241"/>
      <c r="N1389" s="241"/>
      <c r="O1389" s="241"/>
      <c r="P1389" s="241"/>
      <c r="Q1389" s="241"/>
      <c r="R1389" s="241"/>
      <c r="S1389" s="241"/>
      <c r="T1389" s="241"/>
      <c r="U1389" s="241"/>
      <c r="V1389" s="241"/>
      <c r="W1389" s="241"/>
      <c r="X1389" s="243"/>
      <c r="Y1389" s="243"/>
      <c r="Z1389" s="243"/>
      <c r="AA1389" s="243"/>
      <c r="AB1389" s="243"/>
      <c r="AC1389" s="243"/>
      <c r="AD1389" s="243"/>
      <c r="AE1389" s="243"/>
      <c r="AF1389" s="243"/>
      <c r="AG1389" s="243"/>
      <c r="AH1389" s="243"/>
      <c r="AI1389" s="243"/>
      <c r="AJ1389" s="243"/>
    </row>
    <row r="1390" hidden="1">
      <c r="A1390" s="241"/>
      <c r="B1390" s="241"/>
      <c r="C1390" s="241"/>
      <c r="D1390" s="241"/>
      <c r="E1390" s="241"/>
      <c r="F1390" s="241"/>
      <c r="G1390" s="241"/>
      <c r="H1390" s="241"/>
      <c r="I1390" s="241"/>
      <c r="J1390" s="241"/>
      <c r="K1390" s="241"/>
      <c r="L1390" s="242"/>
      <c r="M1390" s="241"/>
      <c r="N1390" s="241"/>
      <c r="O1390" s="241"/>
      <c r="P1390" s="241"/>
      <c r="Q1390" s="241"/>
      <c r="R1390" s="241"/>
      <c r="S1390" s="241"/>
      <c r="T1390" s="241"/>
      <c r="U1390" s="241"/>
      <c r="V1390" s="241"/>
      <c r="W1390" s="241"/>
      <c r="X1390" s="243"/>
      <c r="Y1390" s="243"/>
      <c r="Z1390" s="243"/>
      <c r="AA1390" s="243"/>
      <c r="AB1390" s="243"/>
      <c r="AC1390" s="243"/>
      <c r="AD1390" s="243"/>
      <c r="AE1390" s="243"/>
      <c r="AF1390" s="243"/>
      <c r="AG1390" s="243"/>
      <c r="AH1390" s="243"/>
      <c r="AI1390" s="243"/>
      <c r="AJ1390" s="243"/>
    </row>
    <row r="1391" hidden="1">
      <c r="A1391" s="241"/>
      <c r="B1391" s="241"/>
      <c r="C1391" s="241"/>
      <c r="D1391" s="241"/>
      <c r="E1391" s="241"/>
      <c r="F1391" s="241"/>
      <c r="G1391" s="241"/>
      <c r="H1391" s="241"/>
      <c r="I1391" s="241"/>
      <c r="J1391" s="241"/>
      <c r="K1391" s="241"/>
      <c r="L1391" s="242"/>
      <c r="M1391" s="241"/>
      <c r="N1391" s="241"/>
      <c r="O1391" s="241"/>
      <c r="P1391" s="241"/>
      <c r="Q1391" s="241"/>
      <c r="R1391" s="241"/>
      <c r="S1391" s="241"/>
      <c r="T1391" s="241"/>
      <c r="U1391" s="241"/>
      <c r="V1391" s="241"/>
      <c r="W1391" s="241"/>
      <c r="X1391" s="243"/>
      <c r="Y1391" s="243"/>
      <c r="Z1391" s="243"/>
      <c r="AA1391" s="243"/>
      <c r="AB1391" s="243"/>
      <c r="AC1391" s="243"/>
      <c r="AD1391" s="243"/>
      <c r="AE1391" s="243"/>
      <c r="AF1391" s="243"/>
      <c r="AG1391" s="243"/>
      <c r="AH1391" s="243"/>
      <c r="AI1391" s="243"/>
      <c r="AJ1391" s="243"/>
    </row>
    <row r="1392" hidden="1">
      <c r="A1392" s="241"/>
      <c r="B1392" s="241"/>
      <c r="C1392" s="241"/>
      <c r="D1392" s="241"/>
      <c r="E1392" s="241"/>
      <c r="F1392" s="241"/>
      <c r="G1392" s="241"/>
      <c r="H1392" s="241"/>
      <c r="I1392" s="241"/>
      <c r="J1392" s="241"/>
      <c r="K1392" s="241"/>
      <c r="L1392" s="242"/>
      <c r="M1392" s="241"/>
      <c r="N1392" s="241"/>
      <c r="O1392" s="241"/>
      <c r="P1392" s="241"/>
      <c r="Q1392" s="241"/>
      <c r="R1392" s="241"/>
      <c r="S1392" s="241"/>
      <c r="T1392" s="241"/>
      <c r="U1392" s="241"/>
      <c r="V1392" s="241"/>
      <c r="W1392" s="241"/>
      <c r="X1392" s="243"/>
      <c r="Y1392" s="243"/>
      <c r="Z1392" s="243"/>
      <c r="AA1392" s="243"/>
      <c r="AB1392" s="243"/>
      <c r="AC1392" s="243"/>
      <c r="AD1392" s="243"/>
      <c r="AE1392" s="243"/>
      <c r="AF1392" s="243"/>
      <c r="AG1392" s="243"/>
      <c r="AH1392" s="243"/>
      <c r="AI1392" s="243"/>
      <c r="AJ1392" s="243"/>
    </row>
    <row r="1393" hidden="1">
      <c r="A1393" s="241"/>
      <c r="B1393" s="241"/>
      <c r="C1393" s="241"/>
      <c r="D1393" s="241"/>
      <c r="E1393" s="241"/>
      <c r="F1393" s="241"/>
      <c r="G1393" s="241"/>
      <c r="H1393" s="241"/>
      <c r="I1393" s="241"/>
      <c r="J1393" s="241"/>
      <c r="K1393" s="241"/>
      <c r="L1393" s="242"/>
      <c r="M1393" s="241"/>
      <c r="N1393" s="241"/>
      <c r="O1393" s="241"/>
      <c r="P1393" s="241"/>
      <c r="Q1393" s="241"/>
      <c r="R1393" s="241"/>
      <c r="S1393" s="241"/>
      <c r="T1393" s="241"/>
      <c r="U1393" s="241"/>
      <c r="V1393" s="241"/>
      <c r="W1393" s="241"/>
      <c r="X1393" s="243"/>
      <c r="Y1393" s="243"/>
      <c r="Z1393" s="243"/>
      <c r="AA1393" s="243"/>
      <c r="AB1393" s="243"/>
      <c r="AC1393" s="243"/>
      <c r="AD1393" s="243"/>
      <c r="AE1393" s="243"/>
      <c r="AF1393" s="243"/>
      <c r="AG1393" s="243"/>
      <c r="AH1393" s="243"/>
      <c r="AI1393" s="243"/>
      <c r="AJ1393" s="243"/>
    </row>
    <row r="1394" hidden="1">
      <c r="A1394" s="241"/>
      <c r="B1394" s="241"/>
      <c r="C1394" s="241"/>
      <c r="D1394" s="241"/>
      <c r="E1394" s="241"/>
      <c r="F1394" s="241"/>
      <c r="G1394" s="241"/>
      <c r="H1394" s="241"/>
      <c r="I1394" s="241"/>
      <c r="J1394" s="241"/>
      <c r="K1394" s="241"/>
      <c r="L1394" s="242"/>
      <c r="M1394" s="241"/>
      <c r="N1394" s="241"/>
      <c r="O1394" s="241"/>
      <c r="P1394" s="241"/>
      <c r="Q1394" s="241"/>
      <c r="R1394" s="241"/>
      <c r="S1394" s="241"/>
      <c r="T1394" s="241"/>
      <c r="U1394" s="241"/>
      <c r="V1394" s="241"/>
      <c r="W1394" s="241"/>
      <c r="X1394" s="243"/>
      <c r="Y1394" s="243"/>
      <c r="Z1394" s="243"/>
      <c r="AA1394" s="243"/>
      <c r="AB1394" s="243"/>
      <c r="AC1394" s="243"/>
      <c r="AD1394" s="243"/>
      <c r="AE1394" s="243"/>
      <c r="AF1394" s="243"/>
      <c r="AG1394" s="243"/>
      <c r="AH1394" s="243"/>
      <c r="AI1394" s="243"/>
      <c r="AJ1394" s="243"/>
    </row>
    <row r="1395" hidden="1">
      <c r="A1395" s="241"/>
      <c r="B1395" s="241"/>
      <c r="C1395" s="241"/>
      <c r="D1395" s="241"/>
      <c r="E1395" s="241"/>
      <c r="F1395" s="241"/>
      <c r="G1395" s="241"/>
      <c r="H1395" s="241"/>
      <c r="I1395" s="241"/>
      <c r="J1395" s="241"/>
      <c r="K1395" s="241"/>
      <c r="L1395" s="242"/>
      <c r="M1395" s="241"/>
      <c r="N1395" s="241"/>
      <c r="O1395" s="241"/>
      <c r="P1395" s="241"/>
      <c r="Q1395" s="241"/>
      <c r="R1395" s="241"/>
      <c r="S1395" s="241"/>
      <c r="T1395" s="241"/>
      <c r="U1395" s="241"/>
      <c r="V1395" s="241"/>
      <c r="W1395" s="241"/>
      <c r="X1395" s="243"/>
      <c r="Y1395" s="243"/>
      <c r="Z1395" s="243"/>
      <c r="AA1395" s="243"/>
      <c r="AB1395" s="243"/>
      <c r="AC1395" s="243"/>
      <c r="AD1395" s="243"/>
      <c r="AE1395" s="243"/>
      <c r="AF1395" s="243"/>
      <c r="AG1395" s="243"/>
      <c r="AH1395" s="243"/>
      <c r="AI1395" s="243"/>
      <c r="AJ1395" s="243"/>
    </row>
    <row r="1396" hidden="1">
      <c r="A1396" s="241"/>
      <c r="B1396" s="241"/>
      <c r="C1396" s="241"/>
      <c r="D1396" s="241"/>
      <c r="E1396" s="241"/>
      <c r="F1396" s="241"/>
      <c r="G1396" s="241"/>
      <c r="H1396" s="241"/>
      <c r="I1396" s="241"/>
      <c r="J1396" s="241"/>
      <c r="K1396" s="241"/>
      <c r="L1396" s="242"/>
      <c r="M1396" s="241"/>
      <c r="N1396" s="241"/>
      <c r="O1396" s="241"/>
      <c r="P1396" s="241"/>
      <c r="Q1396" s="241"/>
      <c r="R1396" s="241"/>
      <c r="S1396" s="241"/>
      <c r="T1396" s="241"/>
      <c r="U1396" s="241"/>
      <c r="V1396" s="241"/>
      <c r="W1396" s="241"/>
      <c r="X1396" s="243"/>
      <c r="Y1396" s="243"/>
      <c r="Z1396" s="243"/>
      <c r="AA1396" s="243"/>
      <c r="AB1396" s="243"/>
      <c r="AC1396" s="243"/>
      <c r="AD1396" s="243"/>
      <c r="AE1396" s="243"/>
      <c r="AF1396" s="243"/>
      <c r="AG1396" s="243"/>
      <c r="AH1396" s="243"/>
      <c r="AI1396" s="243"/>
      <c r="AJ1396" s="243"/>
    </row>
    <row r="1397" hidden="1">
      <c r="A1397" s="241"/>
      <c r="B1397" s="241"/>
      <c r="C1397" s="241"/>
      <c r="D1397" s="241"/>
      <c r="E1397" s="241"/>
      <c r="F1397" s="241"/>
      <c r="G1397" s="241"/>
      <c r="H1397" s="241"/>
      <c r="I1397" s="241"/>
      <c r="J1397" s="241"/>
      <c r="K1397" s="241"/>
      <c r="L1397" s="242"/>
      <c r="M1397" s="241"/>
      <c r="N1397" s="241"/>
      <c r="O1397" s="241"/>
      <c r="P1397" s="241"/>
      <c r="Q1397" s="241"/>
      <c r="R1397" s="241"/>
      <c r="S1397" s="241"/>
      <c r="T1397" s="241"/>
      <c r="U1397" s="241"/>
      <c r="V1397" s="241"/>
      <c r="W1397" s="241"/>
      <c r="X1397" s="243"/>
      <c r="Y1397" s="243"/>
      <c r="Z1397" s="243"/>
      <c r="AA1397" s="243"/>
      <c r="AB1397" s="243"/>
      <c r="AC1397" s="243"/>
      <c r="AD1397" s="243"/>
      <c r="AE1397" s="243"/>
      <c r="AF1397" s="243"/>
      <c r="AG1397" s="243"/>
      <c r="AH1397" s="243"/>
      <c r="AI1397" s="243"/>
      <c r="AJ1397" s="243"/>
    </row>
    <row r="1398" hidden="1">
      <c r="A1398" s="241"/>
      <c r="B1398" s="241"/>
      <c r="C1398" s="241"/>
      <c r="D1398" s="241"/>
      <c r="E1398" s="241"/>
      <c r="F1398" s="241"/>
      <c r="G1398" s="241"/>
      <c r="H1398" s="241"/>
      <c r="I1398" s="241"/>
      <c r="J1398" s="241"/>
      <c r="K1398" s="241"/>
      <c r="L1398" s="242"/>
      <c r="M1398" s="241"/>
      <c r="N1398" s="241"/>
      <c r="O1398" s="241"/>
      <c r="P1398" s="241"/>
      <c r="Q1398" s="241"/>
      <c r="R1398" s="241"/>
      <c r="S1398" s="241"/>
      <c r="T1398" s="241"/>
      <c r="U1398" s="241"/>
      <c r="V1398" s="241"/>
      <c r="W1398" s="241"/>
      <c r="X1398" s="243"/>
      <c r="Y1398" s="243"/>
      <c r="Z1398" s="243"/>
      <c r="AA1398" s="243"/>
      <c r="AB1398" s="243"/>
      <c r="AC1398" s="243"/>
      <c r="AD1398" s="243"/>
      <c r="AE1398" s="243"/>
      <c r="AF1398" s="243"/>
      <c r="AG1398" s="243"/>
      <c r="AH1398" s="243"/>
      <c r="AI1398" s="243"/>
      <c r="AJ1398" s="243"/>
    </row>
    <row r="1399" hidden="1">
      <c r="A1399" s="241"/>
      <c r="B1399" s="241"/>
      <c r="C1399" s="241"/>
      <c r="D1399" s="241"/>
      <c r="E1399" s="241"/>
      <c r="F1399" s="241"/>
      <c r="G1399" s="241"/>
      <c r="H1399" s="241"/>
      <c r="I1399" s="241"/>
      <c r="J1399" s="241"/>
      <c r="K1399" s="241"/>
      <c r="L1399" s="242"/>
      <c r="M1399" s="241"/>
      <c r="N1399" s="241"/>
      <c r="O1399" s="241"/>
      <c r="P1399" s="241"/>
      <c r="Q1399" s="241"/>
      <c r="R1399" s="241"/>
      <c r="S1399" s="241"/>
      <c r="T1399" s="241"/>
      <c r="U1399" s="241"/>
      <c r="V1399" s="241"/>
      <c r="W1399" s="241"/>
      <c r="X1399" s="243"/>
      <c r="Y1399" s="243"/>
      <c r="Z1399" s="243"/>
      <c r="AA1399" s="243"/>
      <c r="AB1399" s="243"/>
      <c r="AC1399" s="243"/>
      <c r="AD1399" s="243"/>
      <c r="AE1399" s="243"/>
      <c r="AF1399" s="243"/>
      <c r="AG1399" s="243"/>
      <c r="AH1399" s="243"/>
      <c r="AI1399" s="243"/>
      <c r="AJ1399" s="243"/>
    </row>
    <row r="1400" hidden="1">
      <c r="A1400" s="241"/>
      <c r="B1400" s="241"/>
      <c r="C1400" s="241"/>
      <c r="D1400" s="241"/>
      <c r="E1400" s="241"/>
      <c r="F1400" s="241"/>
      <c r="G1400" s="241"/>
      <c r="H1400" s="241"/>
      <c r="I1400" s="241"/>
      <c r="J1400" s="241"/>
      <c r="K1400" s="241"/>
      <c r="L1400" s="242"/>
      <c r="M1400" s="241"/>
      <c r="N1400" s="241"/>
      <c r="O1400" s="241"/>
      <c r="P1400" s="241"/>
      <c r="Q1400" s="241"/>
      <c r="R1400" s="241"/>
      <c r="S1400" s="241"/>
      <c r="T1400" s="241"/>
      <c r="U1400" s="241"/>
      <c r="V1400" s="241"/>
      <c r="W1400" s="241"/>
      <c r="X1400" s="243"/>
      <c r="Y1400" s="243"/>
      <c r="Z1400" s="243"/>
      <c r="AA1400" s="243"/>
      <c r="AB1400" s="243"/>
      <c r="AC1400" s="243"/>
      <c r="AD1400" s="243"/>
      <c r="AE1400" s="243"/>
      <c r="AF1400" s="243"/>
      <c r="AG1400" s="243"/>
      <c r="AH1400" s="243"/>
      <c r="AI1400" s="243"/>
      <c r="AJ1400" s="243"/>
    </row>
    <row r="1401" hidden="1">
      <c r="A1401" s="241"/>
      <c r="B1401" s="241"/>
      <c r="C1401" s="241"/>
      <c r="D1401" s="241"/>
      <c r="E1401" s="241"/>
      <c r="F1401" s="241"/>
      <c r="G1401" s="241"/>
      <c r="H1401" s="241"/>
      <c r="I1401" s="241"/>
      <c r="J1401" s="241"/>
      <c r="K1401" s="241"/>
      <c r="L1401" s="242"/>
      <c r="M1401" s="241"/>
      <c r="N1401" s="241"/>
      <c r="O1401" s="241"/>
      <c r="P1401" s="241"/>
      <c r="Q1401" s="241"/>
      <c r="R1401" s="241"/>
      <c r="S1401" s="241"/>
      <c r="T1401" s="241"/>
      <c r="U1401" s="241"/>
      <c r="V1401" s="241"/>
      <c r="W1401" s="241"/>
      <c r="X1401" s="243"/>
      <c r="Y1401" s="243"/>
      <c r="Z1401" s="243"/>
      <c r="AA1401" s="243"/>
      <c r="AB1401" s="243"/>
      <c r="AC1401" s="243"/>
      <c r="AD1401" s="243"/>
      <c r="AE1401" s="243"/>
      <c r="AF1401" s="243"/>
      <c r="AG1401" s="243"/>
      <c r="AH1401" s="243"/>
      <c r="AI1401" s="243"/>
      <c r="AJ1401" s="243"/>
    </row>
    <row r="1402" hidden="1">
      <c r="A1402" s="241"/>
      <c r="B1402" s="241"/>
      <c r="C1402" s="241"/>
      <c r="D1402" s="241"/>
      <c r="E1402" s="241"/>
      <c r="F1402" s="241"/>
      <c r="G1402" s="241"/>
      <c r="H1402" s="241"/>
      <c r="I1402" s="241"/>
      <c r="J1402" s="241"/>
      <c r="K1402" s="241"/>
      <c r="L1402" s="242"/>
      <c r="M1402" s="241"/>
      <c r="N1402" s="241"/>
      <c r="O1402" s="241"/>
      <c r="P1402" s="241"/>
      <c r="Q1402" s="241"/>
      <c r="R1402" s="241"/>
      <c r="S1402" s="241"/>
      <c r="T1402" s="241"/>
      <c r="U1402" s="241"/>
      <c r="V1402" s="241"/>
      <c r="W1402" s="241"/>
      <c r="X1402" s="243"/>
      <c r="Y1402" s="243"/>
      <c r="Z1402" s="243"/>
      <c r="AA1402" s="243"/>
      <c r="AB1402" s="243"/>
      <c r="AC1402" s="243"/>
      <c r="AD1402" s="243"/>
      <c r="AE1402" s="243"/>
      <c r="AF1402" s="243"/>
      <c r="AG1402" s="243"/>
      <c r="AH1402" s="243"/>
      <c r="AI1402" s="243"/>
      <c r="AJ1402" s="243"/>
    </row>
    <row r="1403" hidden="1">
      <c r="A1403" s="241"/>
      <c r="B1403" s="241"/>
      <c r="C1403" s="241"/>
      <c r="D1403" s="241"/>
      <c r="E1403" s="241"/>
      <c r="F1403" s="241"/>
      <c r="G1403" s="241"/>
      <c r="H1403" s="241"/>
      <c r="I1403" s="241"/>
      <c r="J1403" s="241"/>
      <c r="K1403" s="241"/>
      <c r="L1403" s="242"/>
      <c r="M1403" s="241"/>
      <c r="N1403" s="241"/>
      <c r="O1403" s="241"/>
      <c r="P1403" s="241"/>
      <c r="Q1403" s="241"/>
      <c r="R1403" s="241"/>
      <c r="S1403" s="241"/>
      <c r="T1403" s="241"/>
      <c r="U1403" s="241"/>
      <c r="V1403" s="241"/>
      <c r="W1403" s="241"/>
      <c r="X1403" s="243"/>
      <c r="Y1403" s="243"/>
      <c r="Z1403" s="243"/>
      <c r="AA1403" s="243"/>
      <c r="AB1403" s="243"/>
      <c r="AC1403" s="243"/>
      <c r="AD1403" s="243"/>
      <c r="AE1403" s="243"/>
      <c r="AF1403" s="243"/>
      <c r="AG1403" s="243"/>
      <c r="AH1403" s="243"/>
      <c r="AI1403" s="243"/>
      <c r="AJ1403" s="243"/>
    </row>
    <row r="1404" hidden="1">
      <c r="A1404" s="241"/>
      <c r="B1404" s="241"/>
      <c r="C1404" s="241"/>
      <c r="D1404" s="241"/>
      <c r="E1404" s="241"/>
      <c r="F1404" s="241"/>
      <c r="G1404" s="241"/>
      <c r="H1404" s="241"/>
      <c r="I1404" s="241"/>
      <c r="J1404" s="241"/>
      <c r="K1404" s="241"/>
      <c r="L1404" s="242"/>
      <c r="M1404" s="241"/>
      <c r="N1404" s="241"/>
      <c r="O1404" s="241"/>
      <c r="P1404" s="241"/>
      <c r="Q1404" s="241"/>
      <c r="R1404" s="241"/>
      <c r="S1404" s="241"/>
      <c r="T1404" s="241"/>
      <c r="U1404" s="241"/>
      <c r="V1404" s="241"/>
      <c r="W1404" s="241"/>
      <c r="X1404" s="243"/>
      <c r="Y1404" s="243"/>
      <c r="Z1404" s="243"/>
      <c r="AA1404" s="243"/>
      <c r="AB1404" s="243"/>
      <c r="AC1404" s="243"/>
      <c r="AD1404" s="243"/>
      <c r="AE1404" s="243"/>
      <c r="AF1404" s="243"/>
      <c r="AG1404" s="243"/>
      <c r="AH1404" s="243"/>
      <c r="AI1404" s="243"/>
      <c r="AJ1404" s="243"/>
    </row>
    <row r="1405" hidden="1">
      <c r="A1405" s="241"/>
      <c r="B1405" s="241"/>
      <c r="C1405" s="241"/>
      <c r="D1405" s="241"/>
      <c r="E1405" s="241"/>
      <c r="F1405" s="241"/>
      <c r="G1405" s="241"/>
      <c r="H1405" s="241"/>
      <c r="I1405" s="241"/>
      <c r="J1405" s="241"/>
      <c r="K1405" s="241"/>
      <c r="L1405" s="242"/>
      <c r="M1405" s="241"/>
      <c r="N1405" s="241"/>
      <c r="O1405" s="241"/>
      <c r="P1405" s="241"/>
      <c r="Q1405" s="241"/>
      <c r="R1405" s="241"/>
      <c r="S1405" s="241"/>
      <c r="T1405" s="241"/>
      <c r="U1405" s="241"/>
      <c r="V1405" s="241"/>
      <c r="W1405" s="241"/>
      <c r="X1405" s="243"/>
      <c r="Y1405" s="243"/>
      <c r="Z1405" s="243"/>
      <c r="AA1405" s="243"/>
      <c r="AB1405" s="243"/>
      <c r="AC1405" s="243"/>
      <c r="AD1405" s="243"/>
      <c r="AE1405" s="243"/>
      <c r="AF1405" s="243"/>
      <c r="AG1405" s="243"/>
      <c r="AH1405" s="243"/>
      <c r="AI1405" s="243"/>
      <c r="AJ1405" s="243"/>
    </row>
    <row r="1406" hidden="1">
      <c r="A1406" s="241"/>
      <c r="B1406" s="241"/>
      <c r="C1406" s="241"/>
      <c r="D1406" s="241"/>
      <c r="E1406" s="241"/>
      <c r="F1406" s="241"/>
      <c r="G1406" s="241"/>
      <c r="H1406" s="241"/>
      <c r="I1406" s="241"/>
      <c r="J1406" s="241"/>
      <c r="K1406" s="241"/>
      <c r="L1406" s="242"/>
      <c r="M1406" s="241"/>
      <c r="N1406" s="241"/>
      <c r="O1406" s="241"/>
      <c r="P1406" s="241"/>
      <c r="Q1406" s="241"/>
      <c r="R1406" s="241"/>
      <c r="S1406" s="241"/>
      <c r="T1406" s="241"/>
      <c r="U1406" s="241"/>
      <c r="V1406" s="241"/>
      <c r="W1406" s="241"/>
      <c r="X1406" s="243"/>
      <c r="Y1406" s="243"/>
      <c r="Z1406" s="243"/>
      <c r="AA1406" s="243"/>
      <c r="AB1406" s="243"/>
      <c r="AC1406" s="243"/>
      <c r="AD1406" s="243"/>
      <c r="AE1406" s="243"/>
      <c r="AF1406" s="243"/>
      <c r="AG1406" s="243"/>
      <c r="AH1406" s="243"/>
      <c r="AI1406" s="243"/>
      <c r="AJ1406" s="243"/>
    </row>
    <row r="1407" hidden="1">
      <c r="A1407" s="241"/>
      <c r="B1407" s="241"/>
      <c r="C1407" s="241"/>
      <c r="D1407" s="241"/>
      <c r="E1407" s="241"/>
      <c r="F1407" s="241"/>
      <c r="G1407" s="241"/>
      <c r="H1407" s="241"/>
      <c r="I1407" s="241"/>
      <c r="J1407" s="241"/>
      <c r="K1407" s="241"/>
      <c r="L1407" s="242"/>
      <c r="M1407" s="241"/>
      <c r="N1407" s="241"/>
      <c r="O1407" s="241"/>
      <c r="P1407" s="241"/>
      <c r="Q1407" s="241"/>
      <c r="R1407" s="241"/>
      <c r="S1407" s="241"/>
      <c r="T1407" s="241"/>
      <c r="U1407" s="241"/>
      <c r="V1407" s="241"/>
      <c r="W1407" s="241"/>
      <c r="X1407" s="243"/>
      <c r="Y1407" s="243"/>
      <c r="Z1407" s="243"/>
      <c r="AA1407" s="243"/>
      <c r="AB1407" s="243"/>
      <c r="AC1407" s="243"/>
      <c r="AD1407" s="243"/>
      <c r="AE1407" s="243"/>
      <c r="AF1407" s="243"/>
      <c r="AG1407" s="243"/>
      <c r="AH1407" s="243"/>
      <c r="AI1407" s="243"/>
      <c r="AJ1407" s="243"/>
    </row>
    <row r="1408" hidden="1">
      <c r="A1408" s="241"/>
      <c r="B1408" s="241"/>
      <c r="C1408" s="241"/>
      <c r="D1408" s="241"/>
      <c r="E1408" s="241"/>
      <c r="F1408" s="241"/>
      <c r="G1408" s="241"/>
      <c r="H1408" s="241"/>
      <c r="I1408" s="241"/>
      <c r="J1408" s="241"/>
      <c r="K1408" s="241"/>
      <c r="L1408" s="242"/>
      <c r="M1408" s="241"/>
      <c r="N1408" s="241"/>
      <c r="O1408" s="241"/>
      <c r="P1408" s="241"/>
      <c r="Q1408" s="241"/>
      <c r="R1408" s="241"/>
      <c r="S1408" s="241"/>
      <c r="T1408" s="241"/>
      <c r="U1408" s="241"/>
      <c r="V1408" s="241"/>
      <c r="W1408" s="241"/>
      <c r="X1408" s="243"/>
      <c r="Y1408" s="243"/>
      <c r="Z1408" s="243"/>
      <c r="AA1408" s="243"/>
      <c r="AB1408" s="243"/>
      <c r="AC1408" s="243"/>
      <c r="AD1408" s="243"/>
      <c r="AE1408" s="243"/>
      <c r="AF1408" s="243"/>
      <c r="AG1408" s="243"/>
      <c r="AH1408" s="243"/>
      <c r="AI1408" s="243"/>
      <c r="AJ1408" s="243"/>
    </row>
    <row r="1409" hidden="1">
      <c r="A1409" s="241"/>
      <c r="B1409" s="241"/>
      <c r="C1409" s="241"/>
      <c r="D1409" s="241"/>
      <c r="E1409" s="241"/>
      <c r="F1409" s="241"/>
      <c r="G1409" s="241"/>
      <c r="H1409" s="241"/>
      <c r="I1409" s="241"/>
      <c r="J1409" s="241"/>
      <c r="K1409" s="241"/>
      <c r="L1409" s="242"/>
      <c r="M1409" s="241"/>
      <c r="N1409" s="241"/>
      <c r="O1409" s="241"/>
      <c r="P1409" s="241"/>
      <c r="Q1409" s="241"/>
      <c r="R1409" s="241"/>
      <c r="S1409" s="241"/>
      <c r="T1409" s="241"/>
      <c r="U1409" s="241"/>
      <c r="V1409" s="241"/>
      <c r="W1409" s="241"/>
      <c r="X1409" s="243"/>
      <c r="Y1409" s="243"/>
      <c r="Z1409" s="243"/>
      <c r="AA1409" s="243"/>
      <c r="AB1409" s="243"/>
      <c r="AC1409" s="243"/>
      <c r="AD1409" s="243"/>
      <c r="AE1409" s="243"/>
      <c r="AF1409" s="243"/>
      <c r="AG1409" s="243"/>
      <c r="AH1409" s="243"/>
      <c r="AI1409" s="243"/>
      <c r="AJ1409" s="243"/>
    </row>
    <row r="1410" hidden="1">
      <c r="A1410" s="241"/>
      <c r="B1410" s="241"/>
      <c r="C1410" s="241"/>
      <c r="D1410" s="241"/>
      <c r="E1410" s="241"/>
      <c r="F1410" s="241"/>
      <c r="G1410" s="241"/>
      <c r="H1410" s="241"/>
      <c r="I1410" s="241"/>
      <c r="J1410" s="241"/>
      <c r="K1410" s="241"/>
      <c r="L1410" s="242"/>
      <c r="M1410" s="241"/>
      <c r="N1410" s="241"/>
      <c r="O1410" s="241"/>
      <c r="P1410" s="241"/>
      <c r="Q1410" s="241"/>
      <c r="R1410" s="241"/>
      <c r="S1410" s="241"/>
      <c r="T1410" s="241"/>
      <c r="U1410" s="241"/>
      <c r="V1410" s="241"/>
      <c r="W1410" s="241"/>
      <c r="X1410" s="243"/>
      <c r="Y1410" s="243"/>
      <c r="Z1410" s="243"/>
      <c r="AA1410" s="243"/>
      <c r="AB1410" s="243"/>
      <c r="AC1410" s="243"/>
      <c r="AD1410" s="243"/>
      <c r="AE1410" s="243"/>
      <c r="AF1410" s="243"/>
      <c r="AG1410" s="243"/>
      <c r="AH1410" s="243"/>
      <c r="AI1410" s="243"/>
      <c r="AJ1410" s="243"/>
    </row>
    <row r="1411" hidden="1">
      <c r="A1411" s="241"/>
      <c r="B1411" s="241"/>
      <c r="C1411" s="241"/>
      <c r="D1411" s="241"/>
      <c r="E1411" s="241"/>
      <c r="F1411" s="241"/>
      <c r="G1411" s="241"/>
      <c r="H1411" s="241"/>
      <c r="I1411" s="241"/>
      <c r="J1411" s="241"/>
      <c r="K1411" s="241"/>
      <c r="L1411" s="242"/>
      <c r="M1411" s="241"/>
      <c r="N1411" s="241"/>
      <c r="O1411" s="241"/>
      <c r="P1411" s="241"/>
      <c r="Q1411" s="241"/>
      <c r="R1411" s="241"/>
      <c r="S1411" s="241"/>
      <c r="T1411" s="241"/>
      <c r="U1411" s="241"/>
      <c r="V1411" s="241"/>
      <c r="W1411" s="241"/>
      <c r="X1411" s="243"/>
      <c r="Y1411" s="243"/>
      <c r="Z1411" s="243"/>
      <c r="AA1411" s="243"/>
      <c r="AB1411" s="243"/>
      <c r="AC1411" s="243"/>
      <c r="AD1411" s="243"/>
      <c r="AE1411" s="243"/>
      <c r="AF1411" s="243"/>
      <c r="AG1411" s="243"/>
      <c r="AH1411" s="243"/>
      <c r="AI1411" s="243"/>
      <c r="AJ1411" s="243"/>
    </row>
    <row r="1412" hidden="1">
      <c r="A1412" s="241"/>
      <c r="B1412" s="241"/>
      <c r="C1412" s="241"/>
      <c r="D1412" s="241"/>
      <c r="E1412" s="241"/>
      <c r="F1412" s="241"/>
      <c r="G1412" s="241"/>
      <c r="H1412" s="241"/>
      <c r="I1412" s="241"/>
      <c r="J1412" s="241"/>
      <c r="K1412" s="241"/>
      <c r="L1412" s="242"/>
      <c r="M1412" s="241"/>
      <c r="N1412" s="241"/>
      <c r="O1412" s="241"/>
      <c r="P1412" s="241"/>
      <c r="Q1412" s="241"/>
      <c r="R1412" s="241"/>
      <c r="S1412" s="241"/>
      <c r="T1412" s="241"/>
      <c r="U1412" s="241"/>
      <c r="V1412" s="241"/>
      <c r="W1412" s="241"/>
      <c r="X1412" s="243"/>
      <c r="Y1412" s="243"/>
      <c r="Z1412" s="243"/>
      <c r="AA1412" s="243"/>
      <c r="AB1412" s="243"/>
      <c r="AC1412" s="243"/>
      <c r="AD1412" s="243"/>
      <c r="AE1412" s="243"/>
      <c r="AF1412" s="243"/>
      <c r="AG1412" s="243"/>
      <c r="AH1412" s="243"/>
      <c r="AI1412" s="243"/>
      <c r="AJ1412" s="243"/>
    </row>
    <row r="1413" hidden="1">
      <c r="A1413" s="241"/>
      <c r="B1413" s="241"/>
      <c r="C1413" s="241"/>
      <c r="D1413" s="241"/>
      <c r="E1413" s="241"/>
      <c r="F1413" s="241"/>
      <c r="G1413" s="241"/>
      <c r="H1413" s="241"/>
      <c r="I1413" s="241"/>
      <c r="J1413" s="241"/>
      <c r="K1413" s="241"/>
      <c r="L1413" s="242"/>
      <c r="M1413" s="241"/>
      <c r="N1413" s="241"/>
      <c r="O1413" s="241"/>
      <c r="P1413" s="241"/>
      <c r="Q1413" s="241"/>
      <c r="R1413" s="241"/>
      <c r="S1413" s="241"/>
      <c r="T1413" s="241"/>
      <c r="U1413" s="241"/>
      <c r="V1413" s="241"/>
      <c r="W1413" s="241"/>
      <c r="X1413" s="243"/>
      <c r="Y1413" s="243"/>
      <c r="Z1413" s="243"/>
      <c r="AA1413" s="243"/>
      <c r="AB1413" s="243"/>
      <c r="AC1413" s="243"/>
      <c r="AD1413" s="243"/>
      <c r="AE1413" s="243"/>
      <c r="AF1413" s="243"/>
      <c r="AG1413" s="243"/>
      <c r="AH1413" s="243"/>
      <c r="AI1413" s="243"/>
      <c r="AJ1413" s="243"/>
    </row>
    <row r="1414" hidden="1">
      <c r="A1414" s="241"/>
      <c r="B1414" s="241"/>
      <c r="C1414" s="241"/>
      <c r="D1414" s="241"/>
      <c r="E1414" s="241"/>
      <c r="F1414" s="241"/>
      <c r="G1414" s="241"/>
      <c r="H1414" s="241"/>
      <c r="I1414" s="241"/>
      <c r="J1414" s="241"/>
      <c r="K1414" s="241"/>
      <c r="L1414" s="242"/>
      <c r="M1414" s="241"/>
      <c r="N1414" s="241"/>
      <c r="O1414" s="241"/>
      <c r="P1414" s="241"/>
      <c r="Q1414" s="241"/>
      <c r="R1414" s="241"/>
      <c r="S1414" s="241"/>
      <c r="T1414" s="241"/>
      <c r="U1414" s="241"/>
      <c r="V1414" s="241"/>
      <c r="W1414" s="241"/>
      <c r="X1414" s="243"/>
      <c r="Y1414" s="243"/>
      <c r="Z1414" s="243"/>
      <c r="AA1414" s="243"/>
      <c r="AB1414" s="243"/>
      <c r="AC1414" s="243"/>
      <c r="AD1414" s="243"/>
      <c r="AE1414" s="243"/>
      <c r="AF1414" s="243"/>
      <c r="AG1414" s="243"/>
      <c r="AH1414" s="243"/>
      <c r="AI1414" s="243"/>
      <c r="AJ1414" s="243"/>
    </row>
    <row r="1415" hidden="1">
      <c r="A1415" s="241"/>
      <c r="B1415" s="241"/>
      <c r="C1415" s="241"/>
      <c r="D1415" s="241"/>
      <c r="E1415" s="241"/>
      <c r="F1415" s="241"/>
      <c r="G1415" s="241"/>
      <c r="H1415" s="241"/>
      <c r="I1415" s="241"/>
      <c r="J1415" s="241"/>
      <c r="K1415" s="241"/>
      <c r="L1415" s="242"/>
      <c r="M1415" s="241"/>
      <c r="N1415" s="241"/>
      <c r="O1415" s="241"/>
      <c r="P1415" s="241"/>
      <c r="Q1415" s="241"/>
      <c r="R1415" s="241"/>
      <c r="S1415" s="241"/>
      <c r="T1415" s="241"/>
      <c r="U1415" s="241"/>
      <c r="V1415" s="241"/>
      <c r="W1415" s="241"/>
      <c r="X1415" s="243"/>
      <c r="Y1415" s="243"/>
      <c r="Z1415" s="243"/>
      <c r="AA1415" s="243"/>
      <c r="AB1415" s="243"/>
      <c r="AC1415" s="243"/>
      <c r="AD1415" s="243"/>
      <c r="AE1415" s="243"/>
      <c r="AF1415" s="243"/>
      <c r="AG1415" s="243"/>
      <c r="AH1415" s="243"/>
      <c r="AI1415" s="243"/>
      <c r="AJ1415" s="243"/>
    </row>
    <row r="1416" hidden="1">
      <c r="A1416" s="241"/>
      <c r="B1416" s="241"/>
      <c r="C1416" s="241"/>
      <c r="D1416" s="241"/>
      <c r="E1416" s="241"/>
      <c r="F1416" s="241"/>
      <c r="G1416" s="241"/>
      <c r="H1416" s="241"/>
      <c r="I1416" s="241"/>
      <c r="J1416" s="241"/>
      <c r="K1416" s="241"/>
      <c r="L1416" s="242"/>
      <c r="M1416" s="241"/>
      <c r="N1416" s="241"/>
      <c r="O1416" s="241"/>
      <c r="P1416" s="241"/>
      <c r="Q1416" s="241"/>
      <c r="R1416" s="241"/>
      <c r="S1416" s="241"/>
      <c r="T1416" s="241"/>
      <c r="U1416" s="241"/>
      <c r="V1416" s="241"/>
      <c r="W1416" s="241"/>
      <c r="X1416" s="243"/>
      <c r="Y1416" s="243"/>
      <c r="Z1416" s="243"/>
      <c r="AA1416" s="243"/>
      <c r="AB1416" s="243"/>
      <c r="AC1416" s="243"/>
      <c r="AD1416" s="243"/>
      <c r="AE1416" s="243"/>
      <c r="AF1416" s="243"/>
      <c r="AG1416" s="243"/>
      <c r="AH1416" s="243"/>
      <c r="AI1416" s="243"/>
      <c r="AJ1416" s="243"/>
    </row>
    <row r="1417" hidden="1">
      <c r="A1417" s="241"/>
      <c r="B1417" s="241"/>
      <c r="C1417" s="241"/>
      <c r="D1417" s="241"/>
      <c r="E1417" s="241"/>
      <c r="F1417" s="241"/>
      <c r="G1417" s="241"/>
      <c r="H1417" s="241"/>
      <c r="I1417" s="241"/>
      <c r="J1417" s="241"/>
      <c r="K1417" s="241"/>
      <c r="L1417" s="242"/>
      <c r="M1417" s="241"/>
      <c r="N1417" s="241"/>
      <c r="O1417" s="241"/>
      <c r="P1417" s="241"/>
      <c r="Q1417" s="241"/>
      <c r="R1417" s="241"/>
      <c r="S1417" s="241"/>
      <c r="T1417" s="241"/>
      <c r="U1417" s="241"/>
      <c r="V1417" s="241"/>
      <c r="W1417" s="241"/>
      <c r="X1417" s="243"/>
      <c r="Y1417" s="243"/>
      <c r="Z1417" s="243"/>
      <c r="AA1417" s="243"/>
      <c r="AB1417" s="243"/>
      <c r="AC1417" s="243"/>
      <c r="AD1417" s="243"/>
      <c r="AE1417" s="243"/>
      <c r="AF1417" s="243"/>
      <c r="AG1417" s="243"/>
      <c r="AH1417" s="243"/>
      <c r="AI1417" s="243"/>
      <c r="AJ1417" s="243"/>
    </row>
    <row r="1418" hidden="1">
      <c r="A1418" s="241"/>
      <c r="B1418" s="241"/>
      <c r="C1418" s="241"/>
      <c r="D1418" s="241"/>
      <c r="E1418" s="241"/>
      <c r="F1418" s="241"/>
      <c r="G1418" s="241"/>
      <c r="H1418" s="241"/>
      <c r="I1418" s="241"/>
      <c r="J1418" s="241"/>
      <c r="K1418" s="241"/>
      <c r="L1418" s="242"/>
      <c r="M1418" s="241"/>
      <c r="N1418" s="241"/>
      <c r="O1418" s="241"/>
      <c r="P1418" s="241"/>
      <c r="Q1418" s="241"/>
      <c r="R1418" s="241"/>
      <c r="S1418" s="241"/>
      <c r="T1418" s="241"/>
      <c r="U1418" s="241"/>
      <c r="V1418" s="241"/>
      <c r="W1418" s="241"/>
      <c r="X1418" s="243"/>
      <c r="Y1418" s="243"/>
      <c r="Z1418" s="243"/>
      <c r="AA1418" s="243"/>
      <c r="AB1418" s="243"/>
      <c r="AC1418" s="243"/>
      <c r="AD1418" s="243"/>
      <c r="AE1418" s="243"/>
      <c r="AF1418" s="243"/>
      <c r="AG1418" s="243"/>
      <c r="AH1418" s="243"/>
      <c r="AI1418" s="243"/>
      <c r="AJ1418" s="243"/>
    </row>
    <row r="1419" hidden="1">
      <c r="A1419" s="241"/>
      <c r="B1419" s="241"/>
      <c r="C1419" s="241"/>
      <c r="D1419" s="241"/>
      <c r="E1419" s="241"/>
      <c r="F1419" s="241"/>
      <c r="G1419" s="241"/>
      <c r="H1419" s="241"/>
      <c r="I1419" s="241"/>
      <c r="J1419" s="241"/>
      <c r="K1419" s="241"/>
      <c r="L1419" s="242"/>
      <c r="M1419" s="241"/>
      <c r="N1419" s="241"/>
      <c r="O1419" s="241"/>
      <c r="P1419" s="241"/>
      <c r="Q1419" s="241"/>
      <c r="R1419" s="241"/>
      <c r="S1419" s="241"/>
      <c r="T1419" s="241"/>
      <c r="U1419" s="241"/>
      <c r="V1419" s="241"/>
      <c r="W1419" s="241"/>
      <c r="X1419" s="243"/>
      <c r="Y1419" s="243"/>
      <c r="Z1419" s="243"/>
      <c r="AA1419" s="243"/>
      <c r="AB1419" s="243"/>
      <c r="AC1419" s="243"/>
      <c r="AD1419" s="243"/>
      <c r="AE1419" s="243"/>
      <c r="AF1419" s="243"/>
      <c r="AG1419" s="243"/>
      <c r="AH1419" s="243"/>
      <c r="AI1419" s="243"/>
      <c r="AJ1419" s="243"/>
    </row>
    <row r="1420" hidden="1">
      <c r="A1420" s="241"/>
      <c r="B1420" s="241"/>
      <c r="C1420" s="241"/>
      <c r="D1420" s="241"/>
      <c r="E1420" s="241"/>
      <c r="F1420" s="241"/>
      <c r="G1420" s="241"/>
      <c r="H1420" s="241"/>
      <c r="I1420" s="241"/>
      <c r="J1420" s="241"/>
      <c r="K1420" s="241"/>
      <c r="L1420" s="242"/>
      <c r="M1420" s="241"/>
      <c r="N1420" s="241"/>
      <c r="O1420" s="241"/>
      <c r="P1420" s="241"/>
      <c r="Q1420" s="241"/>
      <c r="R1420" s="241"/>
      <c r="S1420" s="241"/>
      <c r="T1420" s="241"/>
      <c r="U1420" s="241"/>
      <c r="V1420" s="241"/>
      <c r="W1420" s="241"/>
      <c r="X1420" s="243"/>
      <c r="Y1420" s="243"/>
      <c r="Z1420" s="243"/>
      <c r="AA1420" s="243"/>
      <c r="AB1420" s="243"/>
      <c r="AC1420" s="243"/>
      <c r="AD1420" s="243"/>
      <c r="AE1420" s="243"/>
      <c r="AF1420" s="243"/>
      <c r="AG1420" s="243"/>
      <c r="AH1420" s="243"/>
      <c r="AI1420" s="243"/>
      <c r="AJ1420" s="243"/>
    </row>
    <row r="1421" hidden="1">
      <c r="A1421" s="241"/>
      <c r="B1421" s="241"/>
      <c r="C1421" s="241"/>
      <c r="D1421" s="241"/>
      <c r="E1421" s="241"/>
      <c r="F1421" s="241"/>
      <c r="G1421" s="241"/>
      <c r="H1421" s="241"/>
      <c r="I1421" s="241"/>
      <c r="J1421" s="241"/>
      <c r="K1421" s="241"/>
      <c r="L1421" s="242"/>
      <c r="M1421" s="241"/>
      <c r="N1421" s="241"/>
      <c r="O1421" s="241"/>
      <c r="P1421" s="241"/>
      <c r="Q1421" s="241"/>
      <c r="R1421" s="241"/>
      <c r="S1421" s="241"/>
      <c r="T1421" s="241"/>
      <c r="U1421" s="241"/>
      <c r="V1421" s="241"/>
      <c r="W1421" s="241"/>
      <c r="X1421" s="243"/>
      <c r="Y1421" s="243"/>
      <c r="Z1421" s="243"/>
      <c r="AA1421" s="243"/>
      <c r="AB1421" s="243"/>
      <c r="AC1421" s="243"/>
      <c r="AD1421" s="243"/>
      <c r="AE1421" s="243"/>
      <c r="AF1421" s="243"/>
      <c r="AG1421" s="243"/>
      <c r="AH1421" s="243"/>
      <c r="AI1421" s="243"/>
      <c r="AJ1421" s="243"/>
    </row>
    <row r="1422" hidden="1">
      <c r="A1422" s="241"/>
      <c r="B1422" s="241"/>
      <c r="C1422" s="241"/>
      <c r="D1422" s="241"/>
      <c r="E1422" s="241"/>
      <c r="F1422" s="241"/>
      <c r="G1422" s="241"/>
      <c r="H1422" s="241"/>
      <c r="I1422" s="241"/>
      <c r="J1422" s="241"/>
      <c r="K1422" s="241"/>
      <c r="L1422" s="242"/>
      <c r="M1422" s="241"/>
      <c r="N1422" s="241"/>
      <c r="O1422" s="241"/>
      <c r="P1422" s="241"/>
      <c r="Q1422" s="241"/>
      <c r="R1422" s="241"/>
      <c r="S1422" s="241"/>
      <c r="T1422" s="241"/>
      <c r="U1422" s="241"/>
      <c r="V1422" s="241"/>
      <c r="W1422" s="241"/>
      <c r="X1422" s="243"/>
      <c r="Y1422" s="243"/>
      <c r="Z1422" s="243"/>
      <c r="AA1422" s="243"/>
      <c r="AB1422" s="243"/>
      <c r="AC1422" s="243"/>
      <c r="AD1422" s="243"/>
      <c r="AE1422" s="243"/>
      <c r="AF1422" s="243"/>
      <c r="AG1422" s="243"/>
      <c r="AH1422" s="243"/>
      <c r="AI1422" s="243"/>
      <c r="AJ1422" s="243"/>
    </row>
    <row r="1423" hidden="1">
      <c r="A1423" s="241"/>
      <c r="B1423" s="241"/>
      <c r="C1423" s="241"/>
      <c r="D1423" s="241"/>
      <c r="E1423" s="241"/>
      <c r="F1423" s="241"/>
      <c r="G1423" s="241"/>
      <c r="H1423" s="241"/>
      <c r="I1423" s="241"/>
      <c r="J1423" s="241"/>
      <c r="K1423" s="241"/>
      <c r="L1423" s="242"/>
      <c r="M1423" s="241"/>
      <c r="N1423" s="241"/>
      <c r="O1423" s="241"/>
      <c r="P1423" s="241"/>
      <c r="Q1423" s="241"/>
      <c r="R1423" s="241"/>
      <c r="S1423" s="241"/>
      <c r="T1423" s="241"/>
      <c r="U1423" s="241"/>
      <c r="V1423" s="241"/>
      <c r="W1423" s="241"/>
      <c r="X1423" s="243"/>
      <c r="Y1423" s="243"/>
      <c r="Z1423" s="243"/>
      <c r="AA1423" s="243"/>
      <c r="AB1423" s="243"/>
      <c r="AC1423" s="243"/>
      <c r="AD1423" s="243"/>
      <c r="AE1423" s="243"/>
      <c r="AF1423" s="243"/>
      <c r="AG1423" s="243"/>
      <c r="AH1423" s="243"/>
      <c r="AI1423" s="243"/>
      <c r="AJ1423" s="243"/>
    </row>
    <row r="1424" hidden="1">
      <c r="A1424" s="241"/>
      <c r="B1424" s="241"/>
      <c r="C1424" s="241"/>
      <c r="D1424" s="241"/>
      <c r="E1424" s="241"/>
      <c r="F1424" s="241"/>
      <c r="G1424" s="241"/>
      <c r="H1424" s="241"/>
      <c r="I1424" s="241"/>
      <c r="J1424" s="241"/>
      <c r="K1424" s="241"/>
      <c r="L1424" s="242"/>
      <c r="M1424" s="241"/>
      <c r="N1424" s="241"/>
      <c r="O1424" s="241"/>
      <c r="P1424" s="241"/>
      <c r="Q1424" s="241"/>
      <c r="R1424" s="241"/>
      <c r="S1424" s="241"/>
      <c r="T1424" s="241"/>
      <c r="U1424" s="241"/>
      <c r="V1424" s="241"/>
      <c r="W1424" s="241"/>
      <c r="X1424" s="243"/>
      <c r="Y1424" s="243"/>
      <c r="Z1424" s="243"/>
      <c r="AA1424" s="243"/>
      <c r="AB1424" s="243"/>
      <c r="AC1424" s="243"/>
      <c r="AD1424" s="243"/>
      <c r="AE1424" s="243"/>
      <c r="AF1424" s="243"/>
      <c r="AG1424" s="243"/>
      <c r="AH1424" s="243"/>
      <c r="AI1424" s="243"/>
      <c r="AJ1424" s="243"/>
    </row>
    <row r="1425" hidden="1">
      <c r="A1425" s="241"/>
      <c r="B1425" s="241"/>
      <c r="C1425" s="241"/>
      <c r="D1425" s="241"/>
      <c r="E1425" s="241"/>
      <c r="F1425" s="241"/>
      <c r="G1425" s="241"/>
      <c r="H1425" s="241"/>
      <c r="I1425" s="241"/>
      <c r="J1425" s="241"/>
      <c r="K1425" s="241"/>
      <c r="L1425" s="242"/>
      <c r="M1425" s="241"/>
      <c r="N1425" s="241"/>
      <c r="O1425" s="241"/>
      <c r="P1425" s="241"/>
      <c r="Q1425" s="241"/>
      <c r="R1425" s="241"/>
      <c r="S1425" s="241"/>
      <c r="T1425" s="241"/>
      <c r="U1425" s="241"/>
      <c r="V1425" s="241"/>
      <c r="W1425" s="241"/>
      <c r="X1425" s="243"/>
      <c r="Y1425" s="243"/>
      <c r="Z1425" s="243"/>
      <c r="AA1425" s="243"/>
      <c r="AB1425" s="243"/>
      <c r="AC1425" s="243"/>
      <c r="AD1425" s="243"/>
      <c r="AE1425" s="243"/>
      <c r="AF1425" s="243"/>
      <c r="AG1425" s="243"/>
      <c r="AH1425" s="243"/>
      <c r="AI1425" s="243"/>
      <c r="AJ1425" s="243"/>
    </row>
    <row r="1426" hidden="1">
      <c r="A1426" s="241"/>
      <c r="B1426" s="241"/>
      <c r="C1426" s="241"/>
      <c r="D1426" s="241"/>
      <c r="E1426" s="241"/>
      <c r="F1426" s="241"/>
      <c r="G1426" s="241"/>
      <c r="H1426" s="241"/>
      <c r="I1426" s="241"/>
      <c r="J1426" s="241"/>
      <c r="K1426" s="241"/>
      <c r="L1426" s="242"/>
      <c r="M1426" s="241"/>
      <c r="N1426" s="241"/>
      <c r="O1426" s="241"/>
      <c r="P1426" s="241"/>
      <c r="Q1426" s="241"/>
      <c r="R1426" s="241"/>
      <c r="S1426" s="241"/>
      <c r="T1426" s="241"/>
      <c r="U1426" s="241"/>
      <c r="V1426" s="241"/>
      <c r="W1426" s="241"/>
      <c r="X1426" s="243"/>
      <c r="Y1426" s="243"/>
      <c r="Z1426" s="243"/>
      <c r="AA1426" s="243"/>
      <c r="AB1426" s="243"/>
      <c r="AC1426" s="243"/>
      <c r="AD1426" s="243"/>
      <c r="AE1426" s="243"/>
      <c r="AF1426" s="243"/>
      <c r="AG1426" s="243"/>
      <c r="AH1426" s="243"/>
      <c r="AI1426" s="243"/>
      <c r="AJ1426" s="243"/>
    </row>
    <row r="1427" hidden="1">
      <c r="A1427" s="241"/>
      <c r="B1427" s="241"/>
      <c r="C1427" s="241"/>
      <c r="D1427" s="241"/>
      <c r="E1427" s="241"/>
      <c r="F1427" s="241"/>
      <c r="G1427" s="241"/>
      <c r="H1427" s="241"/>
      <c r="I1427" s="241"/>
      <c r="J1427" s="241"/>
      <c r="K1427" s="241"/>
      <c r="L1427" s="242"/>
      <c r="M1427" s="241"/>
      <c r="N1427" s="241"/>
      <c r="O1427" s="241"/>
      <c r="P1427" s="241"/>
      <c r="Q1427" s="241"/>
      <c r="R1427" s="241"/>
      <c r="S1427" s="241"/>
      <c r="T1427" s="241"/>
      <c r="U1427" s="241"/>
      <c r="V1427" s="241"/>
      <c r="W1427" s="241"/>
      <c r="X1427" s="243"/>
      <c r="Y1427" s="243"/>
      <c r="Z1427" s="243"/>
      <c r="AA1427" s="243"/>
      <c r="AB1427" s="243"/>
      <c r="AC1427" s="243"/>
      <c r="AD1427" s="243"/>
      <c r="AE1427" s="243"/>
      <c r="AF1427" s="243"/>
      <c r="AG1427" s="243"/>
      <c r="AH1427" s="243"/>
      <c r="AI1427" s="243"/>
      <c r="AJ1427" s="243"/>
    </row>
    <row r="1428" hidden="1">
      <c r="A1428" s="241"/>
      <c r="B1428" s="241"/>
      <c r="C1428" s="241"/>
      <c r="D1428" s="241"/>
      <c r="E1428" s="241"/>
      <c r="F1428" s="241"/>
      <c r="G1428" s="241"/>
      <c r="H1428" s="241"/>
      <c r="I1428" s="241"/>
      <c r="J1428" s="241"/>
      <c r="K1428" s="241"/>
      <c r="L1428" s="242"/>
      <c r="M1428" s="241"/>
      <c r="N1428" s="241"/>
      <c r="O1428" s="241"/>
      <c r="P1428" s="241"/>
      <c r="Q1428" s="241"/>
      <c r="R1428" s="241"/>
      <c r="S1428" s="241"/>
      <c r="T1428" s="241"/>
      <c r="U1428" s="241"/>
      <c r="V1428" s="241"/>
      <c r="W1428" s="241"/>
      <c r="X1428" s="243"/>
      <c r="Y1428" s="243"/>
      <c r="Z1428" s="243"/>
      <c r="AA1428" s="243"/>
      <c r="AB1428" s="243"/>
      <c r="AC1428" s="243"/>
      <c r="AD1428" s="243"/>
      <c r="AE1428" s="243"/>
      <c r="AF1428" s="243"/>
      <c r="AG1428" s="243"/>
      <c r="AH1428" s="243"/>
      <c r="AI1428" s="243"/>
      <c r="AJ1428" s="243"/>
    </row>
    <row r="1429" hidden="1">
      <c r="A1429" s="241"/>
      <c r="B1429" s="241"/>
      <c r="C1429" s="241"/>
      <c r="D1429" s="241"/>
      <c r="E1429" s="241"/>
      <c r="F1429" s="241"/>
      <c r="G1429" s="241"/>
      <c r="H1429" s="241"/>
      <c r="I1429" s="241"/>
      <c r="J1429" s="241"/>
      <c r="K1429" s="241"/>
      <c r="L1429" s="242"/>
      <c r="M1429" s="241"/>
      <c r="N1429" s="241"/>
      <c r="O1429" s="241"/>
      <c r="P1429" s="241"/>
      <c r="Q1429" s="241"/>
      <c r="R1429" s="241"/>
      <c r="S1429" s="241"/>
      <c r="T1429" s="241"/>
      <c r="U1429" s="241"/>
      <c r="V1429" s="241"/>
      <c r="W1429" s="241"/>
      <c r="X1429" s="243"/>
      <c r="Y1429" s="243"/>
      <c r="Z1429" s="243"/>
      <c r="AA1429" s="243"/>
      <c r="AB1429" s="243"/>
      <c r="AC1429" s="243"/>
      <c r="AD1429" s="243"/>
      <c r="AE1429" s="243"/>
      <c r="AF1429" s="243"/>
      <c r="AG1429" s="243"/>
      <c r="AH1429" s="243"/>
      <c r="AI1429" s="243"/>
      <c r="AJ1429" s="243"/>
    </row>
    <row r="1430" hidden="1">
      <c r="A1430" s="241"/>
      <c r="B1430" s="241"/>
      <c r="C1430" s="241"/>
      <c r="D1430" s="241"/>
      <c r="E1430" s="241"/>
      <c r="F1430" s="241"/>
      <c r="G1430" s="241"/>
      <c r="H1430" s="241"/>
      <c r="I1430" s="241"/>
      <c r="J1430" s="241"/>
      <c r="K1430" s="241"/>
      <c r="L1430" s="242"/>
      <c r="M1430" s="241"/>
      <c r="N1430" s="241"/>
      <c r="O1430" s="241"/>
      <c r="P1430" s="241"/>
      <c r="Q1430" s="241"/>
      <c r="R1430" s="241"/>
      <c r="S1430" s="241"/>
      <c r="T1430" s="241"/>
      <c r="U1430" s="241"/>
      <c r="V1430" s="241"/>
      <c r="W1430" s="241"/>
      <c r="X1430" s="243"/>
      <c r="Y1430" s="243"/>
      <c r="Z1430" s="243"/>
      <c r="AA1430" s="243"/>
      <c r="AB1430" s="243"/>
      <c r="AC1430" s="243"/>
      <c r="AD1430" s="243"/>
      <c r="AE1430" s="243"/>
      <c r="AF1430" s="243"/>
      <c r="AG1430" s="243"/>
      <c r="AH1430" s="243"/>
      <c r="AI1430" s="243"/>
      <c r="AJ1430" s="243"/>
    </row>
    <row r="1431" hidden="1">
      <c r="A1431" s="241"/>
      <c r="B1431" s="241"/>
      <c r="C1431" s="241"/>
      <c r="D1431" s="241"/>
      <c r="E1431" s="241"/>
      <c r="F1431" s="241"/>
      <c r="G1431" s="241"/>
      <c r="H1431" s="241"/>
      <c r="I1431" s="241"/>
      <c r="J1431" s="241"/>
      <c r="K1431" s="241"/>
      <c r="L1431" s="242"/>
      <c r="M1431" s="241"/>
      <c r="N1431" s="241"/>
      <c r="O1431" s="241"/>
      <c r="P1431" s="241"/>
      <c r="Q1431" s="241"/>
      <c r="R1431" s="241"/>
      <c r="S1431" s="241"/>
      <c r="T1431" s="241"/>
      <c r="U1431" s="241"/>
      <c r="V1431" s="241"/>
      <c r="W1431" s="241"/>
      <c r="X1431" s="243"/>
      <c r="Y1431" s="243"/>
      <c r="Z1431" s="243"/>
      <c r="AA1431" s="243"/>
      <c r="AB1431" s="243"/>
      <c r="AC1431" s="243"/>
      <c r="AD1431" s="243"/>
      <c r="AE1431" s="243"/>
      <c r="AF1431" s="243"/>
      <c r="AG1431" s="243"/>
      <c r="AH1431" s="243"/>
      <c r="AI1431" s="243"/>
      <c r="AJ1431" s="243"/>
    </row>
    <row r="1432" hidden="1">
      <c r="A1432" s="241"/>
      <c r="B1432" s="241"/>
      <c r="C1432" s="241"/>
      <c r="D1432" s="241"/>
      <c r="E1432" s="241"/>
      <c r="F1432" s="241"/>
      <c r="G1432" s="241"/>
      <c r="H1432" s="241"/>
      <c r="I1432" s="241"/>
      <c r="J1432" s="241"/>
      <c r="K1432" s="241"/>
      <c r="L1432" s="242"/>
      <c r="M1432" s="241"/>
      <c r="N1432" s="241"/>
      <c r="O1432" s="241"/>
      <c r="P1432" s="241"/>
      <c r="Q1432" s="241"/>
      <c r="R1432" s="241"/>
      <c r="S1432" s="241"/>
      <c r="T1432" s="241"/>
      <c r="U1432" s="241"/>
      <c r="V1432" s="241"/>
      <c r="W1432" s="241"/>
      <c r="X1432" s="243"/>
      <c r="Y1432" s="243"/>
      <c r="Z1432" s="243"/>
      <c r="AA1432" s="243"/>
      <c r="AB1432" s="243"/>
      <c r="AC1432" s="243"/>
      <c r="AD1432" s="243"/>
      <c r="AE1432" s="243"/>
      <c r="AF1432" s="243"/>
      <c r="AG1432" s="243"/>
      <c r="AH1432" s="243"/>
      <c r="AI1432" s="243"/>
      <c r="AJ1432" s="243"/>
    </row>
    <row r="1433" hidden="1">
      <c r="A1433" s="241"/>
      <c r="B1433" s="241"/>
      <c r="C1433" s="241"/>
      <c r="D1433" s="241"/>
      <c r="E1433" s="241"/>
      <c r="F1433" s="241"/>
      <c r="G1433" s="241"/>
      <c r="H1433" s="241"/>
      <c r="I1433" s="241"/>
      <c r="J1433" s="241"/>
      <c r="K1433" s="241"/>
      <c r="L1433" s="242"/>
      <c r="M1433" s="241"/>
      <c r="N1433" s="241"/>
      <c r="O1433" s="241"/>
      <c r="P1433" s="241"/>
      <c r="Q1433" s="241"/>
      <c r="R1433" s="241"/>
      <c r="S1433" s="241"/>
      <c r="T1433" s="241"/>
      <c r="U1433" s="241"/>
      <c r="V1433" s="241"/>
      <c r="W1433" s="241"/>
      <c r="X1433" s="243"/>
      <c r="Y1433" s="243"/>
      <c r="Z1433" s="243"/>
      <c r="AA1433" s="243"/>
      <c r="AB1433" s="243"/>
      <c r="AC1433" s="243"/>
      <c r="AD1433" s="243"/>
      <c r="AE1433" s="243"/>
      <c r="AF1433" s="243"/>
      <c r="AG1433" s="243"/>
      <c r="AH1433" s="243"/>
      <c r="AI1433" s="243"/>
      <c r="AJ1433" s="243"/>
    </row>
    <row r="1434" hidden="1">
      <c r="A1434" s="241"/>
      <c r="B1434" s="241"/>
      <c r="C1434" s="241"/>
      <c r="D1434" s="241"/>
      <c r="E1434" s="241"/>
      <c r="F1434" s="241"/>
      <c r="G1434" s="241"/>
      <c r="H1434" s="241"/>
      <c r="I1434" s="241"/>
      <c r="J1434" s="241"/>
      <c r="K1434" s="241"/>
      <c r="L1434" s="242"/>
      <c r="M1434" s="241"/>
      <c r="N1434" s="241"/>
      <c r="O1434" s="241"/>
      <c r="P1434" s="241"/>
      <c r="Q1434" s="241"/>
      <c r="R1434" s="241"/>
      <c r="S1434" s="241"/>
      <c r="T1434" s="241"/>
      <c r="U1434" s="241"/>
      <c r="V1434" s="241"/>
      <c r="W1434" s="241"/>
      <c r="X1434" s="243"/>
      <c r="Y1434" s="243"/>
      <c r="Z1434" s="243"/>
      <c r="AA1434" s="243"/>
      <c r="AB1434" s="243"/>
      <c r="AC1434" s="243"/>
      <c r="AD1434" s="243"/>
      <c r="AE1434" s="243"/>
      <c r="AF1434" s="243"/>
      <c r="AG1434" s="243"/>
      <c r="AH1434" s="243"/>
      <c r="AI1434" s="243"/>
      <c r="AJ1434" s="243"/>
    </row>
    <row r="1435" hidden="1">
      <c r="A1435" s="241"/>
      <c r="B1435" s="241"/>
      <c r="C1435" s="241"/>
      <c r="D1435" s="241"/>
      <c r="E1435" s="241"/>
      <c r="F1435" s="241"/>
      <c r="G1435" s="241"/>
      <c r="H1435" s="241"/>
      <c r="I1435" s="241"/>
      <c r="J1435" s="241"/>
      <c r="K1435" s="241"/>
      <c r="L1435" s="242"/>
      <c r="M1435" s="241"/>
      <c r="N1435" s="241"/>
      <c r="O1435" s="241"/>
      <c r="P1435" s="241"/>
      <c r="Q1435" s="241"/>
      <c r="R1435" s="241"/>
      <c r="S1435" s="241"/>
      <c r="T1435" s="241"/>
      <c r="U1435" s="241"/>
      <c r="V1435" s="241"/>
      <c r="W1435" s="241"/>
      <c r="X1435" s="243"/>
      <c r="Y1435" s="243"/>
      <c r="Z1435" s="243"/>
      <c r="AA1435" s="243"/>
      <c r="AB1435" s="243"/>
      <c r="AC1435" s="243"/>
      <c r="AD1435" s="243"/>
      <c r="AE1435" s="243"/>
      <c r="AF1435" s="243"/>
      <c r="AG1435" s="243"/>
      <c r="AH1435" s="243"/>
      <c r="AI1435" s="243"/>
      <c r="AJ1435" s="243"/>
    </row>
    <row r="1436" hidden="1">
      <c r="A1436" s="241"/>
      <c r="B1436" s="241"/>
      <c r="C1436" s="241"/>
      <c r="D1436" s="241"/>
      <c r="E1436" s="241"/>
      <c r="F1436" s="241"/>
      <c r="G1436" s="241"/>
      <c r="H1436" s="241"/>
      <c r="I1436" s="241"/>
      <c r="J1436" s="241"/>
      <c r="K1436" s="241"/>
      <c r="L1436" s="242"/>
      <c r="M1436" s="241"/>
      <c r="N1436" s="241"/>
      <c r="O1436" s="241"/>
      <c r="P1436" s="241"/>
      <c r="Q1436" s="241"/>
      <c r="R1436" s="241"/>
      <c r="S1436" s="241"/>
      <c r="T1436" s="241"/>
      <c r="U1436" s="241"/>
      <c r="V1436" s="241"/>
      <c r="W1436" s="241"/>
      <c r="X1436" s="243"/>
      <c r="Y1436" s="243"/>
      <c r="Z1436" s="243"/>
      <c r="AA1436" s="243"/>
      <c r="AB1436" s="243"/>
      <c r="AC1436" s="243"/>
      <c r="AD1436" s="243"/>
      <c r="AE1436" s="243"/>
      <c r="AF1436" s="243"/>
      <c r="AG1436" s="243"/>
      <c r="AH1436" s="243"/>
      <c r="AI1436" s="243"/>
      <c r="AJ1436" s="243"/>
    </row>
    <row r="1437" hidden="1">
      <c r="A1437" s="241"/>
      <c r="B1437" s="241"/>
      <c r="C1437" s="241"/>
      <c r="D1437" s="241"/>
      <c r="E1437" s="241"/>
      <c r="F1437" s="241"/>
      <c r="G1437" s="241"/>
      <c r="H1437" s="241"/>
      <c r="I1437" s="241"/>
      <c r="J1437" s="241"/>
      <c r="K1437" s="241"/>
      <c r="L1437" s="242"/>
      <c r="M1437" s="241"/>
      <c r="N1437" s="241"/>
      <c r="O1437" s="241"/>
      <c r="P1437" s="241"/>
      <c r="Q1437" s="241"/>
      <c r="R1437" s="241"/>
      <c r="S1437" s="241"/>
      <c r="T1437" s="241"/>
      <c r="U1437" s="241"/>
      <c r="V1437" s="241"/>
      <c r="W1437" s="241"/>
      <c r="X1437" s="243"/>
      <c r="Y1437" s="243"/>
      <c r="Z1437" s="243"/>
      <c r="AA1437" s="243"/>
      <c r="AB1437" s="243"/>
      <c r="AC1437" s="243"/>
      <c r="AD1437" s="243"/>
      <c r="AE1437" s="243"/>
      <c r="AF1437" s="243"/>
      <c r="AG1437" s="243"/>
      <c r="AH1437" s="243"/>
      <c r="AI1437" s="243"/>
      <c r="AJ1437" s="243"/>
    </row>
    <row r="1438" hidden="1">
      <c r="A1438" s="241"/>
      <c r="B1438" s="241"/>
      <c r="C1438" s="241"/>
      <c r="D1438" s="241"/>
      <c r="E1438" s="241"/>
      <c r="F1438" s="241"/>
      <c r="G1438" s="241"/>
      <c r="H1438" s="241"/>
      <c r="I1438" s="241"/>
      <c r="J1438" s="241"/>
      <c r="K1438" s="241"/>
      <c r="L1438" s="242"/>
      <c r="M1438" s="241"/>
      <c r="N1438" s="241"/>
      <c r="O1438" s="241"/>
      <c r="P1438" s="241"/>
      <c r="Q1438" s="241"/>
      <c r="R1438" s="241"/>
      <c r="S1438" s="241"/>
      <c r="T1438" s="241"/>
      <c r="U1438" s="241"/>
      <c r="V1438" s="241"/>
      <c r="W1438" s="241"/>
      <c r="X1438" s="243"/>
      <c r="Y1438" s="243"/>
      <c r="Z1438" s="243"/>
      <c r="AA1438" s="243"/>
      <c r="AB1438" s="243"/>
      <c r="AC1438" s="243"/>
      <c r="AD1438" s="243"/>
      <c r="AE1438" s="243"/>
      <c r="AF1438" s="243"/>
      <c r="AG1438" s="243"/>
      <c r="AH1438" s="243"/>
      <c r="AI1438" s="243"/>
      <c r="AJ1438" s="243"/>
    </row>
    <row r="1439" hidden="1">
      <c r="A1439" s="241"/>
      <c r="B1439" s="241"/>
      <c r="C1439" s="241"/>
      <c r="D1439" s="241"/>
      <c r="E1439" s="241"/>
      <c r="F1439" s="241"/>
      <c r="G1439" s="241"/>
      <c r="H1439" s="241"/>
      <c r="I1439" s="241"/>
      <c r="J1439" s="241"/>
      <c r="K1439" s="241"/>
      <c r="L1439" s="242"/>
      <c r="M1439" s="241"/>
      <c r="N1439" s="241"/>
      <c r="O1439" s="241"/>
      <c r="P1439" s="241"/>
      <c r="Q1439" s="241"/>
      <c r="R1439" s="241"/>
      <c r="S1439" s="241"/>
      <c r="T1439" s="241"/>
      <c r="U1439" s="241"/>
      <c r="V1439" s="241"/>
      <c r="W1439" s="241"/>
      <c r="X1439" s="243"/>
      <c r="Y1439" s="243"/>
      <c r="Z1439" s="243"/>
      <c r="AA1439" s="243"/>
      <c r="AB1439" s="243"/>
      <c r="AC1439" s="243"/>
      <c r="AD1439" s="243"/>
      <c r="AE1439" s="243"/>
      <c r="AF1439" s="243"/>
      <c r="AG1439" s="243"/>
      <c r="AH1439" s="243"/>
      <c r="AI1439" s="243"/>
      <c r="AJ1439" s="243"/>
    </row>
    <row r="1440" hidden="1">
      <c r="A1440" s="241"/>
      <c r="B1440" s="241"/>
      <c r="C1440" s="241"/>
      <c r="D1440" s="241"/>
      <c r="E1440" s="241"/>
      <c r="F1440" s="241"/>
      <c r="G1440" s="241"/>
      <c r="H1440" s="241"/>
      <c r="I1440" s="241"/>
      <c r="J1440" s="241"/>
      <c r="K1440" s="241"/>
      <c r="L1440" s="242"/>
      <c r="M1440" s="241"/>
      <c r="N1440" s="241"/>
      <c r="O1440" s="241"/>
      <c r="P1440" s="241"/>
      <c r="Q1440" s="241"/>
      <c r="R1440" s="241"/>
      <c r="S1440" s="241"/>
      <c r="T1440" s="241"/>
      <c r="U1440" s="241"/>
      <c r="V1440" s="241"/>
      <c r="W1440" s="241"/>
      <c r="X1440" s="243"/>
      <c r="Y1440" s="243"/>
      <c r="Z1440" s="243"/>
      <c r="AA1440" s="243"/>
      <c r="AB1440" s="243"/>
      <c r="AC1440" s="243"/>
      <c r="AD1440" s="243"/>
      <c r="AE1440" s="243"/>
      <c r="AF1440" s="243"/>
      <c r="AG1440" s="243"/>
      <c r="AH1440" s="243"/>
      <c r="AI1440" s="243"/>
      <c r="AJ1440" s="243"/>
    </row>
    <row r="1441" hidden="1">
      <c r="A1441" s="241"/>
      <c r="B1441" s="241"/>
      <c r="C1441" s="241"/>
      <c r="D1441" s="241"/>
      <c r="E1441" s="241"/>
      <c r="F1441" s="241"/>
      <c r="G1441" s="241"/>
      <c r="H1441" s="241"/>
      <c r="I1441" s="241"/>
      <c r="J1441" s="241"/>
      <c r="K1441" s="241"/>
      <c r="L1441" s="242"/>
      <c r="M1441" s="241"/>
      <c r="N1441" s="241"/>
      <c r="O1441" s="241"/>
      <c r="P1441" s="241"/>
      <c r="Q1441" s="241"/>
      <c r="R1441" s="241"/>
      <c r="S1441" s="241"/>
      <c r="T1441" s="241"/>
      <c r="U1441" s="241"/>
      <c r="V1441" s="241"/>
      <c r="W1441" s="241"/>
      <c r="X1441" s="243"/>
      <c r="Y1441" s="243"/>
      <c r="Z1441" s="243"/>
      <c r="AA1441" s="243"/>
      <c r="AB1441" s="243"/>
      <c r="AC1441" s="243"/>
      <c r="AD1441" s="243"/>
      <c r="AE1441" s="243"/>
      <c r="AF1441" s="243"/>
      <c r="AG1441" s="243"/>
      <c r="AH1441" s="243"/>
      <c r="AI1441" s="243"/>
      <c r="AJ1441" s="243"/>
    </row>
    <row r="1442" hidden="1">
      <c r="A1442" s="241"/>
      <c r="B1442" s="241"/>
      <c r="C1442" s="241"/>
      <c r="D1442" s="241"/>
      <c r="E1442" s="241"/>
      <c r="F1442" s="241"/>
      <c r="G1442" s="241"/>
      <c r="H1442" s="241"/>
      <c r="I1442" s="241"/>
      <c r="J1442" s="241"/>
      <c r="K1442" s="241"/>
      <c r="L1442" s="242"/>
      <c r="M1442" s="241"/>
      <c r="N1442" s="241"/>
      <c r="O1442" s="241"/>
      <c r="P1442" s="241"/>
      <c r="Q1442" s="241"/>
      <c r="R1442" s="241"/>
      <c r="S1442" s="241"/>
      <c r="T1442" s="241"/>
      <c r="U1442" s="241"/>
      <c r="V1442" s="241"/>
      <c r="W1442" s="241"/>
      <c r="X1442" s="243"/>
      <c r="Y1442" s="243"/>
      <c r="Z1442" s="243"/>
      <c r="AA1442" s="243"/>
      <c r="AB1442" s="243"/>
      <c r="AC1442" s="243"/>
      <c r="AD1442" s="243"/>
      <c r="AE1442" s="243"/>
      <c r="AF1442" s="243"/>
      <c r="AG1442" s="243"/>
      <c r="AH1442" s="243"/>
      <c r="AI1442" s="243"/>
      <c r="AJ1442" s="243"/>
    </row>
    <row r="1443" hidden="1">
      <c r="A1443" s="241"/>
      <c r="B1443" s="241"/>
      <c r="C1443" s="241"/>
      <c r="D1443" s="241"/>
      <c r="E1443" s="241"/>
      <c r="F1443" s="241"/>
      <c r="G1443" s="241"/>
      <c r="H1443" s="241"/>
      <c r="I1443" s="241"/>
      <c r="J1443" s="241"/>
      <c r="K1443" s="241"/>
      <c r="L1443" s="242"/>
      <c r="M1443" s="241"/>
      <c r="N1443" s="241"/>
      <c r="O1443" s="241"/>
      <c r="P1443" s="241"/>
      <c r="Q1443" s="241"/>
      <c r="R1443" s="241"/>
      <c r="S1443" s="241"/>
      <c r="T1443" s="241"/>
      <c r="U1443" s="241"/>
      <c r="V1443" s="241"/>
      <c r="W1443" s="241"/>
      <c r="X1443" s="243"/>
      <c r="Y1443" s="243"/>
      <c r="Z1443" s="243"/>
      <c r="AA1443" s="243"/>
      <c r="AB1443" s="243"/>
      <c r="AC1443" s="243"/>
      <c r="AD1443" s="243"/>
      <c r="AE1443" s="243"/>
      <c r="AF1443" s="243"/>
      <c r="AG1443" s="243"/>
      <c r="AH1443" s="243"/>
      <c r="AI1443" s="243"/>
      <c r="AJ1443" s="243"/>
    </row>
    <row r="1444" hidden="1">
      <c r="A1444" s="241"/>
      <c r="B1444" s="241"/>
      <c r="C1444" s="241"/>
      <c r="D1444" s="241"/>
      <c r="E1444" s="241"/>
      <c r="F1444" s="241"/>
      <c r="G1444" s="241"/>
      <c r="H1444" s="241"/>
      <c r="I1444" s="241"/>
      <c r="J1444" s="241"/>
      <c r="K1444" s="241"/>
      <c r="L1444" s="242"/>
      <c r="M1444" s="241"/>
      <c r="N1444" s="241"/>
      <c r="O1444" s="241"/>
      <c r="P1444" s="241"/>
      <c r="Q1444" s="241"/>
      <c r="R1444" s="241"/>
      <c r="S1444" s="241"/>
      <c r="T1444" s="241"/>
      <c r="U1444" s="241"/>
      <c r="V1444" s="241"/>
      <c r="W1444" s="241"/>
      <c r="X1444" s="243"/>
      <c r="Y1444" s="243"/>
      <c r="Z1444" s="243"/>
      <c r="AA1444" s="243"/>
      <c r="AB1444" s="243"/>
      <c r="AC1444" s="243"/>
      <c r="AD1444" s="243"/>
      <c r="AE1444" s="243"/>
      <c r="AF1444" s="243"/>
      <c r="AG1444" s="243"/>
      <c r="AH1444" s="243"/>
      <c r="AI1444" s="243"/>
      <c r="AJ1444" s="243"/>
    </row>
    <row r="1445" hidden="1">
      <c r="A1445" s="241"/>
      <c r="B1445" s="241"/>
      <c r="C1445" s="241"/>
      <c r="D1445" s="241"/>
      <c r="E1445" s="241"/>
      <c r="F1445" s="241"/>
      <c r="G1445" s="241"/>
      <c r="H1445" s="241"/>
      <c r="I1445" s="241"/>
      <c r="J1445" s="241"/>
      <c r="K1445" s="241"/>
      <c r="L1445" s="242"/>
      <c r="M1445" s="241"/>
      <c r="N1445" s="241"/>
      <c r="O1445" s="241"/>
      <c r="P1445" s="241"/>
      <c r="Q1445" s="241"/>
      <c r="R1445" s="241"/>
      <c r="S1445" s="241"/>
      <c r="T1445" s="241"/>
      <c r="U1445" s="241"/>
      <c r="V1445" s="241"/>
      <c r="W1445" s="241"/>
      <c r="X1445" s="243"/>
      <c r="Y1445" s="243"/>
      <c r="Z1445" s="243"/>
      <c r="AA1445" s="243"/>
      <c r="AB1445" s="243"/>
      <c r="AC1445" s="243"/>
      <c r="AD1445" s="243"/>
      <c r="AE1445" s="243"/>
      <c r="AF1445" s="243"/>
      <c r="AG1445" s="243"/>
      <c r="AH1445" s="243"/>
      <c r="AI1445" s="243"/>
      <c r="AJ1445" s="243"/>
    </row>
    <row r="1446" hidden="1">
      <c r="A1446" s="241"/>
      <c r="B1446" s="241"/>
      <c r="C1446" s="241"/>
      <c r="D1446" s="241"/>
      <c r="E1446" s="241"/>
      <c r="F1446" s="241"/>
      <c r="G1446" s="241"/>
      <c r="H1446" s="241"/>
      <c r="I1446" s="241"/>
      <c r="J1446" s="241"/>
      <c r="K1446" s="241"/>
      <c r="L1446" s="242"/>
      <c r="M1446" s="241"/>
      <c r="N1446" s="241"/>
      <c r="O1446" s="241"/>
      <c r="P1446" s="241"/>
      <c r="Q1446" s="241"/>
      <c r="R1446" s="241"/>
      <c r="S1446" s="241"/>
      <c r="T1446" s="241"/>
      <c r="U1446" s="241"/>
      <c r="V1446" s="241"/>
      <c r="W1446" s="241"/>
      <c r="X1446" s="243"/>
      <c r="Y1446" s="243"/>
      <c r="Z1446" s="243"/>
      <c r="AA1446" s="243"/>
      <c r="AB1446" s="243"/>
      <c r="AC1446" s="243"/>
      <c r="AD1446" s="243"/>
      <c r="AE1446" s="243"/>
      <c r="AF1446" s="243"/>
      <c r="AG1446" s="243"/>
      <c r="AH1446" s="243"/>
      <c r="AI1446" s="243"/>
      <c r="AJ1446" s="243"/>
    </row>
    <row r="1447" hidden="1">
      <c r="A1447" s="241"/>
      <c r="B1447" s="241"/>
      <c r="C1447" s="241"/>
      <c r="D1447" s="241"/>
      <c r="E1447" s="241"/>
      <c r="F1447" s="241"/>
      <c r="G1447" s="241"/>
      <c r="H1447" s="241"/>
      <c r="I1447" s="241"/>
      <c r="J1447" s="241"/>
      <c r="K1447" s="241"/>
      <c r="L1447" s="242"/>
      <c r="M1447" s="241"/>
      <c r="N1447" s="241"/>
      <c r="O1447" s="241"/>
      <c r="P1447" s="241"/>
      <c r="Q1447" s="241"/>
      <c r="R1447" s="241"/>
      <c r="S1447" s="241"/>
      <c r="T1447" s="241"/>
      <c r="U1447" s="241"/>
      <c r="V1447" s="241"/>
      <c r="W1447" s="241"/>
      <c r="X1447" s="243"/>
      <c r="Y1447" s="243"/>
      <c r="Z1447" s="243"/>
      <c r="AA1447" s="243"/>
      <c r="AB1447" s="243"/>
      <c r="AC1447" s="243"/>
      <c r="AD1447" s="243"/>
      <c r="AE1447" s="243"/>
      <c r="AF1447" s="243"/>
      <c r="AG1447" s="243"/>
      <c r="AH1447" s="243"/>
      <c r="AI1447" s="243"/>
      <c r="AJ1447" s="243"/>
    </row>
    <row r="1448" hidden="1">
      <c r="A1448" s="241"/>
      <c r="B1448" s="241"/>
      <c r="C1448" s="241"/>
      <c r="D1448" s="241"/>
      <c r="E1448" s="241"/>
      <c r="F1448" s="241"/>
      <c r="G1448" s="241"/>
      <c r="H1448" s="241"/>
      <c r="I1448" s="241"/>
      <c r="J1448" s="241"/>
      <c r="K1448" s="241"/>
      <c r="L1448" s="242"/>
      <c r="M1448" s="241"/>
      <c r="N1448" s="241"/>
      <c r="O1448" s="241"/>
      <c r="P1448" s="241"/>
      <c r="Q1448" s="241"/>
      <c r="R1448" s="241"/>
      <c r="S1448" s="241"/>
      <c r="T1448" s="241"/>
      <c r="U1448" s="241"/>
      <c r="V1448" s="241"/>
      <c r="W1448" s="241"/>
      <c r="X1448" s="243"/>
      <c r="Y1448" s="243"/>
      <c r="Z1448" s="243"/>
      <c r="AA1448" s="243"/>
      <c r="AB1448" s="243"/>
      <c r="AC1448" s="243"/>
      <c r="AD1448" s="243"/>
      <c r="AE1448" s="243"/>
      <c r="AF1448" s="243"/>
      <c r="AG1448" s="243"/>
      <c r="AH1448" s="243"/>
      <c r="AI1448" s="243"/>
      <c r="AJ1448" s="243"/>
    </row>
    <row r="1449" hidden="1">
      <c r="A1449" s="241"/>
      <c r="B1449" s="241"/>
      <c r="C1449" s="241"/>
      <c r="D1449" s="241"/>
      <c r="E1449" s="241"/>
      <c r="F1449" s="241"/>
      <c r="G1449" s="241"/>
      <c r="H1449" s="241"/>
      <c r="I1449" s="241"/>
      <c r="J1449" s="241"/>
      <c r="K1449" s="241"/>
      <c r="L1449" s="242"/>
      <c r="M1449" s="241"/>
      <c r="N1449" s="241"/>
      <c r="O1449" s="241"/>
      <c r="P1449" s="241"/>
      <c r="Q1449" s="241"/>
      <c r="R1449" s="241"/>
      <c r="S1449" s="241"/>
      <c r="T1449" s="241"/>
      <c r="U1449" s="241"/>
      <c r="V1449" s="241"/>
      <c r="W1449" s="241"/>
      <c r="X1449" s="243"/>
      <c r="Y1449" s="243"/>
      <c r="Z1449" s="243"/>
      <c r="AA1449" s="243"/>
      <c r="AB1449" s="243"/>
      <c r="AC1449" s="243"/>
      <c r="AD1449" s="243"/>
      <c r="AE1449" s="243"/>
      <c r="AF1449" s="243"/>
      <c r="AG1449" s="243"/>
      <c r="AH1449" s="243"/>
      <c r="AI1449" s="243"/>
      <c r="AJ1449" s="243"/>
    </row>
    <row r="1450" hidden="1">
      <c r="A1450" s="241"/>
      <c r="B1450" s="241"/>
      <c r="C1450" s="241"/>
      <c r="D1450" s="241"/>
      <c r="E1450" s="241"/>
      <c r="F1450" s="241"/>
      <c r="G1450" s="241"/>
      <c r="H1450" s="241"/>
      <c r="I1450" s="241"/>
      <c r="J1450" s="241"/>
      <c r="K1450" s="241"/>
      <c r="L1450" s="242"/>
      <c r="M1450" s="241"/>
      <c r="N1450" s="241"/>
      <c r="O1450" s="241"/>
      <c r="P1450" s="241"/>
      <c r="Q1450" s="241"/>
      <c r="R1450" s="241"/>
      <c r="S1450" s="241"/>
      <c r="T1450" s="241"/>
      <c r="U1450" s="241"/>
      <c r="V1450" s="241"/>
      <c r="W1450" s="241"/>
      <c r="X1450" s="243"/>
      <c r="Y1450" s="243"/>
      <c r="Z1450" s="243"/>
      <c r="AA1450" s="243"/>
      <c r="AB1450" s="243"/>
      <c r="AC1450" s="243"/>
      <c r="AD1450" s="243"/>
      <c r="AE1450" s="243"/>
      <c r="AF1450" s="243"/>
      <c r="AG1450" s="243"/>
      <c r="AH1450" s="243"/>
      <c r="AI1450" s="243"/>
      <c r="AJ1450" s="243"/>
    </row>
    <row r="1451" hidden="1">
      <c r="A1451" s="241"/>
      <c r="B1451" s="241"/>
      <c r="C1451" s="241"/>
      <c r="D1451" s="241"/>
      <c r="E1451" s="241"/>
      <c r="F1451" s="241"/>
      <c r="G1451" s="241"/>
      <c r="H1451" s="241"/>
      <c r="I1451" s="241"/>
      <c r="J1451" s="241"/>
      <c r="K1451" s="241"/>
      <c r="L1451" s="242"/>
      <c r="M1451" s="241"/>
      <c r="N1451" s="241"/>
      <c r="O1451" s="241"/>
      <c r="P1451" s="241"/>
      <c r="Q1451" s="241"/>
      <c r="R1451" s="241"/>
      <c r="S1451" s="241"/>
      <c r="T1451" s="241"/>
      <c r="U1451" s="241"/>
      <c r="V1451" s="241"/>
      <c r="W1451" s="241"/>
      <c r="X1451" s="243"/>
      <c r="Y1451" s="243"/>
      <c r="Z1451" s="243"/>
      <c r="AA1451" s="243"/>
      <c r="AB1451" s="243"/>
      <c r="AC1451" s="243"/>
      <c r="AD1451" s="243"/>
      <c r="AE1451" s="243"/>
      <c r="AF1451" s="243"/>
      <c r="AG1451" s="243"/>
      <c r="AH1451" s="243"/>
      <c r="AI1451" s="243"/>
      <c r="AJ1451" s="243"/>
    </row>
    <row r="1452" hidden="1">
      <c r="A1452" s="241"/>
      <c r="B1452" s="241"/>
      <c r="C1452" s="241"/>
      <c r="D1452" s="241"/>
      <c r="E1452" s="241"/>
      <c r="F1452" s="241"/>
      <c r="G1452" s="241"/>
      <c r="H1452" s="241"/>
      <c r="I1452" s="241"/>
      <c r="J1452" s="241"/>
      <c r="K1452" s="241"/>
      <c r="L1452" s="242"/>
      <c r="M1452" s="241"/>
      <c r="N1452" s="241"/>
      <c r="O1452" s="241"/>
      <c r="P1452" s="241"/>
      <c r="Q1452" s="241"/>
      <c r="R1452" s="241"/>
      <c r="S1452" s="241"/>
      <c r="T1452" s="241"/>
      <c r="U1452" s="241"/>
      <c r="V1452" s="241"/>
      <c r="W1452" s="241"/>
      <c r="X1452" s="243"/>
      <c r="Y1452" s="243"/>
      <c r="Z1452" s="243"/>
      <c r="AA1452" s="243"/>
      <c r="AB1452" s="243"/>
      <c r="AC1452" s="243"/>
      <c r="AD1452" s="243"/>
      <c r="AE1452" s="243"/>
      <c r="AF1452" s="243"/>
      <c r="AG1452" s="243"/>
      <c r="AH1452" s="243"/>
      <c r="AI1452" s="243"/>
      <c r="AJ1452" s="243"/>
    </row>
    <row r="1453" hidden="1">
      <c r="A1453" s="241"/>
      <c r="B1453" s="241"/>
      <c r="C1453" s="241"/>
      <c r="D1453" s="241"/>
      <c r="E1453" s="241"/>
      <c r="F1453" s="241"/>
      <c r="G1453" s="241"/>
      <c r="H1453" s="241"/>
      <c r="I1453" s="241"/>
      <c r="J1453" s="241"/>
      <c r="K1453" s="241"/>
      <c r="L1453" s="242"/>
      <c r="M1453" s="241"/>
      <c r="N1453" s="241"/>
      <c r="O1453" s="241"/>
      <c r="P1453" s="241"/>
      <c r="Q1453" s="241"/>
      <c r="R1453" s="241"/>
      <c r="S1453" s="241"/>
      <c r="T1453" s="241"/>
      <c r="U1453" s="241"/>
      <c r="V1453" s="241"/>
      <c r="W1453" s="241"/>
      <c r="X1453" s="243"/>
      <c r="Y1453" s="243"/>
      <c r="Z1453" s="243"/>
      <c r="AA1453" s="243"/>
      <c r="AB1453" s="243"/>
      <c r="AC1453" s="243"/>
      <c r="AD1453" s="243"/>
      <c r="AE1453" s="243"/>
      <c r="AF1453" s="243"/>
      <c r="AG1453" s="243"/>
      <c r="AH1453" s="243"/>
      <c r="AI1453" s="243"/>
      <c r="AJ1453" s="243"/>
    </row>
    <row r="1454" hidden="1">
      <c r="A1454" s="241"/>
      <c r="B1454" s="241"/>
      <c r="C1454" s="241"/>
      <c r="D1454" s="241"/>
      <c r="E1454" s="241"/>
      <c r="F1454" s="241"/>
      <c r="G1454" s="241"/>
      <c r="H1454" s="241"/>
      <c r="I1454" s="241"/>
      <c r="J1454" s="241"/>
      <c r="K1454" s="241"/>
      <c r="L1454" s="242"/>
      <c r="M1454" s="241"/>
      <c r="N1454" s="241"/>
      <c r="O1454" s="241"/>
      <c r="P1454" s="241"/>
      <c r="Q1454" s="241"/>
      <c r="R1454" s="241"/>
      <c r="S1454" s="241"/>
      <c r="T1454" s="241"/>
      <c r="U1454" s="241"/>
      <c r="V1454" s="241"/>
      <c r="W1454" s="241"/>
      <c r="X1454" s="243"/>
      <c r="Y1454" s="243"/>
      <c r="Z1454" s="243"/>
      <c r="AA1454" s="243"/>
      <c r="AB1454" s="243"/>
      <c r="AC1454" s="243"/>
      <c r="AD1454" s="243"/>
      <c r="AE1454" s="243"/>
      <c r="AF1454" s="243"/>
      <c r="AG1454" s="243"/>
      <c r="AH1454" s="243"/>
      <c r="AI1454" s="243"/>
      <c r="AJ1454" s="243"/>
    </row>
    <row r="1455" hidden="1">
      <c r="A1455" s="241"/>
      <c r="B1455" s="241"/>
      <c r="C1455" s="241"/>
      <c r="D1455" s="241"/>
      <c r="E1455" s="241"/>
      <c r="F1455" s="241"/>
      <c r="G1455" s="241"/>
      <c r="H1455" s="241"/>
      <c r="I1455" s="241"/>
      <c r="J1455" s="241"/>
      <c r="K1455" s="241"/>
      <c r="L1455" s="242"/>
      <c r="M1455" s="241"/>
      <c r="N1455" s="241"/>
      <c r="O1455" s="241"/>
      <c r="P1455" s="241"/>
      <c r="Q1455" s="241"/>
      <c r="R1455" s="241"/>
      <c r="S1455" s="241"/>
      <c r="T1455" s="241"/>
      <c r="U1455" s="241"/>
      <c r="V1455" s="241"/>
      <c r="W1455" s="241"/>
      <c r="X1455" s="243"/>
      <c r="Y1455" s="243"/>
      <c r="Z1455" s="243"/>
      <c r="AA1455" s="243"/>
      <c r="AB1455" s="243"/>
      <c r="AC1455" s="243"/>
      <c r="AD1455" s="243"/>
      <c r="AE1455" s="243"/>
      <c r="AF1455" s="243"/>
      <c r="AG1455" s="243"/>
      <c r="AH1455" s="243"/>
      <c r="AI1455" s="243"/>
      <c r="AJ1455" s="243"/>
    </row>
    <row r="1456" hidden="1">
      <c r="A1456" s="241"/>
      <c r="B1456" s="241"/>
      <c r="C1456" s="241"/>
      <c r="D1456" s="241"/>
      <c r="E1456" s="241"/>
      <c r="F1456" s="241"/>
      <c r="G1456" s="241"/>
      <c r="H1456" s="241"/>
      <c r="I1456" s="241"/>
      <c r="J1456" s="241"/>
      <c r="K1456" s="241"/>
      <c r="L1456" s="242"/>
      <c r="M1456" s="241"/>
      <c r="N1456" s="241"/>
      <c r="O1456" s="241"/>
      <c r="P1456" s="241"/>
      <c r="Q1456" s="241"/>
      <c r="R1456" s="241"/>
      <c r="S1456" s="241"/>
      <c r="T1456" s="241"/>
      <c r="U1456" s="241"/>
      <c r="V1456" s="241"/>
      <c r="W1456" s="241"/>
      <c r="X1456" s="243"/>
      <c r="Y1456" s="243"/>
      <c r="Z1456" s="243"/>
      <c r="AA1456" s="243"/>
      <c r="AB1456" s="243"/>
      <c r="AC1456" s="243"/>
      <c r="AD1456" s="243"/>
      <c r="AE1456" s="243"/>
      <c r="AF1456" s="243"/>
      <c r="AG1456" s="243"/>
      <c r="AH1456" s="243"/>
      <c r="AI1456" s="243"/>
      <c r="AJ1456" s="243"/>
    </row>
    <row r="1457" hidden="1">
      <c r="A1457" s="241"/>
      <c r="B1457" s="241"/>
      <c r="C1457" s="241"/>
      <c r="D1457" s="241"/>
      <c r="E1457" s="241"/>
      <c r="F1457" s="241"/>
      <c r="G1457" s="241"/>
      <c r="H1457" s="241"/>
      <c r="I1457" s="241"/>
      <c r="J1457" s="241"/>
      <c r="K1457" s="241"/>
      <c r="L1457" s="242"/>
      <c r="M1457" s="241"/>
      <c r="N1457" s="241"/>
      <c r="O1457" s="241"/>
      <c r="P1457" s="241"/>
      <c r="Q1457" s="241"/>
      <c r="R1457" s="241"/>
      <c r="S1457" s="241"/>
      <c r="T1457" s="241"/>
      <c r="U1457" s="241"/>
      <c r="V1457" s="241"/>
      <c r="W1457" s="241"/>
      <c r="X1457" s="243"/>
      <c r="Y1457" s="243"/>
      <c r="Z1457" s="243"/>
      <c r="AA1457" s="243"/>
      <c r="AB1457" s="243"/>
      <c r="AC1457" s="243"/>
      <c r="AD1457" s="243"/>
      <c r="AE1457" s="243"/>
      <c r="AF1457" s="243"/>
      <c r="AG1457" s="243"/>
      <c r="AH1457" s="243"/>
      <c r="AI1457" s="243"/>
      <c r="AJ1457" s="243"/>
    </row>
    <row r="1458" hidden="1">
      <c r="A1458" s="241"/>
      <c r="B1458" s="241"/>
      <c r="C1458" s="241"/>
      <c r="D1458" s="241"/>
      <c r="E1458" s="241"/>
      <c r="F1458" s="241"/>
      <c r="G1458" s="241"/>
      <c r="H1458" s="241"/>
      <c r="I1458" s="241"/>
      <c r="J1458" s="241"/>
      <c r="K1458" s="241"/>
      <c r="L1458" s="242"/>
      <c r="M1458" s="241"/>
      <c r="N1458" s="241"/>
      <c r="O1458" s="241"/>
      <c r="P1458" s="241"/>
      <c r="Q1458" s="241"/>
      <c r="R1458" s="241"/>
      <c r="S1458" s="241"/>
      <c r="T1458" s="241"/>
      <c r="U1458" s="241"/>
      <c r="V1458" s="241"/>
      <c r="W1458" s="241"/>
      <c r="X1458" s="243"/>
      <c r="Y1458" s="243"/>
      <c r="Z1458" s="243"/>
      <c r="AA1458" s="243"/>
      <c r="AB1458" s="243"/>
      <c r="AC1458" s="243"/>
      <c r="AD1458" s="243"/>
      <c r="AE1458" s="243"/>
      <c r="AF1458" s="243"/>
      <c r="AG1458" s="243"/>
      <c r="AH1458" s="243"/>
      <c r="AI1458" s="243"/>
      <c r="AJ1458" s="243"/>
    </row>
    <row r="1459" hidden="1">
      <c r="A1459" s="241"/>
      <c r="B1459" s="241"/>
      <c r="C1459" s="241"/>
      <c r="D1459" s="241"/>
      <c r="E1459" s="241"/>
      <c r="F1459" s="241"/>
      <c r="G1459" s="241"/>
      <c r="H1459" s="241"/>
      <c r="I1459" s="241"/>
      <c r="J1459" s="241"/>
      <c r="K1459" s="241"/>
      <c r="L1459" s="242"/>
      <c r="M1459" s="241"/>
      <c r="N1459" s="241"/>
      <c r="O1459" s="241"/>
      <c r="P1459" s="241"/>
      <c r="Q1459" s="241"/>
      <c r="R1459" s="241"/>
      <c r="S1459" s="241"/>
      <c r="T1459" s="241"/>
      <c r="U1459" s="241"/>
      <c r="V1459" s="241"/>
      <c r="W1459" s="241"/>
      <c r="X1459" s="243"/>
      <c r="Y1459" s="243"/>
      <c r="Z1459" s="243"/>
      <c r="AA1459" s="243"/>
      <c r="AB1459" s="243"/>
      <c r="AC1459" s="243"/>
      <c r="AD1459" s="243"/>
      <c r="AE1459" s="243"/>
      <c r="AF1459" s="243"/>
      <c r="AG1459" s="243"/>
      <c r="AH1459" s="243"/>
      <c r="AI1459" s="243"/>
      <c r="AJ1459" s="243"/>
    </row>
    <row r="1460" hidden="1">
      <c r="A1460" s="241"/>
      <c r="B1460" s="241"/>
      <c r="C1460" s="241"/>
      <c r="D1460" s="241"/>
      <c r="E1460" s="241"/>
      <c r="F1460" s="241"/>
      <c r="G1460" s="241"/>
      <c r="H1460" s="241"/>
      <c r="I1460" s="241"/>
      <c r="J1460" s="241"/>
      <c r="K1460" s="241"/>
      <c r="L1460" s="242"/>
      <c r="M1460" s="241"/>
      <c r="N1460" s="241"/>
      <c r="O1460" s="241"/>
      <c r="P1460" s="241"/>
      <c r="Q1460" s="241"/>
      <c r="R1460" s="241"/>
      <c r="S1460" s="241"/>
      <c r="T1460" s="241"/>
      <c r="U1460" s="241"/>
      <c r="V1460" s="241"/>
      <c r="W1460" s="241"/>
      <c r="X1460" s="243"/>
      <c r="Y1460" s="243"/>
      <c r="Z1460" s="243"/>
      <c r="AA1460" s="243"/>
      <c r="AB1460" s="243"/>
      <c r="AC1460" s="243"/>
      <c r="AD1460" s="243"/>
      <c r="AE1460" s="243"/>
      <c r="AF1460" s="243"/>
      <c r="AG1460" s="243"/>
      <c r="AH1460" s="243"/>
      <c r="AI1460" s="243"/>
      <c r="AJ1460" s="243"/>
    </row>
    <row r="1461" hidden="1">
      <c r="A1461" s="241"/>
      <c r="B1461" s="241"/>
      <c r="C1461" s="241"/>
      <c r="D1461" s="241"/>
      <c r="E1461" s="241"/>
      <c r="F1461" s="241"/>
      <c r="G1461" s="241"/>
      <c r="H1461" s="241"/>
      <c r="I1461" s="241"/>
      <c r="J1461" s="241"/>
      <c r="K1461" s="241"/>
      <c r="L1461" s="242"/>
      <c r="M1461" s="241"/>
      <c r="N1461" s="241"/>
      <c r="O1461" s="241"/>
      <c r="P1461" s="241"/>
      <c r="Q1461" s="241"/>
      <c r="R1461" s="241"/>
      <c r="S1461" s="241"/>
      <c r="T1461" s="241"/>
      <c r="U1461" s="241"/>
      <c r="V1461" s="241"/>
      <c r="W1461" s="241"/>
      <c r="X1461" s="243"/>
      <c r="Y1461" s="243"/>
      <c r="Z1461" s="243"/>
      <c r="AA1461" s="243"/>
      <c r="AB1461" s="243"/>
      <c r="AC1461" s="243"/>
      <c r="AD1461" s="243"/>
      <c r="AE1461" s="243"/>
      <c r="AF1461" s="243"/>
      <c r="AG1461" s="243"/>
      <c r="AH1461" s="243"/>
      <c r="AI1461" s="243"/>
      <c r="AJ1461" s="243"/>
    </row>
    <row r="1462" hidden="1">
      <c r="A1462" s="241"/>
      <c r="B1462" s="241"/>
      <c r="C1462" s="241"/>
      <c r="D1462" s="241"/>
      <c r="E1462" s="241"/>
      <c r="F1462" s="241"/>
      <c r="G1462" s="241"/>
      <c r="H1462" s="241"/>
      <c r="I1462" s="241"/>
      <c r="J1462" s="241"/>
      <c r="K1462" s="241"/>
      <c r="L1462" s="242"/>
      <c r="M1462" s="241"/>
      <c r="N1462" s="241"/>
      <c r="O1462" s="241"/>
      <c r="P1462" s="241"/>
      <c r="Q1462" s="241"/>
      <c r="R1462" s="241"/>
      <c r="S1462" s="241"/>
      <c r="T1462" s="241"/>
      <c r="U1462" s="241"/>
      <c r="V1462" s="241"/>
      <c r="W1462" s="241"/>
      <c r="X1462" s="243"/>
      <c r="Y1462" s="243"/>
      <c r="Z1462" s="243"/>
      <c r="AA1462" s="243"/>
      <c r="AB1462" s="243"/>
      <c r="AC1462" s="243"/>
      <c r="AD1462" s="243"/>
      <c r="AE1462" s="243"/>
      <c r="AF1462" s="243"/>
      <c r="AG1462" s="243"/>
      <c r="AH1462" s="243"/>
      <c r="AI1462" s="243"/>
      <c r="AJ1462" s="243"/>
    </row>
    <row r="1463" hidden="1">
      <c r="A1463" s="241"/>
      <c r="B1463" s="241"/>
      <c r="C1463" s="241"/>
      <c r="D1463" s="241"/>
      <c r="E1463" s="241"/>
      <c r="F1463" s="241"/>
      <c r="G1463" s="241"/>
      <c r="H1463" s="241"/>
      <c r="I1463" s="241"/>
      <c r="J1463" s="241"/>
      <c r="K1463" s="241"/>
      <c r="L1463" s="242"/>
      <c r="M1463" s="241"/>
      <c r="N1463" s="241"/>
      <c r="O1463" s="241"/>
      <c r="P1463" s="241"/>
      <c r="Q1463" s="241"/>
      <c r="R1463" s="241"/>
      <c r="S1463" s="241"/>
      <c r="T1463" s="241"/>
      <c r="U1463" s="241"/>
      <c r="V1463" s="241"/>
      <c r="W1463" s="241"/>
      <c r="X1463" s="243"/>
      <c r="Y1463" s="243"/>
      <c r="Z1463" s="243"/>
      <c r="AA1463" s="243"/>
      <c r="AB1463" s="243"/>
      <c r="AC1463" s="243"/>
      <c r="AD1463" s="243"/>
      <c r="AE1463" s="243"/>
      <c r="AF1463" s="243"/>
      <c r="AG1463" s="243"/>
      <c r="AH1463" s="243"/>
      <c r="AI1463" s="243"/>
      <c r="AJ1463" s="243"/>
    </row>
    <row r="1464" hidden="1">
      <c r="A1464" s="241"/>
      <c r="B1464" s="241"/>
      <c r="C1464" s="241"/>
      <c r="D1464" s="241"/>
      <c r="E1464" s="241"/>
      <c r="F1464" s="241"/>
      <c r="G1464" s="241"/>
      <c r="H1464" s="241"/>
      <c r="I1464" s="241"/>
      <c r="J1464" s="241"/>
      <c r="K1464" s="241"/>
      <c r="L1464" s="242"/>
      <c r="M1464" s="241"/>
      <c r="N1464" s="241"/>
      <c r="O1464" s="241"/>
      <c r="P1464" s="241"/>
      <c r="Q1464" s="241"/>
      <c r="R1464" s="241"/>
      <c r="S1464" s="241"/>
      <c r="T1464" s="241"/>
      <c r="U1464" s="241"/>
      <c r="V1464" s="241"/>
      <c r="W1464" s="241"/>
      <c r="X1464" s="243"/>
      <c r="Y1464" s="243"/>
      <c r="Z1464" s="243"/>
      <c r="AA1464" s="243"/>
      <c r="AB1464" s="243"/>
      <c r="AC1464" s="243"/>
      <c r="AD1464" s="243"/>
      <c r="AE1464" s="243"/>
      <c r="AF1464" s="243"/>
      <c r="AG1464" s="243"/>
      <c r="AH1464" s="243"/>
      <c r="AI1464" s="243"/>
      <c r="AJ1464" s="243"/>
    </row>
    <row r="1465" hidden="1">
      <c r="A1465" s="241"/>
      <c r="B1465" s="241"/>
      <c r="C1465" s="241"/>
      <c r="D1465" s="241"/>
      <c r="E1465" s="241"/>
      <c r="F1465" s="241"/>
      <c r="G1465" s="241"/>
      <c r="H1465" s="241"/>
      <c r="I1465" s="241"/>
      <c r="J1465" s="241"/>
      <c r="K1465" s="241"/>
      <c r="L1465" s="242"/>
      <c r="M1465" s="241"/>
      <c r="N1465" s="241"/>
      <c r="O1465" s="241"/>
      <c r="P1465" s="241"/>
      <c r="Q1465" s="241"/>
      <c r="R1465" s="241"/>
      <c r="S1465" s="241"/>
      <c r="T1465" s="241"/>
      <c r="U1465" s="241"/>
      <c r="V1465" s="241"/>
      <c r="W1465" s="241"/>
      <c r="X1465" s="243"/>
      <c r="Y1465" s="243"/>
      <c r="Z1465" s="243"/>
      <c r="AA1465" s="243"/>
      <c r="AB1465" s="243"/>
      <c r="AC1465" s="243"/>
      <c r="AD1465" s="243"/>
      <c r="AE1465" s="243"/>
      <c r="AF1465" s="243"/>
      <c r="AG1465" s="243"/>
      <c r="AH1465" s="243"/>
      <c r="AI1465" s="243"/>
      <c r="AJ1465" s="243"/>
    </row>
    <row r="1466" hidden="1">
      <c r="A1466" s="241"/>
      <c r="B1466" s="241"/>
      <c r="C1466" s="241"/>
      <c r="D1466" s="241"/>
      <c r="E1466" s="241"/>
      <c r="F1466" s="241"/>
      <c r="G1466" s="241"/>
      <c r="H1466" s="241"/>
      <c r="I1466" s="241"/>
      <c r="J1466" s="241"/>
      <c r="K1466" s="241"/>
      <c r="L1466" s="242"/>
      <c r="M1466" s="241"/>
      <c r="N1466" s="241"/>
      <c r="O1466" s="241"/>
      <c r="P1466" s="241"/>
      <c r="Q1466" s="241"/>
      <c r="R1466" s="241"/>
      <c r="S1466" s="241"/>
      <c r="T1466" s="241"/>
      <c r="U1466" s="241"/>
      <c r="V1466" s="241"/>
      <c r="W1466" s="241"/>
      <c r="X1466" s="243"/>
      <c r="Y1466" s="243"/>
      <c r="Z1466" s="243"/>
      <c r="AA1466" s="243"/>
      <c r="AB1466" s="243"/>
      <c r="AC1466" s="243"/>
      <c r="AD1466" s="243"/>
      <c r="AE1466" s="243"/>
      <c r="AF1466" s="243"/>
      <c r="AG1466" s="243"/>
      <c r="AH1466" s="243"/>
      <c r="AI1466" s="243"/>
      <c r="AJ1466" s="243"/>
    </row>
    <row r="1467" hidden="1">
      <c r="A1467" s="241"/>
      <c r="B1467" s="241"/>
      <c r="C1467" s="241"/>
      <c r="D1467" s="241"/>
      <c r="E1467" s="241"/>
      <c r="F1467" s="241"/>
      <c r="G1467" s="241"/>
      <c r="H1467" s="241"/>
      <c r="I1467" s="241"/>
      <c r="J1467" s="241"/>
      <c r="K1467" s="241"/>
      <c r="L1467" s="242"/>
      <c r="M1467" s="241"/>
      <c r="N1467" s="241"/>
      <c r="O1467" s="241"/>
      <c r="P1467" s="241"/>
      <c r="Q1467" s="241"/>
      <c r="R1467" s="241"/>
      <c r="S1467" s="241"/>
      <c r="T1467" s="241"/>
      <c r="U1467" s="241"/>
      <c r="V1467" s="241"/>
      <c r="W1467" s="241"/>
      <c r="X1467" s="243"/>
      <c r="Y1467" s="243"/>
      <c r="Z1467" s="243"/>
      <c r="AA1467" s="243"/>
      <c r="AB1467" s="243"/>
      <c r="AC1467" s="243"/>
      <c r="AD1467" s="243"/>
      <c r="AE1467" s="243"/>
      <c r="AF1467" s="243"/>
      <c r="AG1467" s="243"/>
      <c r="AH1467" s="243"/>
      <c r="AI1467" s="243"/>
      <c r="AJ1467" s="243"/>
    </row>
    <row r="1468" hidden="1">
      <c r="A1468" s="241"/>
      <c r="B1468" s="241"/>
      <c r="C1468" s="241"/>
      <c r="D1468" s="241"/>
      <c r="E1468" s="241"/>
      <c r="F1468" s="241"/>
      <c r="G1468" s="241"/>
      <c r="H1468" s="241"/>
      <c r="I1468" s="241"/>
      <c r="J1468" s="241"/>
      <c r="K1468" s="241"/>
      <c r="L1468" s="242"/>
      <c r="M1468" s="241"/>
      <c r="N1468" s="241"/>
      <c r="O1468" s="241"/>
      <c r="P1468" s="241"/>
      <c r="Q1468" s="241"/>
      <c r="R1468" s="241"/>
      <c r="S1468" s="241"/>
      <c r="T1468" s="241"/>
      <c r="U1468" s="241"/>
      <c r="V1468" s="241"/>
      <c r="W1468" s="241"/>
      <c r="X1468" s="243"/>
      <c r="Y1468" s="243"/>
      <c r="Z1468" s="243"/>
      <c r="AA1468" s="243"/>
      <c r="AB1468" s="243"/>
      <c r="AC1468" s="243"/>
      <c r="AD1468" s="243"/>
      <c r="AE1468" s="243"/>
      <c r="AF1468" s="243"/>
      <c r="AG1468" s="243"/>
      <c r="AH1468" s="243"/>
      <c r="AI1468" s="243"/>
      <c r="AJ1468" s="243"/>
    </row>
    <row r="1469" hidden="1">
      <c r="A1469" s="241"/>
      <c r="B1469" s="241"/>
      <c r="C1469" s="241"/>
      <c r="D1469" s="241"/>
      <c r="E1469" s="241"/>
      <c r="F1469" s="241"/>
      <c r="G1469" s="241"/>
      <c r="H1469" s="241"/>
      <c r="I1469" s="241"/>
      <c r="J1469" s="241"/>
      <c r="K1469" s="241"/>
      <c r="L1469" s="242"/>
      <c r="M1469" s="241"/>
      <c r="N1469" s="241"/>
      <c r="O1469" s="241"/>
      <c r="P1469" s="241"/>
      <c r="Q1469" s="241"/>
      <c r="R1469" s="241"/>
      <c r="S1469" s="241"/>
      <c r="T1469" s="241"/>
      <c r="U1469" s="241"/>
      <c r="V1469" s="241"/>
      <c r="W1469" s="241"/>
      <c r="X1469" s="243"/>
      <c r="Y1469" s="243"/>
      <c r="Z1469" s="243"/>
      <c r="AA1469" s="243"/>
      <c r="AB1469" s="243"/>
      <c r="AC1469" s="243"/>
      <c r="AD1469" s="243"/>
      <c r="AE1469" s="243"/>
      <c r="AF1469" s="243"/>
      <c r="AG1469" s="243"/>
      <c r="AH1469" s="243"/>
      <c r="AI1469" s="243"/>
      <c r="AJ1469" s="243"/>
    </row>
    <row r="1470" hidden="1">
      <c r="A1470" s="241"/>
      <c r="B1470" s="241"/>
      <c r="C1470" s="241"/>
      <c r="D1470" s="241"/>
      <c r="E1470" s="241"/>
      <c r="F1470" s="241"/>
      <c r="G1470" s="241"/>
      <c r="H1470" s="241"/>
      <c r="I1470" s="241"/>
      <c r="J1470" s="241"/>
      <c r="K1470" s="241"/>
      <c r="L1470" s="242"/>
      <c r="M1470" s="241"/>
      <c r="N1470" s="241"/>
      <c r="O1470" s="241"/>
      <c r="P1470" s="241"/>
      <c r="Q1470" s="241"/>
      <c r="R1470" s="241"/>
      <c r="S1470" s="241"/>
      <c r="T1470" s="241"/>
      <c r="U1470" s="241"/>
      <c r="V1470" s="241"/>
      <c r="W1470" s="241"/>
      <c r="X1470" s="243"/>
      <c r="Y1470" s="243"/>
      <c r="Z1470" s="243"/>
      <c r="AA1470" s="243"/>
      <c r="AB1470" s="243"/>
      <c r="AC1470" s="243"/>
      <c r="AD1470" s="243"/>
      <c r="AE1470" s="243"/>
      <c r="AF1470" s="243"/>
      <c r="AG1470" s="243"/>
      <c r="AH1470" s="243"/>
      <c r="AI1470" s="243"/>
      <c r="AJ1470" s="243"/>
    </row>
    <row r="1471" hidden="1">
      <c r="A1471" s="241"/>
      <c r="B1471" s="241"/>
      <c r="C1471" s="241"/>
      <c r="D1471" s="241"/>
      <c r="E1471" s="241"/>
      <c r="F1471" s="241"/>
      <c r="G1471" s="241"/>
      <c r="H1471" s="241"/>
      <c r="I1471" s="241"/>
      <c r="J1471" s="241"/>
      <c r="K1471" s="241"/>
      <c r="L1471" s="242"/>
      <c r="M1471" s="241"/>
      <c r="N1471" s="241"/>
      <c r="O1471" s="241"/>
      <c r="P1471" s="241"/>
      <c r="Q1471" s="241"/>
      <c r="R1471" s="241"/>
      <c r="S1471" s="241"/>
      <c r="T1471" s="241"/>
      <c r="U1471" s="241"/>
      <c r="V1471" s="241"/>
      <c r="W1471" s="241"/>
      <c r="X1471" s="243"/>
      <c r="Y1471" s="243"/>
      <c r="Z1471" s="243"/>
      <c r="AA1471" s="243"/>
      <c r="AB1471" s="243"/>
      <c r="AC1471" s="243"/>
      <c r="AD1471" s="243"/>
      <c r="AE1471" s="243"/>
      <c r="AF1471" s="243"/>
      <c r="AG1471" s="243"/>
      <c r="AH1471" s="243"/>
      <c r="AI1471" s="243"/>
      <c r="AJ1471" s="243"/>
    </row>
    <row r="1472" hidden="1">
      <c r="A1472" s="241"/>
      <c r="B1472" s="241"/>
      <c r="C1472" s="241"/>
      <c r="D1472" s="241"/>
      <c r="E1472" s="241"/>
      <c r="F1472" s="241"/>
      <c r="G1472" s="241"/>
      <c r="H1472" s="241"/>
      <c r="I1472" s="241"/>
      <c r="J1472" s="241"/>
      <c r="K1472" s="241"/>
      <c r="L1472" s="242"/>
      <c r="M1472" s="241"/>
      <c r="N1472" s="241"/>
      <c r="O1472" s="241"/>
      <c r="P1472" s="241"/>
      <c r="Q1472" s="241"/>
      <c r="R1472" s="241"/>
      <c r="S1472" s="241"/>
      <c r="T1472" s="241"/>
      <c r="U1472" s="241"/>
      <c r="V1472" s="241"/>
      <c r="W1472" s="241"/>
      <c r="X1472" s="243"/>
      <c r="Y1472" s="243"/>
      <c r="Z1472" s="243"/>
      <c r="AA1472" s="243"/>
      <c r="AB1472" s="243"/>
      <c r="AC1472" s="243"/>
      <c r="AD1472" s="243"/>
      <c r="AE1472" s="243"/>
      <c r="AF1472" s="243"/>
      <c r="AG1472" s="243"/>
      <c r="AH1472" s="243"/>
      <c r="AI1472" s="243"/>
      <c r="AJ1472" s="243"/>
    </row>
    <row r="1473" hidden="1">
      <c r="A1473" s="241"/>
      <c r="B1473" s="241"/>
      <c r="C1473" s="241"/>
      <c r="D1473" s="241"/>
      <c r="E1473" s="241"/>
      <c r="F1473" s="241"/>
      <c r="G1473" s="241"/>
      <c r="H1473" s="241"/>
      <c r="I1473" s="241"/>
      <c r="J1473" s="241"/>
      <c r="K1473" s="241"/>
      <c r="L1473" s="242"/>
      <c r="M1473" s="241"/>
      <c r="N1473" s="241"/>
      <c r="O1473" s="241"/>
      <c r="P1473" s="241"/>
      <c r="Q1473" s="241"/>
      <c r="R1473" s="241"/>
      <c r="S1473" s="241"/>
      <c r="T1473" s="241"/>
      <c r="U1473" s="241"/>
      <c r="V1473" s="241"/>
      <c r="W1473" s="241"/>
      <c r="X1473" s="243"/>
      <c r="Y1473" s="243"/>
      <c r="Z1473" s="243"/>
      <c r="AA1473" s="243"/>
      <c r="AB1473" s="243"/>
      <c r="AC1473" s="243"/>
      <c r="AD1473" s="243"/>
      <c r="AE1473" s="243"/>
      <c r="AF1473" s="243"/>
      <c r="AG1473" s="243"/>
      <c r="AH1473" s="243"/>
      <c r="AI1473" s="243"/>
      <c r="AJ1473" s="243"/>
    </row>
    <row r="1474" hidden="1">
      <c r="A1474" s="241"/>
      <c r="B1474" s="241"/>
      <c r="C1474" s="241"/>
      <c r="D1474" s="241"/>
      <c r="E1474" s="241"/>
      <c r="F1474" s="241"/>
      <c r="G1474" s="241"/>
      <c r="H1474" s="241"/>
      <c r="I1474" s="241"/>
      <c r="J1474" s="241"/>
      <c r="K1474" s="241"/>
      <c r="L1474" s="242"/>
      <c r="M1474" s="241"/>
      <c r="N1474" s="241"/>
      <c r="O1474" s="241"/>
      <c r="P1474" s="241"/>
      <c r="Q1474" s="241"/>
      <c r="R1474" s="241"/>
      <c r="S1474" s="241"/>
      <c r="T1474" s="241"/>
      <c r="U1474" s="241"/>
      <c r="V1474" s="241"/>
      <c r="W1474" s="241"/>
      <c r="X1474" s="243"/>
      <c r="Y1474" s="243"/>
      <c r="Z1474" s="243"/>
      <c r="AA1474" s="243"/>
      <c r="AB1474" s="243"/>
      <c r="AC1474" s="243"/>
      <c r="AD1474" s="243"/>
      <c r="AE1474" s="243"/>
      <c r="AF1474" s="243"/>
      <c r="AG1474" s="243"/>
      <c r="AH1474" s="243"/>
      <c r="AI1474" s="243"/>
      <c r="AJ1474" s="243"/>
    </row>
    <row r="1475" hidden="1">
      <c r="A1475" s="241"/>
      <c r="B1475" s="241"/>
      <c r="C1475" s="241"/>
      <c r="D1475" s="241"/>
      <c r="E1475" s="241"/>
      <c r="F1475" s="241"/>
      <c r="G1475" s="241"/>
      <c r="H1475" s="241"/>
      <c r="I1475" s="241"/>
      <c r="J1475" s="241"/>
      <c r="K1475" s="241"/>
      <c r="L1475" s="242"/>
      <c r="M1475" s="241"/>
      <c r="N1475" s="241"/>
      <c r="O1475" s="241"/>
      <c r="P1475" s="241"/>
      <c r="Q1475" s="241"/>
      <c r="R1475" s="241"/>
      <c r="S1475" s="241"/>
      <c r="T1475" s="241"/>
      <c r="U1475" s="241"/>
      <c r="V1475" s="241"/>
      <c r="W1475" s="241"/>
      <c r="X1475" s="243"/>
      <c r="Y1475" s="243"/>
      <c r="Z1475" s="243"/>
      <c r="AA1475" s="243"/>
      <c r="AB1475" s="243"/>
      <c r="AC1475" s="243"/>
      <c r="AD1475" s="243"/>
      <c r="AE1475" s="243"/>
      <c r="AF1475" s="243"/>
      <c r="AG1475" s="243"/>
      <c r="AH1475" s="243"/>
      <c r="AI1475" s="243"/>
      <c r="AJ1475" s="243"/>
    </row>
    <row r="1476" hidden="1">
      <c r="A1476" s="241"/>
      <c r="B1476" s="241"/>
      <c r="C1476" s="241"/>
      <c r="D1476" s="241"/>
      <c r="E1476" s="241"/>
      <c r="F1476" s="241"/>
      <c r="G1476" s="241"/>
      <c r="H1476" s="241"/>
      <c r="I1476" s="241"/>
      <c r="J1476" s="241"/>
      <c r="K1476" s="241"/>
      <c r="L1476" s="242"/>
      <c r="M1476" s="241"/>
      <c r="N1476" s="241"/>
      <c r="O1476" s="241"/>
      <c r="P1476" s="241"/>
      <c r="Q1476" s="241"/>
      <c r="R1476" s="241"/>
      <c r="S1476" s="241"/>
      <c r="T1476" s="241"/>
      <c r="U1476" s="241"/>
      <c r="V1476" s="241"/>
      <c r="W1476" s="241"/>
      <c r="X1476" s="243"/>
      <c r="Y1476" s="243"/>
      <c r="Z1476" s="243"/>
      <c r="AA1476" s="243"/>
      <c r="AB1476" s="243"/>
      <c r="AC1476" s="243"/>
      <c r="AD1476" s="243"/>
      <c r="AE1476" s="243"/>
      <c r="AF1476" s="243"/>
      <c r="AG1476" s="243"/>
      <c r="AH1476" s="243"/>
      <c r="AI1476" s="243"/>
      <c r="AJ1476" s="243"/>
    </row>
    <row r="1477" hidden="1">
      <c r="A1477" s="241"/>
      <c r="B1477" s="241"/>
      <c r="C1477" s="241"/>
      <c r="D1477" s="241"/>
      <c r="E1477" s="241"/>
      <c r="F1477" s="241"/>
      <c r="G1477" s="241"/>
      <c r="H1477" s="241"/>
      <c r="I1477" s="241"/>
      <c r="J1477" s="241"/>
      <c r="K1477" s="241"/>
      <c r="L1477" s="242"/>
      <c r="M1477" s="241"/>
      <c r="N1477" s="241"/>
      <c r="O1477" s="241"/>
      <c r="P1477" s="241"/>
      <c r="Q1477" s="241"/>
      <c r="R1477" s="241"/>
      <c r="S1477" s="241"/>
      <c r="T1477" s="241"/>
      <c r="U1477" s="241"/>
      <c r="V1477" s="241"/>
      <c r="W1477" s="241"/>
      <c r="X1477" s="243"/>
      <c r="Y1477" s="243"/>
      <c r="Z1477" s="243"/>
      <c r="AA1477" s="243"/>
      <c r="AB1477" s="243"/>
      <c r="AC1477" s="243"/>
      <c r="AD1477" s="243"/>
      <c r="AE1477" s="243"/>
      <c r="AF1477" s="243"/>
      <c r="AG1477" s="243"/>
      <c r="AH1477" s="243"/>
      <c r="AI1477" s="243"/>
      <c r="AJ1477" s="243"/>
    </row>
    <row r="1478" hidden="1">
      <c r="A1478" s="241"/>
      <c r="B1478" s="241"/>
      <c r="C1478" s="241"/>
      <c r="D1478" s="241"/>
      <c r="E1478" s="241"/>
      <c r="F1478" s="241"/>
      <c r="G1478" s="241"/>
      <c r="H1478" s="241"/>
      <c r="I1478" s="241"/>
      <c r="J1478" s="241"/>
      <c r="K1478" s="241"/>
      <c r="L1478" s="242"/>
      <c r="M1478" s="241"/>
      <c r="N1478" s="241"/>
      <c r="O1478" s="241"/>
      <c r="P1478" s="241"/>
      <c r="Q1478" s="241"/>
      <c r="R1478" s="241"/>
      <c r="S1478" s="241"/>
      <c r="T1478" s="241"/>
      <c r="U1478" s="241"/>
      <c r="V1478" s="241"/>
      <c r="W1478" s="241"/>
      <c r="X1478" s="243"/>
      <c r="Y1478" s="243"/>
      <c r="Z1478" s="243"/>
      <c r="AA1478" s="243"/>
      <c r="AB1478" s="243"/>
      <c r="AC1478" s="243"/>
      <c r="AD1478" s="243"/>
      <c r="AE1478" s="243"/>
      <c r="AF1478" s="243"/>
      <c r="AG1478" s="243"/>
      <c r="AH1478" s="243"/>
      <c r="AI1478" s="243"/>
      <c r="AJ1478" s="243"/>
    </row>
    <row r="1479" hidden="1">
      <c r="A1479" s="241"/>
      <c r="B1479" s="241"/>
      <c r="C1479" s="241"/>
      <c r="D1479" s="241"/>
      <c r="E1479" s="241"/>
      <c r="F1479" s="241"/>
      <c r="G1479" s="241"/>
      <c r="H1479" s="241"/>
      <c r="I1479" s="241"/>
      <c r="J1479" s="241"/>
      <c r="K1479" s="241"/>
      <c r="L1479" s="242"/>
      <c r="M1479" s="241"/>
      <c r="N1479" s="241"/>
      <c r="O1479" s="241"/>
      <c r="P1479" s="241"/>
      <c r="Q1479" s="241"/>
      <c r="R1479" s="241"/>
      <c r="S1479" s="241"/>
      <c r="T1479" s="241"/>
      <c r="U1479" s="241"/>
      <c r="V1479" s="241"/>
      <c r="W1479" s="241"/>
      <c r="X1479" s="243"/>
      <c r="Y1479" s="243"/>
      <c r="Z1479" s="243"/>
      <c r="AA1479" s="243"/>
      <c r="AB1479" s="243"/>
      <c r="AC1479" s="243"/>
      <c r="AD1479" s="243"/>
      <c r="AE1479" s="243"/>
      <c r="AF1479" s="243"/>
      <c r="AG1479" s="243"/>
      <c r="AH1479" s="243"/>
      <c r="AI1479" s="243"/>
      <c r="AJ1479" s="243"/>
    </row>
    <row r="1480" hidden="1">
      <c r="A1480" s="241"/>
      <c r="B1480" s="241"/>
      <c r="C1480" s="241"/>
      <c r="D1480" s="241"/>
      <c r="E1480" s="241"/>
      <c r="F1480" s="241"/>
      <c r="G1480" s="241"/>
      <c r="H1480" s="241"/>
      <c r="I1480" s="241"/>
      <c r="J1480" s="241"/>
      <c r="K1480" s="241"/>
      <c r="L1480" s="242"/>
      <c r="M1480" s="241"/>
      <c r="N1480" s="241"/>
      <c r="O1480" s="241"/>
      <c r="P1480" s="241"/>
      <c r="Q1480" s="241"/>
      <c r="R1480" s="241"/>
      <c r="S1480" s="241"/>
      <c r="T1480" s="241"/>
      <c r="U1480" s="241"/>
      <c r="V1480" s="241"/>
      <c r="W1480" s="241"/>
      <c r="X1480" s="243"/>
      <c r="Y1480" s="243"/>
      <c r="Z1480" s="243"/>
      <c r="AA1480" s="243"/>
      <c r="AB1480" s="243"/>
      <c r="AC1480" s="243"/>
      <c r="AD1480" s="243"/>
      <c r="AE1480" s="243"/>
      <c r="AF1480" s="243"/>
      <c r="AG1480" s="243"/>
      <c r="AH1480" s="243"/>
      <c r="AI1480" s="243"/>
      <c r="AJ1480" s="243"/>
    </row>
    <row r="1481" hidden="1">
      <c r="A1481" s="241"/>
      <c r="B1481" s="241"/>
      <c r="C1481" s="241"/>
      <c r="D1481" s="241"/>
      <c r="E1481" s="241"/>
      <c r="F1481" s="241"/>
      <c r="G1481" s="241"/>
      <c r="H1481" s="241"/>
      <c r="I1481" s="241"/>
      <c r="J1481" s="241"/>
      <c r="K1481" s="241"/>
      <c r="L1481" s="242"/>
      <c r="M1481" s="241"/>
      <c r="N1481" s="241"/>
      <c r="O1481" s="241"/>
      <c r="P1481" s="241"/>
      <c r="Q1481" s="241"/>
      <c r="R1481" s="241"/>
      <c r="S1481" s="241"/>
      <c r="T1481" s="241"/>
      <c r="U1481" s="241"/>
      <c r="V1481" s="241"/>
      <c r="W1481" s="241"/>
      <c r="X1481" s="243"/>
      <c r="Y1481" s="243"/>
      <c r="Z1481" s="243"/>
      <c r="AA1481" s="243"/>
      <c r="AB1481" s="243"/>
      <c r="AC1481" s="243"/>
      <c r="AD1481" s="243"/>
      <c r="AE1481" s="243"/>
      <c r="AF1481" s="243"/>
      <c r="AG1481" s="243"/>
      <c r="AH1481" s="243"/>
      <c r="AI1481" s="243"/>
      <c r="AJ1481" s="243"/>
    </row>
    <row r="1482" hidden="1">
      <c r="A1482" s="241"/>
      <c r="B1482" s="241"/>
      <c r="C1482" s="241"/>
      <c r="D1482" s="241"/>
      <c r="E1482" s="241"/>
      <c r="F1482" s="241"/>
      <c r="G1482" s="241"/>
      <c r="H1482" s="241"/>
      <c r="I1482" s="241"/>
      <c r="J1482" s="241"/>
      <c r="K1482" s="241"/>
      <c r="L1482" s="242"/>
      <c r="M1482" s="241"/>
      <c r="N1482" s="241"/>
      <c r="O1482" s="241"/>
      <c r="P1482" s="241"/>
      <c r="Q1482" s="241"/>
      <c r="R1482" s="241"/>
      <c r="S1482" s="241"/>
      <c r="T1482" s="241"/>
      <c r="U1482" s="241"/>
      <c r="V1482" s="241"/>
      <c r="W1482" s="241"/>
      <c r="X1482" s="243"/>
      <c r="Y1482" s="243"/>
      <c r="Z1482" s="243"/>
      <c r="AA1482" s="243"/>
      <c r="AB1482" s="243"/>
      <c r="AC1482" s="243"/>
      <c r="AD1482" s="243"/>
      <c r="AE1482" s="243"/>
      <c r="AF1482" s="243"/>
      <c r="AG1482" s="243"/>
      <c r="AH1482" s="243"/>
      <c r="AI1482" s="243"/>
      <c r="AJ1482" s="243"/>
    </row>
    <row r="1483" hidden="1">
      <c r="A1483" s="241"/>
      <c r="B1483" s="241"/>
      <c r="C1483" s="241"/>
      <c r="D1483" s="241"/>
      <c r="E1483" s="241"/>
      <c r="F1483" s="241"/>
      <c r="G1483" s="241"/>
      <c r="H1483" s="241"/>
      <c r="I1483" s="241"/>
      <c r="J1483" s="241"/>
      <c r="K1483" s="241"/>
      <c r="L1483" s="242"/>
      <c r="M1483" s="241"/>
      <c r="N1483" s="241"/>
      <c r="O1483" s="241"/>
      <c r="P1483" s="241"/>
      <c r="Q1483" s="241"/>
      <c r="R1483" s="241"/>
      <c r="S1483" s="241"/>
      <c r="T1483" s="241"/>
      <c r="U1483" s="241"/>
      <c r="V1483" s="241"/>
      <c r="W1483" s="241"/>
      <c r="X1483" s="243"/>
      <c r="Y1483" s="243"/>
      <c r="Z1483" s="243"/>
      <c r="AA1483" s="243"/>
      <c r="AB1483" s="243"/>
      <c r="AC1483" s="243"/>
      <c r="AD1483" s="243"/>
      <c r="AE1483" s="243"/>
      <c r="AF1483" s="243"/>
      <c r="AG1483" s="243"/>
      <c r="AH1483" s="243"/>
      <c r="AI1483" s="243"/>
      <c r="AJ1483" s="243"/>
    </row>
    <row r="1484" hidden="1">
      <c r="A1484" s="241"/>
      <c r="B1484" s="241"/>
      <c r="C1484" s="241"/>
      <c r="D1484" s="241"/>
      <c r="E1484" s="241"/>
      <c r="F1484" s="241"/>
      <c r="G1484" s="241"/>
      <c r="H1484" s="241"/>
      <c r="I1484" s="241"/>
      <c r="J1484" s="241"/>
      <c r="K1484" s="241"/>
      <c r="L1484" s="242"/>
      <c r="M1484" s="241"/>
      <c r="N1484" s="241"/>
      <c r="O1484" s="241"/>
      <c r="P1484" s="241"/>
      <c r="Q1484" s="241"/>
      <c r="R1484" s="241"/>
      <c r="S1484" s="241"/>
      <c r="T1484" s="241"/>
      <c r="U1484" s="241"/>
      <c r="V1484" s="241"/>
      <c r="W1484" s="241"/>
      <c r="X1484" s="243"/>
      <c r="Y1484" s="243"/>
      <c r="Z1484" s="243"/>
      <c r="AA1484" s="243"/>
      <c r="AB1484" s="243"/>
      <c r="AC1484" s="243"/>
      <c r="AD1484" s="243"/>
      <c r="AE1484" s="243"/>
      <c r="AF1484" s="243"/>
      <c r="AG1484" s="243"/>
      <c r="AH1484" s="243"/>
      <c r="AI1484" s="243"/>
      <c r="AJ1484" s="243"/>
    </row>
    <row r="1485" hidden="1">
      <c r="A1485" s="241"/>
      <c r="B1485" s="241"/>
      <c r="C1485" s="241"/>
      <c r="D1485" s="241"/>
      <c r="E1485" s="241"/>
      <c r="F1485" s="241"/>
      <c r="G1485" s="241"/>
      <c r="H1485" s="241"/>
      <c r="I1485" s="241"/>
      <c r="J1485" s="241"/>
      <c r="K1485" s="241"/>
      <c r="L1485" s="242"/>
      <c r="M1485" s="241"/>
      <c r="N1485" s="241"/>
      <c r="O1485" s="241"/>
      <c r="P1485" s="241"/>
      <c r="Q1485" s="241"/>
      <c r="R1485" s="241"/>
      <c r="S1485" s="241"/>
      <c r="T1485" s="241"/>
      <c r="U1485" s="241"/>
      <c r="V1485" s="241"/>
      <c r="W1485" s="241"/>
      <c r="X1485" s="243"/>
      <c r="Y1485" s="243"/>
      <c r="Z1485" s="243"/>
      <c r="AA1485" s="243"/>
      <c r="AB1485" s="243"/>
      <c r="AC1485" s="243"/>
      <c r="AD1485" s="243"/>
      <c r="AE1485" s="243"/>
      <c r="AF1485" s="243"/>
      <c r="AG1485" s="243"/>
      <c r="AH1485" s="243"/>
      <c r="AI1485" s="243"/>
      <c r="AJ1485" s="243"/>
    </row>
    <row r="1486" hidden="1">
      <c r="A1486" s="241"/>
      <c r="B1486" s="241"/>
      <c r="C1486" s="241"/>
      <c r="D1486" s="241"/>
      <c r="E1486" s="241"/>
      <c r="F1486" s="241"/>
      <c r="G1486" s="241"/>
      <c r="H1486" s="241"/>
      <c r="I1486" s="241"/>
      <c r="J1486" s="241"/>
      <c r="K1486" s="241"/>
      <c r="L1486" s="242"/>
      <c r="M1486" s="241"/>
      <c r="N1486" s="241"/>
      <c r="O1486" s="241"/>
      <c r="P1486" s="241"/>
      <c r="Q1486" s="241"/>
      <c r="R1486" s="241"/>
      <c r="S1486" s="241"/>
      <c r="T1486" s="241"/>
      <c r="U1486" s="241"/>
      <c r="V1486" s="241"/>
      <c r="W1486" s="241"/>
      <c r="X1486" s="243"/>
      <c r="Y1486" s="243"/>
      <c r="Z1486" s="243"/>
      <c r="AA1486" s="243"/>
      <c r="AB1486" s="243"/>
      <c r="AC1486" s="243"/>
      <c r="AD1486" s="243"/>
      <c r="AE1486" s="243"/>
      <c r="AF1486" s="243"/>
      <c r="AG1486" s="243"/>
      <c r="AH1486" s="243"/>
      <c r="AI1486" s="243"/>
      <c r="AJ1486" s="243"/>
    </row>
    <row r="1487" hidden="1">
      <c r="A1487" s="241"/>
      <c r="B1487" s="241"/>
      <c r="C1487" s="241"/>
      <c r="D1487" s="241"/>
      <c r="E1487" s="241"/>
      <c r="F1487" s="241"/>
      <c r="G1487" s="241"/>
      <c r="H1487" s="241"/>
      <c r="I1487" s="241"/>
      <c r="J1487" s="241"/>
      <c r="K1487" s="241"/>
      <c r="L1487" s="242"/>
      <c r="M1487" s="241"/>
      <c r="N1487" s="241"/>
      <c r="O1487" s="241"/>
      <c r="P1487" s="241"/>
      <c r="Q1487" s="241"/>
      <c r="R1487" s="241"/>
      <c r="S1487" s="241"/>
      <c r="T1487" s="241"/>
      <c r="U1487" s="241"/>
      <c r="V1487" s="241"/>
      <c r="W1487" s="241"/>
      <c r="X1487" s="243"/>
      <c r="Y1487" s="243"/>
      <c r="Z1487" s="243"/>
      <c r="AA1487" s="243"/>
      <c r="AB1487" s="243"/>
      <c r="AC1487" s="243"/>
      <c r="AD1487" s="243"/>
      <c r="AE1487" s="243"/>
      <c r="AF1487" s="243"/>
      <c r="AG1487" s="243"/>
      <c r="AH1487" s="243"/>
      <c r="AI1487" s="243"/>
      <c r="AJ1487" s="243"/>
    </row>
    <row r="1488" hidden="1">
      <c r="A1488" s="241"/>
      <c r="B1488" s="241"/>
      <c r="C1488" s="241"/>
      <c r="D1488" s="241"/>
      <c r="E1488" s="241"/>
      <c r="F1488" s="241"/>
      <c r="G1488" s="241"/>
      <c r="H1488" s="241"/>
      <c r="I1488" s="241"/>
      <c r="J1488" s="241"/>
      <c r="K1488" s="241"/>
      <c r="L1488" s="242"/>
      <c r="M1488" s="241"/>
      <c r="N1488" s="241"/>
      <c r="O1488" s="241"/>
      <c r="P1488" s="241"/>
      <c r="Q1488" s="241"/>
      <c r="R1488" s="241"/>
      <c r="S1488" s="241"/>
      <c r="T1488" s="241"/>
      <c r="U1488" s="241"/>
      <c r="V1488" s="241"/>
      <c r="W1488" s="241"/>
      <c r="X1488" s="243"/>
      <c r="Y1488" s="243"/>
      <c r="Z1488" s="243"/>
      <c r="AA1488" s="243"/>
      <c r="AB1488" s="243"/>
      <c r="AC1488" s="243"/>
      <c r="AD1488" s="243"/>
      <c r="AE1488" s="243"/>
      <c r="AF1488" s="243"/>
      <c r="AG1488" s="243"/>
      <c r="AH1488" s="243"/>
      <c r="AI1488" s="243"/>
      <c r="AJ1488" s="243"/>
    </row>
    <row r="1489" hidden="1">
      <c r="A1489" s="241"/>
      <c r="B1489" s="241"/>
      <c r="C1489" s="241"/>
      <c r="D1489" s="241"/>
      <c r="E1489" s="241"/>
      <c r="F1489" s="241"/>
      <c r="G1489" s="241"/>
      <c r="H1489" s="241"/>
      <c r="I1489" s="241"/>
      <c r="J1489" s="241"/>
      <c r="K1489" s="241"/>
      <c r="L1489" s="242"/>
      <c r="M1489" s="241"/>
      <c r="N1489" s="241"/>
      <c r="O1489" s="241"/>
      <c r="P1489" s="241"/>
      <c r="Q1489" s="241"/>
      <c r="R1489" s="241"/>
      <c r="S1489" s="241"/>
      <c r="T1489" s="241"/>
      <c r="U1489" s="241"/>
      <c r="V1489" s="241"/>
      <c r="W1489" s="241"/>
      <c r="X1489" s="243"/>
      <c r="Y1489" s="243"/>
      <c r="Z1489" s="243"/>
      <c r="AA1489" s="243"/>
      <c r="AB1489" s="243"/>
      <c r="AC1489" s="243"/>
      <c r="AD1489" s="243"/>
      <c r="AE1489" s="243"/>
      <c r="AF1489" s="243"/>
      <c r="AG1489" s="243"/>
      <c r="AH1489" s="243"/>
      <c r="AI1489" s="243"/>
      <c r="AJ1489" s="243"/>
    </row>
    <row r="1490" hidden="1">
      <c r="A1490" s="241"/>
      <c r="B1490" s="241"/>
      <c r="C1490" s="241"/>
      <c r="D1490" s="241"/>
      <c r="E1490" s="241"/>
      <c r="F1490" s="241"/>
      <c r="G1490" s="241"/>
      <c r="H1490" s="241"/>
      <c r="I1490" s="241"/>
      <c r="J1490" s="241"/>
      <c r="K1490" s="241"/>
      <c r="L1490" s="242"/>
      <c r="M1490" s="241"/>
      <c r="N1490" s="241"/>
      <c r="O1490" s="241"/>
      <c r="P1490" s="241"/>
      <c r="Q1490" s="241"/>
      <c r="R1490" s="241"/>
      <c r="S1490" s="241"/>
      <c r="T1490" s="241"/>
      <c r="U1490" s="241"/>
      <c r="V1490" s="241"/>
      <c r="W1490" s="241"/>
      <c r="X1490" s="243"/>
      <c r="Y1490" s="243"/>
      <c r="Z1490" s="243"/>
      <c r="AA1490" s="243"/>
      <c r="AB1490" s="243"/>
      <c r="AC1490" s="243"/>
      <c r="AD1490" s="243"/>
      <c r="AE1490" s="243"/>
      <c r="AF1490" s="243"/>
      <c r="AG1490" s="243"/>
      <c r="AH1490" s="243"/>
      <c r="AI1490" s="243"/>
      <c r="AJ1490" s="243"/>
    </row>
    <row r="1491" hidden="1">
      <c r="A1491" s="241"/>
      <c r="B1491" s="241"/>
      <c r="C1491" s="241"/>
      <c r="D1491" s="241"/>
      <c r="E1491" s="241"/>
      <c r="F1491" s="241"/>
      <c r="G1491" s="241"/>
      <c r="H1491" s="241"/>
      <c r="I1491" s="241"/>
      <c r="J1491" s="241"/>
      <c r="K1491" s="241"/>
      <c r="L1491" s="242"/>
      <c r="M1491" s="241"/>
      <c r="N1491" s="241"/>
      <c r="O1491" s="241"/>
      <c r="P1491" s="241"/>
      <c r="Q1491" s="241"/>
      <c r="R1491" s="241"/>
      <c r="S1491" s="241"/>
      <c r="T1491" s="241"/>
      <c r="U1491" s="241"/>
      <c r="V1491" s="241"/>
      <c r="W1491" s="241"/>
      <c r="X1491" s="243"/>
      <c r="Y1491" s="243"/>
      <c r="Z1491" s="243"/>
      <c r="AA1491" s="243"/>
      <c r="AB1491" s="243"/>
      <c r="AC1491" s="243"/>
      <c r="AD1491" s="243"/>
      <c r="AE1491" s="243"/>
      <c r="AF1491" s="243"/>
      <c r="AG1491" s="243"/>
      <c r="AH1491" s="243"/>
      <c r="AI1491" s="243"/>
      <c r="AJ1491" s="24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4.75"/>
    <col customWidth="1" min="4" max="4" width="4.0"/>
    <col customWidth="1" min="5" max="5" width="4.88"/>
    <col customWidth="1" min="6" max="6" width="3.38"/>
    <col customWidth="1" min="7" max="7" width="4.75"/>
    <col customWidth="1" min="8" max="8" width="4.13"/>
    <col customWidth="1" min="9" max="9" width="4.5"/>
    <col customWidth="1" min="10" max="10" width="4.13"/>
    <col customWidth="1" min="11" max="11" width="3.88"/>
    <col customWidth="1" min="12" max="12" width="4.13"/>
    <col customWidth="1" min="13" max="13" width="4.25"/>
    <col customWidth="1" min="14" max="14" width="3.63"/>
    <col customWidth="1" min="15" max="15" width="3.88"/>
    <col customWidth="1" min="16" max="16" width="3.5"/>
    <col customWidth="1" min="17" max="17" width="4.38"/>
    <col customWidth="1" min="18" max="18" width="3.25"/>
    <col customWidth="1" min="19" max="19" width="4.63"/>
    <col customWidth="1" min="20" max="20" width="3.63"/>
    <col customWidth="1" min="21" max="21" width="3.88"/>
    <col customWidth="1" min="22" max="22" width="2.88"/>
    <col customWidth="1" min="23" max="23" width="4.13"/>
    <col customWidth="1" min="24" max="24" width="3.88"/>
    <col customWidth="1" min="25" max="25" width="4.88"/>
    <col customWidth="1" min="26" max="26" width="3.88"/>
    <col customWidth="1" min="27" max="30" width="4.0"/>
    <col customWidth="1" min="31" max="31" width="3.75"/>
    <col customWidth="1" min="32" max="32" width="4.0"/>
    <col customWidth="1" min="33" max="33" width="4.13"/>
    <col customWidth="1" min="34" max="34" width="3.63"/>
    <col customWidth="1" min="35" max="35" width="3.88"/>
    <col customWidth="1" min="36" max="36" width="4.38"/>
  </cols>
  <sheetData>
    <row r="1">
      <c r="A1" s="241" t="str">
        <f>IFERROR(__xludf.DUMMYFUNCTION("if('Time 5'!C3 = ""Albert"", query(IMPORTRANGE(cd_planilha, ""Armas!B3:G""), ""Select Col1 Where Col2 = '""&amp;Personagem!$B$2&amp;""' or Col2 = '""&amp;Personagem!$B$3&amp;""' or Col2 = '""&amp;Personagem!$B$4&amp;""' or Col2 = '""&amp;Personagem!$B$5&amp;""'""),     
if('Time 5'!C3 ="&amp;" ""Alicia"", query(IMPORTRANGE(cd_planilha, ""Armas!B3:G""), ""Select Col1 Where Col2 = '""&amp;Personagem!$C$2&amp;""' or Col2 = '""&amp;Personagem!$C$3&amp;""' or Col2 = '""&amp;Personagem!$C$4&amp;""' or Col2 = '""&amp;Personagem!$C$5&amp;""'""),
if('Time 5'!C3 = ""Azula"", query(IMP"&amp;"ORTRANGE(cd_planilha, ""Armas!B3:G""), ""Select Col1 Where Col2 = '""&amp;Personagem!$D$2&amp;""' or Col2 = '""&amp;Personagem!$D$3&amp;""' or Col2 = '""&amp;Personagem!$D$4&amp;""' or Col2 = '""&amp;Personagem!$D$5&amp;""'""),
if('Time 5'!C3 = ""Charles"", query(IMPORTRANGE(cd_planilha"&amp;", ""Armas!B3:G""), ""Select Col1 Where Col2 = '""&amp;Personagem!$E$2&amp;""' or Col2 = '""&amp;Personagem!$E$3&amp;""' or Col2 = '""&amp;Personagem!$E$4&amp;""' or Col2 = '""&amp;Personagem!$E$5&amp;""'""),
if('Time 5'!C3 = ""Clovis"", query(IMPORTRANGE(cd_planilha, ""Armas!B3:G""), """&amp;"Select Col1 Where Col2 = '""&amp;Personagem!$F$2&amp;""' or Col2 = '""&amp;Personagem!$F$3&amp;""' or Col2 = '""&amp;Personagem!$F$4&amp;""' or Col2 = '""&amp;Personagem!$F$5&amp;""'""),
if('Time 5'!C3 = ""Darthos"", query(IMPORTRANGE(cd_planilha, ""Armas!B3:G""), ""Select Col1 Where Co"&amp;"l2 = '""&amp;Personagem!$G$2&amp;""' or Col2 = '""&amp;Personagem!$G$3&amp;""' or Col2 = '""&amp;Personagem!$G$4&amp;""' or Col2 = '""&amp;Personagem!$G$5&amp;""'""),
if('Time 5'!C3 = ""Edward"", query(IMPORTRANGE(cd_planilha, ""Armas!B3:G""), ""Select Col1 Where Col2 = '""&amp;Personagem!$"&amp;"H$2&amp;""' or Col2 = '""&amp;Personagem!$H$3&amp;""' or Col2 = '""&amp;Personagem!$H$4&amp;""' or Col2 = '""&amp;Personagem!$H$5&amp;""'""),
if('Time 5'!C3 = ""Fiora"", query(IMPORTRANGE(cd_planilha, ""Armas!B3:G""), ""Select Col1 Where Col2 = '""&amp;Personagem!$I$2&amp;""' or Col2 = '""&amp;"&amp;"Personagem!$I$3&amp;""' or Col2 = '""&amp;Personagem!$I$4&amp;""' or Col2 = '""&amp;Personagem!$I$5&amp;""'""),
if('Time 5'!C3 = ""Francesca"", query(IMPORTRANGE(cd_planilha, ""Armas!B3:G""), ""Select Col1 Where Col2 = '""&amp;Personagem!$J$2&amp;""' or Col2 = '""&amp;Personagem!$J$3&amp;"""&amp;"' or Col2 = '""&amp;Personagem!$J$4&amp;""' or Col2 = '""&amp;Personagem!$J$5&amp;""'""),
if('Time 5'!C3 = ""Garreth"", query(IMPORTRANGE(cd_planilha, ""Armas!B3:G""), ""Select Col1 Where Col2 = '""&amp;Personagem!$K$2&amp;""' or Col2 = '""&amp;Personagem!$K$3&amp;""' or Col2 = '""&amp;Pers"&amp;"onagem!$K$4&amp;""' or Col2 = '""&amp;Personagem!$K$5&amp;""'""),
if('Time 5'!C3 = ""Gauvin"", query(IMPORTRANGE(cd_planilha, ""Armas!B3:G""), ""Select Col1 Where Col2 = '""&amp;Personagem!$L$2&amp;""' or Col2 = '""&amp;Personagem!$L$3&amp;""' or Col2 = '""&amp;Personagem!$L$4&amp;""' or Co"&amp;"l2 = '""&amp;Personagem!$L$5&amp;""'""),
if('Time 5'!C3 = ""Irene"", query(IMPORTRANGE(cd_planilha, ""Armas!B3:G""), ""Select Col1 Where Col2 = '""&amp;Personagem!$M$2&amp;""' or Col2 = '""&amp;Personagem!$M$3&amp;""' or Col2 = '""&amp;Personagem!$M$4&amp;""' or Col2 = '""&amp;Personagem!$M"&amp;"$5&amp;""'""),
if('Time 5'!C3 = ""Karal"", query(IMPORTRANGE(cd_planilha, ""Armas!B3:G""), ""Select Col1 Where Col2 = '""&amp;Personagem!$N$2&amp;""' or Col2 = '""&amp;Personagem!$N$3&amp;""' or Col2 = '""&amp;Personagem!$N$4&amp;""' or Col2 = '""&amp;Personagem!$N$5&amp;""'""),
if('Time 5'"&amp;"!C3 = ""Kuro Shobi"", query(IMPORTRANGE(cd_planilha, ""Armas!B3:G""), ""Select Col1 Where Col2 = '""&amp;Personagem!$O$2&amp;""' or Col2 = '""&amp;Personagem!$O$3&amp;""' or Col2 = '""&amp;Personagem!$O$4&amp;""' or Col2 = '""&amp;Personagem!$O$5&amp;""'""),
if('Time 5'!C3 = ""Kurul"", "&amp;"query(IMPORTRANGE(cd_planilha, ""Armas!B3:G""), ""Select Col1 Where Col2 = '""&amp;Personagem!$P$2&amp;""' or Col2 = '""&amp;Personagem!$P$3&amp;""' or Col2 = '""&amp;Personagem!$P$4&amp;""' or Col2 = '""&amp;Personagem!$P$5&amp;""'""),
if('Time 5'!C3 = ""Lancaster"", query(IMPORTRANGE("&amp;"cd_planilha, ""Armas!B3:G""), ""Select Col1 Where Col2 = '""&amp;Personagem!$Q$2&amp;""' or Col2 = '""&amp;Personagem!$Q$3&amp;""' or Col2 = '""&amp;Personagem!$Q$4&amp;""' or Col2 = '""&amp;Personagem!$Q$5&amp;""'""),
if('Time 5'!C3 = ""Lorelei"", query(IMPORTRANGE(cd_planilha, ""Armas"&amp;"!B3:G""), ""Select Col1 Where Col2 = '""&amp;Personagem!$R$2&amp;""' or Col2 = '""&amp;Personagem!$R$3&amp;""' or Col2 = '""&amp;Personagem!$R$4&amp;""' or Col2 = '""&amp;Personagem!$R$5&amp;""'""),
if('Time 5'!C3 = ""Louca"", query(IMPORTRANGE(cd_planilha, ""Armas!B3:G""), ""Select Col"&amp;"1 Where Col2 = '""&amp;Personagem!$S$2&amp;""' or Col2 = '""&amp;Personagem!$S$3&amp;""' or Col2 = '""&amp;Personagem!$S$4&amp;""' or Col2 = '""&amp;Personagem!$S$5&amp;""'""),
if('Time 5'!C3 = ""Melina"", query(IMPORTRANGE(cd_planilha, ""Armas!B3:G""), ""Select Col1 Where Col2 = '""&amp;Pe"&amp;"rsonagem!$T$2&amp;""' or Col2 = '""&amp;Personagem!$T$3&amp;""' or Col2 = '""&amp;Personagem!$T$4&amp;""' or Col2 = '""&amp;Personagem!$T$5&amp;""'""),
if('Time 5'!C3 = ""Mila"", query(IMPORTRANGE(cd_planilha, ""Armas!B3:G""), ""Select Col1 Where Col2 = '""&amp;Personagem!$U$2&amp;""' or Co"&amp;"l2 = '""&amp;Personagem!$U$3&amp;""' or Col2 = '""&amp;Personagem!$U$4&amp;""' or Col2 = '""&amp;Personagem!$U$5&amp;""'""),
if('Time 5'!C3 = ""Minh"", query(IMPORTRANGE(cd_planilha, ""Armas!B3:G""), ""Select Col1 Where Col2 = '""&amp;Personagem!$V$2&amp;""' or Col2 = '""&amp;Personagem!$V$"&amp;"3&amp;""' or Col2 = '""&amp;Personagem!$V$4&amp;""' or Col2 = '""&amp;Personagem!$V$5&amp;""'""),
if('Time 5'!C3 = ""Mojian"", query(IMPORTRANGE(cd_planilha, ""Armas!B3:G""), ""Select Col1 Where Col2 = '""&amp;Personagem!$W$2&amp;""' or Col2 = '""&amp;Personagem!$W$3&amp;""' or Col2 = '""&amp;P"&amp;"ersonagem!$W$4&amp;""' or Col2 = '""&amp;Personagem!$W$5&amp;""'""),
if('Time 5'!C3 = ""Nya"", query(IMPORTRANGE(cd_planilha, ""Armas!B3:G""), ""Select Col1 Where Col2 = '""&amp;Personagem!$X$2&amp;""' or Col2 = '""&amp;Personagem!$X$3&amp;""' or Col2 = '""&amp;Personagem!$X$4&amp;""' or Co"&amp;"l2 = '""&amp;Personagem!$X$5&amp;""'""),
if('Time 5'!C3 = ""Odette"", query(IMPORTRANGE(cd_planilha, ""Armas!B3:G""), ""Select Col1 Where Col2 = '""&amp;Personagem!$Y$2&amp;""' or Col2 = '""&amp;Personagem!$Y$3&amp;""' or Col2 = '""&amp;Personagem!$Y$4&amp;""' or Col2 = '""&amp;Personagem!$"&amp;"Y$5&amp;""'""),
if('Time 5'!C3 = ""Oneira"", query(IMPORTRANGE(cd_planilha, ""Armas!B3:G""), ""Select Col1 Where Col2 = '""&amp;Personagem!$Z$2&amp;""' or Col2 = '""&amp;Personagem!$Z$3&amp;""' or Col2 = '""&amp;Personagem!$Z$4&amp;""' or Col2 = '""&amp;Personagem!$Z$5&amp;""'""),
if('Time "&amp;"5'!C3 = ""Palash"", query(IMPORTRANGE(cd_planilha, ""Armas!B3:G""), ""Select Col1 Where Col2 = '""&amp;Personagem!$AA$2&amp;""' or Col2 = '""&amp;Personagem!$AA$3&amp;""' or Col2 = '""&amp;Personagem!$AA$4&amp;""' or Col2 = '""&amp;Personagem!$AA$5&amp;""'""),
if('Time 5'!C3 = ""Theor"""&amp;", query(IMPORTRANGE(cd_planilha, ""Armas!B3:G""), ""Select Col1 Where Col2 = '""&amp;Personagem!$AB$2&amp;""' or Col2 = '""&amp;Personagem!$AB$3&amp;""' or Col2 = '""&amp;Personagem!$AB$4&amp;""' or Col2 = '""&amp;Personagem!$AB$5&amp;""'""),
if('Time 5'!C3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B1" s="241"/>
      <c r="C1" s="241" t="str">
        <f>IFERROR(__xludf.DUMMYFUNCTION("if('Time 5'!C4 = ""Albert"", query(IMPORTRANGE(cd_planilha, ""Armas!B3:G""), ""Select Col1 Where Col2 = '""&amp;Personagem!$B$2&amp;""' or Col2 = '""&amp;Personagem!$B$3&amp;""' or Col2 = '""&amp;Personagem!$B$4&amp;""' or Col2 = '""&amp;Personagem!$B$5&amp;""'""),     
if('Time 5'!C4 ="&amp;" ""Alicia"", query(IMPORTRANGE(cd_planilha, ""Armas!B3:G""), ""Select Col1 Where Col2 = '""&amp;Personagem!$C$2&amp;""' or Col2 = '""&amp;Personagem!$C$3&amp;""' or Col2 = '""&amp;Personagem!$C$4&amp;""' or Col2 = '""&amp;Personagem!$C$5&amp;""'""),
if('Time 5'!C4 = ""Azula"", query(IMP"&amp;"ORTRANGE(cd_planilha, ""Armas!B3:G""), ""Select Col1 Where Col2 = '""&amp;Personagem!$D$2&amp;""' or Col2 = '""&amp;Personagem!$D$3&amp;""' or Col2 = '""&amp;Personagem!$D$4&amp;""' or Col2 = '""&amp;Personagem!$D$5&amp;""'""),
if('Time 5'!C4 = ""Charles"", query(IMPORTRANGE(cd_planilha"&amp;", ""Armas!B3:G""), ""Select Col1 Where Col2 = '""&amp;Personagem!$E$2&amp;""' or Col2 = '""&amp;Personagem!$E$3&amp;""' or Col2 = '""&amp;Personagem!$E$4&amp;""' or Col2 = '""&amp;Personagem!$E$5&amp;""'""),
if('Time 5'!C4 = ""Clovis"", query(IMPORTRANGE(cd_planilha, ""Armas!B3:G""), """&amp;"Select Col1 Where Col2 = '""&amp;Personagem!$F$2&amp;""' or Col2 = '""&amp;Personagem!$F$3&amp;""' or Col2 = '""&amp;Personagem!$F$4&amp;""' or Col2 = '""&amp;Personagem!$F$5&amp;""'""),
if('Time 5'!C4 = ""Darthos"", query(IMPORTRANGE(cd_planilha, ""Armas!B3:G""), ""Select Col1 Where Co"&amp;"l2 = '""&amp;Personagem!$G$2&amp;""' or Col2 = '""&amp;Personagem!$G$3&amp;""' or Col2 = '""&amp;Personagem!$G$4&amp;""' or Col2 = '""&amp;Personagem!$G$5&amp;""'""),
if('Time 5'!C4 = ""Edward"", query(IMPORTRANGE(cd_planilha, ""Armas!B3:G""), ""Select Col1 Where Col2 = '""&amp;Personagem!$"&amp;"H$2&amp;""' or Col2 = '""&amp;Personagem!$H$3&amp;""' or Col2 = '""&amp;Personagem!$H$4&amp;""' or Col2 = '""&amp;Personagem!$H$5&amp;""'""),
if('Time 5'!C4 = ""Fiora"", query(IMPORTRANGE(cd_planilha, ""Armas!B3:G""), ""Select Col1 Where Col2 = '""&amp;Personagem!$I$2&amp;""' or Col2 = '""&amp;"&amp;"Personagem!$I$3&amp;""' or Col2 = '""&amp;Personagem!$I$4&amp;""' or Col2 = '""&amp;Personagem!$I$5&amp;""'""),
if('Time 5'!C4 = ""Francesca"", query(IMPORTRANGE(cd_planilha, ""Armas!B3:G""), ""Select Col1 Where Col2 = '""&amp;Personagem!$J$2&amp;""' or Col2 = '""&amp;Personagem!$J$3&amp;"""&amp;"' or Col2 = '""&amp;Personagem!$J$4&amp;""' or Col2 = '""&amp;Personagem!$J$5&amp;""'""),
if('Time 5'!C4 = ""Garreth"", query(IMPORTRANGE(cd_planilha, ""Armas!B3:G""), ""Select Col1 Where Col2 = '""&amp;Personagem!$K$2&amp;""' or Col2 = '""&amp;Personagem!$K$3&amp;""' or Col2 = '""&amp;Pers"&amp;"onagem!$K$4&amp;""' or Col2 = '""&amp;Personagem!$K$5&amp;""'""),
if('Time 5'!C4 = ""Gauvin"", query(IMPORTRANGE(cd_planilha, ""Armas!B3:G""), ""Select Col1 Where Col2 = '""&amp;Personagem!$L$2&amp;""' or Col2 = '""&amp;Personagem!$L$3&amp;""' or Col2 = '""&amp;Personagem!$L$4&amp;""' or Co"&amp;"l2 = '""&amp;Personagem!$L$5&amp;""'""),
if('Time 5'!C4 = ""Irene"", query(IMPORTRANGE(cd_planilha, ""Armas!B3:G""), ""Select Col1 Where Col2 = '""&amp;Personagem!$M$2&amp;""' or Col2 = '""&amp;Personagem!$M$3&amp;""' or Col2 = '""&amp;Personagem!$M$4&amp;""' or Col2 = '""&amp;Personagem!$M"&amp;"$5&amp;""'""),
if('Time 5'!C4 = ""Karal"", query(IMPORTRANGE(cd_planilha, ""Armas!B3:G""), ""Select Col1 Where Col2 = '""&amp;Personagem!$N$2&amp;""' or Col2 = '""&amp;Personagem!$N$3&amp;""' or Col2 = '""&amp;Personagem!$N$4&amp;""' or Col2 = '""&amp;Personagem!$N$5&amp;""'""),
if('Time 5'"&amp;"!C4 = ""Kuro Shobi"", query(IMPORTRANGE(cd_planilha, ""Armas!B3:G""), ""Select Col1 Where Col2 = '""&amp;Personagem!$O$2&amp;""' or Col2 = '""&amp;Personagem!$O$3&amp;""' or Col2 = '""&amp;Personagem!$O$4&amp;""' or Col2 = '""&amp;Personagem!$O$5&amp;""'""),
if('Time 5'!C4 = ""Kurul"", "&amp;"query(IMPORTRANGE(cd_planilha, ""Armas!B3:G""), ""Select Col1 Where Col2 = '""&amp;Personagem!$P$2&amp;""' or Col2 = '""&amp;Personagem!$P$3&amp;""' or Col2 = '""&amp;Personagem!$P$4&amp;""' or Col2 = '""&amp;Personagem!$P$5&amp;""'""),
if('Time 5'!C4 = ""Lancaster"", query(IMPORTRANGE("&amp;"cd_planilha, ""Armas!B3:G""), ""Select Col1 Where Col2 = '""&amp;Personagem!$Q$2&amp;""' or Col2 = '""&amp;Personagem!$Q$3&amp;""' or Col2 = '""&amp;Personagem!$Q$4&amp;""' or Col2 = '""&amp;Personagem!$Q$5&amp;""'""),
if('Time 5'!C4 = ""Lorelei"", query(IMPORTRANGE(cd_planilha, ""Armas"&amp;"!B3:G""), ""Select Col1 Where Col2 = '""&amp;Personagem!$R$2&amp;""' or Col2 = '""&amp;Personagem!$R$3&amp;""' or Col2 = '""&amp;Personagem!$R$4&amp;""' or Col2 = '""&amp;Personagem!$R$5&amp;""'""),
if('Time 5'!C4 = ""Louca"", query(IMPORTRANGE(cd_planilha, ""Armas!B3:G""), ""Select Col"&amp;"1 Where Col2 = '""&amp;Personagem!$S$2&amp;""' or Col2 = '""&amp;Personagem!$S$3&amp;""' or Col2 = '""&amp;Personagem!$S$4&amp;""' or Col2 = '""&amp;Personagem!$S$5&amp;""'""),
if('Time 5'!C4 = ""Melina"", query(IMPORTRANGE(cd_planilha, ""Armas!B3:G""), ""Select Col1 Where Col2 = '""&amp;Pe"&amp;"rsonagem!$T$2&amp;""' or Col2 = '""&amp;Personagem!$T$3&amp;""' or Col2 = '""&amp;Personagem!$T$4&amp;""' or Col2 = '""&amp;Personagem!$T$5&amp;""'""),
if('Time 5'!C4 = ""Mila"", query(IMPORTRANGE(cd_planilha, ""Armas!B3:G""), ""Select Col1 Where Col2 = '""&amp;Personagem!$U$2&amp;""' or Co"&amp;"l2 = '""&amp;Personagem!$U$3&amp;""' or Col2 = '""&amp;Personagem!$U$4&amp;""' or Col2 = '""&amp;Personagem!$U$5&amp;""'""),
if('Time 5'!C4 = ""Minh"", query(IMPORTRANGE(cd_planilha, ""Armas!B3:G""), ""Select Col1 Where Col2 = '""&amp;Personagem!$V$2&amp;""' or Col2 = '""&amp;Personagem!$V$"&amp;"3&amp;""' or Col2 = '""&amp;Personagem!$V$4&amp;""' or Col2 = '""&amp;Personagem!$V$5&amp;""'""),
if('Time 5'!C4 = ""Mojian"", query(IMPORTRANGE(cd_planilha, ""Armas!B3:G""), ""Select Col1 Where Col2 = '""&amp;Personagem!$W$2&amp;""' or Col2 = '""&amp;Personagem!$W$3&amp;""' or Col2 = '""&amp;P"&amp;"ersonagem!$W$4&amp;""' or Col2 = '""&amp;Personagem!$W$5&amp;""'""),
if('Time 5'!C4 = ""Nya"", query(IMPORTRANGE(cd_planilha, ""Armas!B3:G""), ""Select Col1 Where Col2 = '""&amp;Personagem!$X$2&amp;""' or Col2 = '""&amp;Personagem!$X$3&amp;""' or Col2 = '""&amp;Personagem!$X$4&amp;""' or Co"&amp;"l2 = '""&amp;Personagem!$X$5&amp;""'""),
if('Time 5'!C4 = ""Odette"", query(IMPORTRANGE(cd_planilha, ""Armas!B3:G""), ""Select Col1 Where Col2 = '""&amp;Personagem!$Y$2&amp;""' or Col2 = '""&amp;Personagem!$Y$3&amp;""' or Col2 = '""&amp;Personagem!$Y$4&amp;""' or Col2 = '""&amp;Personagem!$"&amp;"Y$5&amp;""'""),
if('Time 5'!C4 = ""Oneira"", query(IMPORTRANGE(cd_planilha, ""Armas!B3:G""), ""Select Col1 Where Col2 = '""&amp;Personagem!$Z$2&amp;""' or Col2 = '""&amp;Personagem!$Z$3&amp;""' or Col2 = '""&amp;Personagem!$Z$4&amp;""' or Col2 = '""&amp;Personagem!$Z$5&amp;""'""),
if('Time "&amp;"5'!C4 = ""Palash"", query(IMPORTRANGE(cd_planilha, ""Armas!B3:G""), ""Select Col1 Where Col2 = '""&amp;Personagem!$AA$2&amp;""' or Col2 = '""&amp;Personagem!$AA$3&amp;""' or Col2 = '""&amp;Personagem!$AA$4&amp;""' or Col2 = '""&amp;Personagem!$AA$5&amp;""'""),
if('Time 5'!C4 = ""Theor"""&amp;", query(IMPORTRANGE(cd_planilha, ""Armas!B3:G""), ""Select Col1 Where Col2 = '""&amp;Personagem!$AB$2&amp;""' or Col2 = '""&amp;Personagem!$AB$3&amp;""' or Col2 = '""&amp;Personagem!$AB$4&amp;""' or Col2 = '""&amp;Personagem!$AB$5&amp;""'""),
if('Time 5'!C4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'""&amp;Personagem!$AC$5&amp;""'"")))))))))))))))))))))))))))))"),"Cajado do bispo")</f>
        <v>Cajado do bispo</v>
      </c>
      <c r="D1" s="241"/>
      <c r="E1" s="241" t="str">
        <f>IFERROR(__xludf.DUMMYFUNCTION("if('Time 5'!C5 = ""Albert"", query(IMPORTRANGE(cd_planilha, ""Armas!B3:G""), ""Select Col1 Where Col2 = '""&amp;Personagem!$B$2&amp;""' or Col2 = '""&amp;Personagem!$B$3&amp;""' or Col2 = '""&amp;Personagem!$B$4&amp;""' or Col2 = '""&amp;Personagem!$B$5&amp;""'""),     
if('Time 5'!C5 ="&amp;" ""Alicia"", query(IMPORTRANGE(cd_planilha, ""Armas!B3:G""), ""Select Col1 Where Col2 = '""&amp;Personagem!$C$2&amp;""' or Col2 = '""&amp;Personagem!$C$3&amp;""' or Col2 = '""&amp;Personagem!$C$4&amp;""' or Col2 = '""&amp;Personagem!$C$5&amp;""'""),
if('Time 5'!C5 = ""Azula"", query(IMP"&amp;"ORTRANGE(cd_planilha, ""Armas!B3:G""), ""Select Col1 Where Col2 = '""&amp;Personagem!$D$2&amp;""' or Col2 = '""&amp;Personagem!$D$3&amp;""' or Col2 = '""&amp;Personagem!$D$4&amp;""' or Col2 = '""&amp;Personagem!$D$5&amp;""'""),
if('Time 5'!C5 = ""Charles"", query(IMPORTRANGE(cd_planilha"&amp;", ""Armas!B3:G""), ""Select Col1 Where Col2 = '""&amp;Personagem!$E$2&amp;""' or Col2 = '""&amp;Personagem!$E$3&amp;""' or Col2 = '""&amp;Personagem!$E$4&amp;""' or Col2 = '""&amp;Personagem!$E$5&amp;""'""),
if('Time 5'!C5 = ""Clovis"", query(IMPORTRANGE(cd_planilha, ""Armas!B3:G""), """&amp;"Select Col1 Where Col2 = '""&amp;Personagem!$F$2&amp;""' or Col2 = '""&amp;Personagem!$F$3&amp;""' or Col2 = '""&amp;Personagem!$F$4&amp;""' or Col2 = '""&amp;Personagem!$F$5&amp;""'""),
if('Time 5'!C5 = ""Darthos"", query(IMPORTRANGE(cd_planilha, ""Armas!B3:G""), ""Select Col1 Where Co"&amp;"l2 = '""&amp;Personagem!$G$2&amp;""' or Col2 = '""&amp;Personagem!$G$3&amp;""' or Col2 = '""&amp;Personagem!$G$4&amp;""' or Col2 = '""&amp;Personagem!$G$5&amp;""'""),
if('Time 5'!C5 = ""Edward"", query(IMPORTRANGE(cd_planilha, ""Armas!B3:G""), ""Select Col1 Where Col2 = '""&amp;Personagem!$"&amp;"H$2&amp;""' or Col2 = '""&amp;Personagem!$H$3&amp;""' or Col2 = '""&amp;Personagem!$H$4&amp;""' or Col2 = '""&amp;Personagem!$H$5&amp;""'""),
if('Time 5'!C5 = ""Fiora"", query(IMPORTRANGE(cd_planilha, ""Armas!B3:G""), ""Select Col1 Where Col2 = '""&amp;Personagem!$I$2&amp;""' or Col2 = '""&amp;"&amp;"Personagem!$I$3&amp;""' or Col2 = '""&amp;Personagem!$I$4&amp;""' or Col2 = '""&amp;Personagem!$I$5&amp;""'""),
if('Time 5'!C5 = ""Francesca"", query(IMPORTRANGE(cd_planilha, ""Armas!B3:G""), ""Select Col1 Where Col2 = '""&amp;Personagem!$J$2&amp;""' or Col2 = '""&amp;Personagem!$J$3&amp;"""&amp;"' or Col2 = '""&amp;Personagem!$J$4&amp;""' or Col2 = '""&amp;Personagem!$J$5&amp;""'""),
if('Time 5'!C5 = ""Garreth"", query(IMPORTRANGE(cd_planilha, ""Armas!B3:G""), ""Select Col1 Where Col2 = '""&amp;Personagem!$K$2&amp;""' or Col2 = '""&amp;Personagem!$K$3&amp;""' or Col2 = '""&amp;Pers"&amp;"onagem!$K$4&amp;""' or Col2 = '""&amp;Personagem!$K$5&amp;""'""),
if('Time 5'!C5 = ""Gauvin"", query(IMPORTRANGE(cd_planilha, ""Armas!B3:G""), ""Select Col1 Where Col2 = '""&amp;Personagem!$L$2&amp;""' or Col2 = '""&amp;Personagem!$L$3&amp;""' or Col2 = '""&amp;Personagem!$L$4&amp;""' or Co"&amp;"l2 = '""&amp;Personagem!$L$5&amp;""'""),
if('Time 5'!C5 = ""Irene"", query(IMPORTRANGE(cd_planilha, ""Armas!B3:G""), ""Select Col1 Where Col2 = '""&amp;Personagem!$M$2&amp;""' or Col2 = '""&amp;Personagem!$M$3&amp;""' or Col2 = '""&amp;Personagem!$M$4&amp;""' or Col2 = '""&amp;Personagem!$M"&amp;"$5&amp;""'""),
if('Time 5'!C5 = ""Karal"", query(IMPORTRANGE(cd_planilha, ""Armas!B3:G""), ""Select Col1 Where Col2 = '""&amp;Personagem!$N$2&amp;""' or Col2 = '""&amp;Personagem!$N$3&amp;""' or Col2 = '""&amp;Personagem!$N$4&amp;""' or Col2 = '""&amp;Personagem!$N$5&amp;""'""),
if('Time 5'"&amp;"!C5 = ""Kuro Shobi"", query(IMPORTRANGE(cd_planilha, ""Armas!B3:G""), ""Select Col1 Where Col2 = '""&amp;Personagem!$O$2&amp;""' or Col2 = '""&amp;Personagem!$O$3&amp;""' or Col2 = '""&amp;Personagem!$O$4&amp;""' or Col2 = '""&amp;Personagem!$O$5&amp;""'""),
if('Time 5'!C5 = ""Kurul"", "&amp;"query(IMPORTRANGE(cd_planilha, ""Armas!B3:G""), ""Select Col1 Where Col2 = '""&amp;Personagem!$P$2&amp;""' or Col2 = '""&amp;Personagem!$P$3&amp;""' or Col2 = '""&amp;Personagem!$P$4&amp;""' or Col2 = '""&amp;Personagem!$P$5&amp;""'""),
if('Time 5'!C5 = ""Lancaster"", query(IMPORTRANGE("&amp;"cd_planilha, ""Armas!B3:G""), ""Select Col1 Where Col2 = '""&amp;Personagem!$Q$2&amp;""' or Col2 = '""&amp;Personagem!$Q$3&amp;""' or Col2 = '""&amp;Personagem!$Q$4&amp;""' or Col2 = '""&amp;Personagem!$Q$5&amp;""'""),
if('Time 5'!C5 = ""Lorelei"", query(IMPORTRANGE(cd_planilha, ""Armas"&amp;"!B3:G""), ""Select Col1 Where Col2 = '""&amp;Personagem!$R$2&amp;""' or Col2 = '""&amp;Personagem!$R$3&amp;""' or Col2 = '""&amp;Personagem!$R$4&amp;""' or Col2 = '""&amp;Personagem!$R$5&amp;""'""),
if('Time 5'!C5 = ""Louca"", query(IMPORTRANGE(cd_planilha, ""Armas!B3:G""), ""Select Col"&amp;"1 Where Col2 = '""&amp;Personagem!$S$2&amp;""' or Col2 = '""&amp;Personagem!$S$3&amp;""' or Col2 = '""&amp;Personagem!$S$4&amp;""' or Col2 = '""&amp;Personagem!$S$5&amp;""'""),
if('Time 5'!C5 = ""Melina"", query(IMPORTRANGE(cd_planilha, ""Armas!B3:G""), ""Select Col1 Where Col2 = '""&amp;Pe"&amp;"rsonagem!$T$2&amp;""' or Col2 = '""&amp;Personagem!$T$3&amp;""' or Col2 = '""&amp;Personagem!$T$4&amp;""' or Col2 = '""&amp;Personagem!$T$5&amp;""'""),
if('Time 5'!C5 = ""Mila"", query(IMPORTRANGE(cd_planilha, ""Armas!B3:G""), ""Select Col1 Where Col2 = '""&amp;Personagem!$U$2&amp;""' or Co"&amp;"l2 = '""&amp;Personagem!$U$3&amp;""' or Col2 = '""&amp;Personagem!$U$4&amp;""' or Col2 = '""&amp;Personagem!$U$5&amp;""'""),
if('Time 5'!C5 = ""Minh"", query(IMPORTRANGE(cd_planilha, ""Armas!B3:G""), ""Select Col1 Where Col2 = '""&amp;Personagem!$V$2&amp;""' or Col2 = '""&amp;Personagem!$V$"&amp;"3&amp;""' or Col2 = '""&amp;Personagem!$V$4&amp;""' or Col2 = '""&amp;Personagem!$V$5&amp;""'""),
if('Time 5'!C5 = ""Mojian"", query(IMPORTRANGE(cd_planilha, ""Armas!B3:G""), ""Select Col1 Where Col2 = '""&amp;Personagem!$W$2&amp;""' or Col2 = '""&amp;Personagem!$W$3&amp;""' or Col2 = '""&amp;P"&amp;"ersonagem!$W$4&amp;""' or Col2 = '""&amp;Personagem!$W$5&amp;""'""),
if('Time 5'!C5 = ""Nya"", query(IMPORTRANGE(cd_planilha, ""Armas!B3:G""), ""Select Col1 Where Col2 = '""&amp;Personagem!$X$2&amp;""' or Col2 = '""&amp;Personagem!$X$3&amp;""' or Col2 = '""&amp;Personagem!$X$4&amp;""' or Co"&amp;"l2 = '""&amp;Personagem!$X$5&amp;""'""),
if('Time 5'!C5 = ""Odette"", query(IMPORTRANGE(cd_planilha, ""Armas!B3:G""), ""Select Col1 Where Col2 = '""&amp;Personagem!$Y$2&amp;""' or Col2 = '""&amp;Personagem!$Y$3&amp;""' or Col2 = '""&amp;Personagem!$Y$4&amp;""' or Col2 = '""&amp;Personagem!$"&amp;"Y$5&amp;""'""),
if('Time 5'!C5 = ""Oneira"", query(IMPORTRANGE(cd_planilha, ""Armas!B3:G""), ""Select Col1 Where Col2 = '""&amp;Personagem!$Z$2&amp;""' or Col2 = '""&amp;Personagem!$Z$3&amp;""' or Col2 = '""&amp;Personagem!$Z$4&amp;""' or Col2 = '""&amp;Personagem!$Z$5&amp;""'""),
if('Time "&amp;"5'!C5 = ""Palash"", query(IMPORTRANGE(cd_planilha, ""Armas!B3:G""), ""Select Col1 Where Col2 = '""&amp;Personagem!$AA$2&amp;""' or Col2 = '""&amp;Personagem!$AA$3&amp;""' or Col2 = '""&amp;Personagem!$AA$4&amp;""' or Col2 = '""&amp;Personagem!$AA$5&amp;""'""),
if('Time 5'!C5 = ""Theor"""&amp;", query(IMPORTRANGE(cd_planilha, ""Armas!B3:G""), ""Select Col1 Where Col2 = '""&amp;Personagem!$AB$2&amp;""' or Col2 = '""&amp;Personagem!$AB$3&amp;""' or Col2 = '""&amp;Personagem!$AB$4&amp;""' or Col2 = '""&amp;Personagem!$AB$5&amp;""'""),
if('Time 5'!C5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'""&amp;Personagem!$AC$5&amp;""'"")))))))))))))))))))))))))))))"),"Ponta Perseguidora")</f>
        <v>Ponta Perseguidora</v>
      </c>
      <c r="F1" s="241"/>
      <c r="G1" s="241" t="str">
        <f>IFERROR(__xludf.DUMMYFUNCTION("if('Time 5'!C6 = ""Albert"", query(IMPORTRANGE(cd_planilha, ""Armas!B3:G""), ""Select Col1 Where Col2 = '""&amp;Personagem!$B$2&amp;""' or Col2 = '""&amp;Personagem!$B$3&amp;""' or Col2 = '""&amp;Personagem!$B$4&amp;""' or Col2 = '""&amp;Personagem!$B$5&amp;""'""),     
if('Time 5'!C6 ="&amp;" ""Alicia"", query(IMPORTRANGE(cd_planilha, ""Armas!B3:G""), ""Select Col1 Where Col2 = '""&amp;Personagem!$C$2&amp;""' or Col2 = '""&amp;Personagem!$C$3&amp;""' or Col2 = '""&amp;Personagem!$C$4&amp;""' or Col2 = '""&amp;Personagem!$C$5&amp;""'""),
if('Time 5'!C6 = ""Azula"", query(IMP"&amp;"ORTRANGE(cd_planilha, ""Armas!B3:G""), ""Select Col1 Where Col2 = '""&amp;Personagem!$D$2&amp;""' or Col2 = '""&amp;Personagem!$D$3&amp;""' or Col2 = '""&amp;Personagem!$D$4&amp;""' or Col2 = '""&amp;Personagem!$D$5&amp;""'""),
if('Time 5'!C6 = ""Charles"", query(IMPORTRANGE(cd_planilha"&amp;", ""Armas!B3:G""), ""Select Col1 Where Col2 = '""&amp;Personagem!$E$2&amp;""' or Col2 = '""&amp;Personagem!$E$3&amp;""' or Col2 = '""&amp;Personagem!$E$4&amp;""' or Col2 = '""&amp;Personagem!$E$5&amp;""'""),
if('Time 5'!C6 = ""Clovis"", query(IMPORTRANGE(cd_planilha, ""Armas!B3:G""), """&amp;"Select Col1 Where Col2 = '""&amp;Personagem!$F$2&amp;""' or Col2 = '""&amp;Personagem!$F$3&amp;""' or Col2 = '""&amp;Personagem!$F$4&amp;""' or Col2 = '""&amp;Personagem!$F$5&amp;""'""),
if('Time 5'!C6 = ""Darthos"", query(IMPORTRANGE(cd_planilha, ""Armas!B3:G""), ""Select Col1 Where Co"&amp;"l2 = '""&amp;Personagem!$G$2&amp;""' or Col2 = '""&amp;Personagem!$G$3&amp;""' or Col2 = '""&amp;Personagem!$G$4&amp;""' or Col2 = '""&amp;Personagem!$G$5&amp;""'""),
if('Time 5'!C6 = ""Edward"", query(IMPORTRANGE(cd_planilha, ""Armas!B3:G""), ""Select Col1 Where Col2 = '""&amp;Personagem!$"&amp;"H$2&amp;""' or Col2 = '""&amp;Personagem!$H$3&amp;""' or Col2 = '""&amp;Personagem!$H$4&amp;""' or Col2 = '""&amp;Personagem!$H$5&amp;""'""),
if('Time 5'!C6 = ""Fiora"", query(IMPORTRANGE(cd_planilha, ""Armas!B3:G""), ""Select Col1 Where Col2 = '""&amp;Personagem!$I$2&amp;""' or Col2 = '""&amp;"&amp;"Personagem!$I$3&amp;""' or Col2 = '""&amp;Personagem!$I$4&amp;""' or Col2 = '""&amp;Personagem!$I$5&amp;""'""),
if('Time 5'!C6 = ""Francesca"", query(IMPORTRANGE(cd_planilha, ""Armas!B3:G""), ""Select Col1 Where Col2 = '""&amp;Personagem!$J$2&amp;""' or Col2 = '""&amp;Personagem!$J$3&amp;"""&amp;"' or Col2 = '""&amp;Personagem!$J$4&amp;""' or Col2 = '""&amp;Personagem!$J$5&amp;""'""),
if('Time 5'!C6 = ""Garreth"", query(IMPORTRANGE(cd_planilha, ""Armas!B3:G""), ""Select Col1 Where Col2 = '""&amp;Personagem!$K$2&amp;""' or Col2 = '""&amp;Personagem!$K$3&amp;""' or Col2 = '""&amp;Pers"&amp;"onagem!$K$4&amp;""' or Col2 = '""&amp;Personagem!$K$5&amp;""'""),
if('Time 5'!C6 = ""Gauvin"", query(IMPORTRANGE(cd_planilha, ""Armas!B3:G""), ""Select Col1 Where Col2 = '""&amp;Personagem!$L$2&amp;""' or Col2 = '""&amp;Personagem!$L$3&amp;""' or Col2 = '""&amp;Personagem!$L$4&amp;""' or Co"&amp;"l2 = '""&amp;Personagem!$L$5&amp;""'""),
if('Time 5'!C6 = ""Irene"", query(IMPORTRANGE(cd_planilha, ""Armas!B3:G""), ""Select Col1 Where Col2 = '""&amp;Personagem!$M$2&amp;""' or Col2 = '""&amp;Personagem!$M$3&amp;""' or Col2 = '""&amp;Personagem!$M$4&amp;""' or Col2 = '""&amp;Personagem!$M"&amp;"$5&amp;""'""),
if('Time 5'!C6 = ""Karal"", query(IMPORTRANGE(cd_planilha, ""Armas!B3:G""), ""Select Col1 Where Col2 = '""&amp;Personagem!$N$2&amp;""' or Col2 = '""&amp;Personagem!$N$3&amp;""' or Col2 = '""&amp;Personagem!$N$4&amp;""' or Col2 = '""&amp;Personagem!$N$5&amp;""'""),
if('Time 5'"&amp;"!C6 = ""Kuro Shobi"", query(IMPORTRANGE(cd_planilha, ""Armas!B3:G""), ""Select Col1 Where Col2 = '""&amp;Personagem!$O$2&amp;""' or Col2 = '""&amp;Personagem!$O$3&amp;""' or Col2 = '""&amp;Personagem!$O$4&amp;""' or Col2 = '""&amp;Personagem!$O$5&amp;""'""),
if('Time 5'!C6 = ""Kurul"", "&amp;"query(IMPORTRANGE(cd_planilha, ""Armas!B3:G""), ""Select Col1 Where Col2 = '""&amp;Personagem!$P$2&amp;""' or Col2 = '""&amp;Personagem!$P$3&amp;""' or Col2 = '""&amp;Personagem!$P$4&amp;""' or Col2 = '""&amp;Personagem!$P$5&amp;""'""),
if('Time 5'!C6 = ""Lancaster"", query(IMPORTRANGE("&amp;"cd_planilha, ""Armas!B3:G""), ""Select Col1 Where Col2 = '""&amp;Personagem!$Q$2&amp;""' or Col2 = '""&amp;Personagem!$Q$3&amp;""' or Col2 = '""&amp;Personagem!$Q$4&amp;""' or Col2 = '""&amp;Personagem!$Q$5&amp;""'""),
if('Time 5'!C6 = ""Lorelei"", query(IMPORTRANGE(cd_planilha, ""Armas"&amp;"!B3:G""), ""Select Col1 Where Col2 = '""&amp;Personagem!$R$2&amp;""' or Col2 = '""&amp;Personagem!$R$3&amp;""' or Col2 = '""&amp;Personagem!$R$4&amp;""' or Col2 = '""&amp;Personagem!$R$5&amp;""'""),
if('Time 5'!C6 = ""Louca"", query(IMPORTRANGE(cd_planilha, ""Armas!B3:G""), ""Select Col"&amp;"1 Where Col2 = '""&amp;Personagem!$S$2&amp;""' or Col2 = '""&amp;Personagem!$S$3&amp;""' or Col2 = '""&amp;Personagem!$S$4&amp;""' or Col2 = '""&amp;Personagem!$S$5&amp;""'""),
if('Time 5'!C6 = ""Melina"", query(IMPORTRANGE(cd_planilha, ""Armas!B3:G""), ""Select Col1 Where Col2 = '""&amp;Pe"&amp;"rsonagem!$T$2&amp;""' or Col2 = '""&amp;Personagem!$T$3&amp;""' or Col2 = '""&amp;Personagem!$T$4&amp;""' or Col2 = '""&amp;Personagem!$T$5&amp;""'""),
if('Time 5'!C6 = ""Mila"", query(IMPORTRANGE(cd_planilha, ""Armas!B3:G""), ""Select Col1 Where Col2 = '""&amp;Personagem!$U$2&amp;""' or Co"&amp;"l2 = '""&amp;Personagem!$U$3&amp;""' or Col2 = '""&amp;Personagem!$U$4&amp;""' or Col2 = '""&amp;Personagem!$U$5&amp;""'""),
if('Time 5'!C6 = ""Minh"", query(IMPORTRANGE(cd_planilha, ""Armas!B3:G""), ""Select Col1 Where Col2 = '""&amp;Personagem!$V$2&amp;""' or Col2 = '""&amp;Personagem!$V$"&amp;"3&amp;""' or Col2 = '""&amp;Personagem!$V$4&amp;""' or Col2 = '""&amp;Personagem!$V$5&amp;""'""),
if('Time 5'!C6 = ""Mojian"", query(IMPORTRANGE(cd_planilha, ""Armas!B3:G""), ""Select Col1 Where Col2 = '""&amp;Personagem!$W$2&amp;""' or Col2 = '""&amp;Personagem!$W$3&amp;""' or Col2 = '""&amp;P"&amp;"ersonagem!$W$4&amp;""' or Col2 = '""&amp;Personagem!$W$5&amp;""'""),
if('Time 5'!C6 = ""Nya"", query(IMPORTRANGE(cd_planilha, ""Armas!B3:G""), ""Select Col1 Where Col2 = '""&amp;Personagem!$X$2&amp;""' or Col2 = '""&amp;Personagem!$X$3&amp;""' or Col2 = '""&amp;Personagem!$X$4&amp;""' or Co"&amp;"l2 = '""&amp;Personagem!$X$5&amp;""'""),
if('Time 5'!C6 = ""Odette"", query(IMPORTRANGE(cd_planilha, ""Armas!B3:G""), ""Select Col1 Where Col2 = '""&amp;Personagem!$Y$2&amp;""' or Col2 = '""&amp;Personagem!$Y$3&amp;""' or Col2 = '""&amp;Personagem!$Y$4&amp;""' or Col2 = '""&amp;Personagem!$"&amp;"Y$5&amp;""'""),
if('Time 5'!C6 = ""Oneira"", query(IMPORTRANGE(cd_planilha, ""Armas!B3:G""), ""Select Col1 Where Col2 = '""&amp;Personagem!$Z$2&amp;""' or Col2 = '""&amp;Personagem!$Z$3&amp;""' or Col2 = '""&amp;Personagem!$Z$4&amp;""' or Col2 = '""&amp;Personagem!$Z$5&amp;""'""),
if('Time "&amp;"5'!C6 = ""Palash"", query(IMPORTRANGE(cd_planilha, ""Armas!B3:G""), ""Select Col1 Where Col2 = '""&amp;Personagem!$AA$2&amp;""' or Col2 = '""&amp;Personagem!$AA$3&amp;""' or Col2 = '""&amp;Personagem!$AA$4&amp;""' or Col2 = '""&amp;Personagem!$AA$5&amp;""'""),
if('Time 5'!C6 = ""Theor"""&amp;", query(IMPORTRANGE(cd_planilha, ""Armas!B3:G""), ""Select Col1 Where Col2 = '""&amp;Personagem!$AB$2&amp;""' or Col2 = '""&amp;Personagem!$AB$3&amp;""' or Col2 = '""&amp;Personagem!$AB$4&amp;""' or Col2 = '""&amp;Personagem!$AB$5&amp;""'""),
if('Time 5'!C6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'""&amp;Personagem!$AC$5&amp;""'"")))))))))))))))))))))))))))))"),"Lâmina de fogo")</f>
        <v>Lâmina de fogo</v>
      </c>
      <c r="H1" s="241"/>
      <c r="I1" s="241" t="str">
        <f>IFERROR(__xludf.DUMMYFUNCTION("if('Time 5'!C7 = ""Albert"", query(IMPORTRANGE(cd_planilha, ""Armas!B3:G""), ""Select Col1 Where Col2 = '""&amp;Personagem!$B$2&amp;""' or Col2 = '""&amp;Personagem!$B$3&amp;""' or Col2 = '""&amp;Personagem!$B$4&amp;""' or Col2 = '""&amp;Personagem!$B$5&amp;""'""),     
if('Time 5'!C7 ="&amp;" ""Alicia"", query(IMPORTRANGE(cd_planilha, ""Armas!B3:G""), ""Select Col1 Where Col2 = '""&amp;Personagem!$C$2&amp;""' or Col2 = '""&amp;Personagem!$C$3&amp;""' or Col2 = '""&amp;Personagem!$C$4&amp;""' or Col2 = '""&amp;Personagem!$C$5&amp;""'""),
if('Time 5'!C7 = ""Azula"", query(IMP"&amp;"ORTRANGE(cd_planilha, ""Armas!B3:G""), ""Select Col1 Where Col2 = '""&amp;Personagem!$D$2&amp;""' or Col2 = '""&amp;Personagem!$D$3&amp;""' or Col2 = '""&amp;Personagem!$D$4&amp;""' or Col2 = '""&amp;Personagem!$D$5&amp;""'""),
if('Time 5'!C7 = ""Charles"", query(IMPORTRANGE(cd_planilha"&amp;", ""Armas!B3:G""), ""Select Col1 Where Col2 = '""&amp;Personagem!$E$2&amp;""' or Col2 = '""&amp;Personagem!$E$3&amp;""' or Col2 = '""&amp;Personagem!$E$4&amp;""' or Col2 = '""&amp;Personagem!$E$5&amp;""'""),
if('Time 5'!C7 = ""Clovis"", query(IMPORTRANGE(cd_planilha, ""Armas!B3:G""), """&amp;"Select Col1 Where Col2 = '""&amp;Personagem!$F$2&amp;""' or Col2 = '""&amp;Personagem!$F$3&amp;""' or Col2 = '""&amp;Personagem!$F$4&amp;""' or Col2 = '""&amp;Personagem!$F$5&amp;""'""),
if('Time 5'!C7 = ""Darthos"", query(IMPORTRANGE(cd_planilha, ""Armas!B3:G""), ""Select Col1 Where Co"&amp;"l2 = '""&amp;Personagem!$G$2&amp;""' or Col2 = '""&amp;Personagem!$G$3&amp;""' or Col2 = '""&amp;Personagem!$G$4&amp;""' or Col2 = '""&amp;Personagem!$G$5&amp;""'""),
if('Time 5'!C7 = ""Edward"", query(IMPORTRANGE(cd_planilha, ""Armas!B3:G""), ""Select Col1 Where Col2 = '""&amp;Personagem!$"&amp;"H$2&amp;""' or Col2 = '""&amp;Personagem!$H$3&amp;""' or Col2 = '""&amp;Personagem!$H$4&amp;""' or Col2 = '""&amp;Personagem!$H$5&amp;""'""),
if('Time 5'!C7 = ""Fiora"", query(IMPORTRANGE(cd_planilha, ""Armas!B3:G""), ""Select Col1 Where Col2 = '""&amp;Personagem!$I$2&amp;""' or Col2 = '""&amp;"&amp;"Personagem!$I$3&amp;""' or Col2 = '""&amp;Personagem!$I$4&amp;""' or Col2 = '""&amp;Personagem!$I$5&amp;""'""),
if('Time 5'!C7 = ""Francesca"", query(IMPORTRANGE(cd_planilha, ""Armas!B3:G""), ""Select Col1 Where Col2 = '""&amp;Personagem!$J$2&amp;""' or Col2 = '""&amp;Personagem!$J$3&amp;"""&amp;"' or Col2 = '""&amp;Personagem!$J$4&amp;""' or Col2 = '""&amp;Personagem!$J$5&amp;""'""),
if('Time 5'!C7 = ""Garreth"", query(IMPORTRANGE(cd_planilha, ""Armas!B3:G""), ""Select Col1 Where Col2 = '""&amp;Personagem!$K$2&amp;""' or Col2 = '""&amp;Personagem!$K$3&amp;""' or Col2 = '""&amp;Pers"&amp;"onagem!$K$4&amp;""' or Col2 = '""&amp;Personagem!$K$5&amp;""'""),
if('Time 5'!C7 = ""Gauvin"", query(IMPORTRANGE(cd_planilha, ""Armas!B3:G""), ""Select Col1 Where Col2 = '""&amp;Personagem!$L$2&amp;""' or Col2 = '""&amp;Personagem!$L$3&amp;""' or Col2 = '""&amp;Personagem!$L$4&amp;""' or Co"&amp;"l2 = '""&amp;Personagem!$L$5&amp;""'""),
if('Time 5'!C7 = ""Irene"", query(IMPORTRANGE(cd_planilha, ""Armas!B3:G""), ""Select Col1 Where Col2 = '""&amp;Personagem!$M$2&amp;""' or Col2 = '""&amp;Personagem!$M$3&amp;""' or Col2 = '""&amp;Personagem!$M$4&amp;""' or Col2 = '""&amp;Personagem!$M"&amp;"$5&amp;""'""),
if('Time 5'!C7 = ""Karal"", query(IMPORTRANGE(cd_planilha, ""Armas!B3:G""), ""Select Col1 Where Col2 = '""&amp;Personagem!$N$2&amp;""' or Col2 = '""&amp;Personagem!$N$3&amp;""' or Col2 = '""&amp;Personagem!$N$4&amp;""' or Col2 = '""&amp;Personagem!$N$5&amp;""'""),
if('Time 5'"&amp;"!C7 = ""Kuro Shobi"", query(IMPORTRANGE(cd_planilha, ""Armas!B3:G""), ""Select Col1 Where Col2 = '""&amp;Personagem!$O$2&amp;""' or Col2 = '""&amp;Personagem!$O$3&amp;""' or Col2 = '""&amp;Personagem!$O$4&amp;""' or Col2 = '""&amp;Personagem!$O$5&amp;""'""),
if('Time 5'!C7 = ""Kurul"", "&amp;"query(IMPORTRANGE(cd_planilha, ""Armas!B3:G""), ""Select Col1 Where Col2 = '""&amp;Personagem!$P$2&amp;""' or Col2 = '""&amp;Personagem!$P$3&amp;""' or Col2 = '""&amp;Personagem!$P$4&amp;""' or Col2 = '""&amp;Personagem!$P$5&amp;""'""),
if('Time 5'!C7 = ""Lancaster"", query(IMPORTRANGE("&amp;"cd_planilha, ""Armas!B3:G""), ""Select Col1 Where Col2 = '""&amp;Personagem!$Q$2&amp;""' or Col2 = '""&amp;Personagem!$Q$3&amp;""' or Col2 = '""&amp;Personagem!$Q$4&amp;""' or Col2 = '""&amp;Personagem!$Q$5&amp;""'""),
if('Time 5'!C7 = ""Lorelei"", query(IMPORTRANGE(cd_planilha, ""Armas"&amp;"!B3:G""), ""Select Col1 Where Col2 = '""&amp;Personagem!$R$2&amp;""' or Col2 = '""&amp;Personagem!$R$3&amp;""' or Col2 = '""&amp;Personagem!$R$4&amp;""' or Col2 = '""&amp;Personagem!$R$5&amp;""'""),
if('Time 5'!C7 = ""Louca"", query(IMPORTRANGE(cd_planilha, ""Armas!B3:G""), ""Select Col"&amp;"1 Where Col2 = '""&amp;Personagem!$S$2&amp;""' or Col2 = '""&amp;Personagem!$S$3&amp;""' or Col2 = '""&amp;Personagem!$S$4&amp;""' or Col2 = '""&amp;Personagem!$S$5&amp;""'""),
if('Time 5'!C7 = ""Melina"", query(IMPORTRANGE(cd_planilha, ""Armas!B3:G""), ""Select Col1 Where Col2 = '""&amp;Pe"&amp;"rsonagem!$T$2&amp;""' or Col2 = '""&amp;Personagem!$T$3&amp;""' or Col2 = '""&amp;Personagem!$T$4&amp;""' or Col2 = '""&amp;Personagem!$T$5&amp;""'""),
if('Time 5'!C7 = ""Mila"", query(IMPORTRANGE(cd_planilha, ""Armas!B3:G""), ""Select Col1 Where Col2 = '""&amp;Personagem!$U$2&amp;""' or Co"&amp;"l2 = '""&amp;Personagem!$U$3&amp;""' or Col2 = '""&amp;Personagem!$U$4&amp;""' or Col2 = '""&amp;Personagem!$U$5&amp;""'""),
if('Time 5'!C7 = ""Minh"", query(IMPORTRANGE(cd_planilha, ""Armas!B3:G""), ""Select Col1 Where Col2 = '""&amp;Personagem!$V$2&amp;""' or Col2 = '""&amp;Personagem!$V$"&amp;"3&amp;""' or Col2 = '""&amp;Personagem!$V$4&amp;""' or Col2 = '""&amp;Personagem!$V$5&amp;""'""),
if('Time 5'!C7 = ""Mojian"", query(IMPORTRANGE(cd_planilha, ""Armas!B3:G""), ""Select Col1 Where Col2 = '""&amp;Personagem!$W$2&amp;""' or Col2 = '""&amp;Personagem!$W$3&amp;""' or Col2 = '""&amp;P"&amp;"ersonagem!$W$4&amp;""' or Col2 = '""&amp;Personagem!$W$5&amp;""'""),
if('Time 5'!C7 = ""Nya"", query(IMPORTRANGE(cd_planilha, ""Armas!B3:G""), ""Select Col1 Where Col2 = '""&amp;Personagem!$X$2&amp;""' or Col2 = '""&amp;Personagem!$X$3&amp;""' or Col2 = '""&amp;Personagem!$X$4&amp;""' or Co"&amp;"l2 = '""&amp;Personagem!$X$5&amp;""'""),
if('Time 5'!C7 = ""Odette"", query(IMPORTRANGE(cd_planilha, ""Armas!B3:G""), ""Select Col1 Where Col2 = '""&amp;Personagem!$Y$2&amp;""' or Col2 = '""&amp;Personagem!$Y$3&amp;""' or Col2 = '""&amp;Personagem!$Y$4&amp;""' or Col2 = '""&amp;Personagem!$"&amp;"Y$5&amp;""'""),
if('Time 5'!C7 = ""Oneira"", query(IMPORTRANGE(cd_planilha, ""Armas!B3:G""), ""Select Col1 Where Col2 = '""&amp;Personagem!$Z$2&amp;""' or Col2 = '""&amp;Personagem!$Z$3&amp;""' or Col2 = '""&amp;Personagem!$Z$4&amp;""' or Col2 = '""&amp;Personagem!$Z$5&amp;""'""),
if('Time "&amp;"5'!C7 = ""Palash"", query(IMPORTRANGE(cd_planilha, ""Armas!B3:G""), ""Select Col1 Where Col2 = '""&amp;Personagem!$AA$2&amp;""' or Col2 = '""&amp;Personagem!$AA$3&amp;""' or Col2 = '""&amp;Personagem!$AA$4&amp;""' or Col2 = '""&amp;Personagem!$AA$5&amp;""'""),
if('Time 5'!C7 = ""Theor"""&amp;", query(IMPORTRANGE(cd_planilha, ""Armas!B3:G""), ""Select Col1 Where Col2 = '""&amp;Personagem!$AB$2&amp;""' or Col2 = '""&amp;Personagem!$AB$3&amp;""' or Col2 = '""&amp;Personagem!$AB$4&amp;""' or Col2 = '""&amp;Personagem!$AB$5&amp;""'""),
if('Time 5'!C7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'""&amp;Personagem!$AC$5&amp;""'"")))))))))))))))))))))))))))))"),"Poedor do Sol")</f>
        <v>Poedor do Sol</v>
      </c>
      <c r="J1" s="241"/>
      <c r="K1" s="241" t="b">
        <f>IFERROR(__xludf.DUMMYFUNCTION("if('Time 5'!C8 = ""Albert"", query(IMPORTRANGE(cd_planilha, ""Armas!B3:G""), ""Select Col1 Where Col2 = '""&amp;Personagem!$B$2&amp;""' or Col2 = '""&amp;Personagem!$B$3&amp;""' or Col2 = '""&amp;Personagem!$B$4&amp;""' or Col2 = '""&amp;Personagem!$B$5&amp;""'""),     
if('Time 5'!C8 ="&amp;" ""Alicia"", query(IMPORTRANGE(cd_planilha, ""Armas!B3:G""), ""Select Col1 Where Col2 = '""&amp;Personagem!$C$2&amp;""' or Col2 = '""&amp;Personagem!$C$3&amp;""' or Col2 = '""&amp;Personagem!$C$4&amp;""' or Col2 = '""&amp;Personagem!$C$5&amp;""'""),
if('Time 5'!C8 = ""Azula"", query(IMP"&amp;"ORTRANGE(cd_planilha, ""Armas!B3:G""), ""Select Col1 Where Col2 = '""&amp;Personagem!$D$2&amp;""' or Col2 = '""&amp;Personagem!$D$3&amp;""' or Col2 = '""&amp;Personagem!$D$4&amp;""' or Col2 = '""&amp;Personagem!$D$5&amp;""'""),
if('Time 5'!C8 = ""Charles"", query(IMPORTRANGE(cd_planilha"&amp;", ""Armas!B3:G""), ""Select Col1 Where Col2 = '""&amp;Personagem!$E$2&amp;""' or Col2 = '""&amp;Personagem!$E$3&amp;""' or Col2 = '""&amp;Personagem!$E$4&amp;""' or Col2 = '""&amp;Personagem!$E$5&amp;""'""),
if('Time 5'!C8 = ""Clovis"", query(IMPORTRANGE(cd_planilha, ""Armas!B3:G""), """&amp;"Select Col1 Where Col2 = '""&amp;Personagem!$F$2&amp;""' or Col2 = '""&amp;Personagem!$F$3&amp;""' or Col2 = '""&amp;Personagem!$F$4&amp;""' or Col2 = '""&amp;Personagem!$F$5&amp;""'""),
if('Time 5'!C8 = ""Darthos"", query(IMPORTRANGE(cd_planilha, ""Armas!B3:G""), ""Select Col1 Where Co"&amp;"l2 = '""&amp;Personagem!$G$2&amp;""' or Col2 = '""&amp;Personagem!$G$3&amp;""' or Col2 = '""&amp;Personagem!$G$4&amp;""' or Col2 = '""&amp;Personagem!$G$5&amp;""'""),
if('Time 5'!C8 = ""Edward"", query(IMPORTRANGE(cd_planilha, ""Armas!B3:G""), ""Select Col1 Where Col2 = '""&amp;Personagem!$"&amp;"H$2&amp;""' or Col2 = '""&amp;Personagem!$H$3&amp;""' or Col2 = '""&amp;Personagem!$H$4&amp;""' or Col2 = '""&amp;Personagem!$H$5&amp;""'""),
if('Time 5'!C8 = ""Fiora"", query(IMPORTRANGE(cd_planilha, ""Armas!B3:G""), ""Select Col1 Where Col2 = '""&amp;Personagem!$I$2&amp;""' or Col2 = '""&amp;"&amp;"Personagem!$I$3&amp;""' or Col2 = '""&amp;Personagem!$I$4&amp;""' or Col2 = '""&amp;Personagem!$I$5&amp;""'""),
if('Time 5'!C8 = ""Francesca"", query(IMPORTRANGE(cd_planilha, ""Armas!B3:G""), ""Select Col1 Where Col2 = '""&amp;Personagem!$J$2&amp;""' or Col2 = '""&amp;Personagem!$J$3&amp;"""&amp;"' or Col2 = '""&amp;Personagem!$J$4&amp;""' or Col2 = '""&amp;Personagem!$J$5&amp;""'""),
if('Time 5'!C8 = ""Garreth"", query(IMPORTRANGE(cd_planilha, ""Armas!B3:G""), ""Select Col1 Where Col2 = '""&amp;Personagem!$K$2&amp;""' or Col2 = '""&amp;Personagem!$K$3&amp;""' or Col2 = '""&amp;Pers"&amp;"onagem!$K$4&amp;""' or Col2 = '""&amp;Personagem!$K$5&amp;""'""),
if('Time 5'!C8 = ""Gauvin"", query(IMPORTRANGE(cd_planilha, ""Armas!B3:G""), ""Select Col1 Where Col2 = '""&amp;Personagem!$L$2&amp;""' or Col2 = '""&amp;Personagem!$L$3&amp;""' or Col2 = '""&amp;Personagem!$L$4&amp;""' or Co"&amp;"l2 = '""&amp;Personagem!$L$5&amp;""'""),
if('Time 5'!C8 = ""Irene"", query(IMPORTRANGE(cd_planilha, ""Armas!B3:G""), ""Select Col1 Where Col2 = '""&amp;Personagem!$M$2&amp;""' or Col2 = '""&amp;Personagem!$M$3&amp;""' or Col2 = '""&amp;Personagem!$M$4&amp;""' or Col2 = '""&amp;Personagem!$M"&amp;"$5&amp;""'""),
if('Time 5'!C8 = ""Karal"", query(IMPORTRANGE(cd_planilha, ""Armas!B3:G""), ""Select Col1 Where Col2 = '""&amp;Personagem!$N$2&amp;""' or Col2 = '""&amp;Personagem!$N$3&amp;""' or Col2 = '""&amp;Personagem!$N$4&amp;""' or Col2 = '""&amp;Personagem!$N$5&amp;""'""),
if('Time 5'"&amp;"!C8 = ""Kuro Shobi"", query(IMPORTRANGE(cd_planilha, ""Armas!B3:G""), ""Select Col1 Where Col2 = '""&amp;Personagem!$O$2&amp;""' or Col2 = '""&amp;Personagem!$O$3&amp;""' or Col2 = '""&amp;Personagem!$O$4&amp;""' or Col2 = '""&amp;Personagem!$O$5&amp;""'""),
if('Time 5'!C8 = ""Kurul"", "&amp;"query(IMPORTRANGE(cd_planilha, ""Armas!B3:G""), ""Select Col1 Where Col2 = '""&amp;Personagem!$P$2&amp;""' or Col2 = '""&amp;Personagem!$P$3&amp;""' or Col2 = '""&amp;Personagem!$P$4&amp;""' or Col2 = '""&amp;Personagem!$P$5&amp;""'""),
if('Time 5'!C8 = ""Lancaster"", query(IMPORTRANGE("&amp;"cd_planilha, ""Armas!B3:G""), ""Select Col1 Where Col2 = '""&amp;Personagem!$Q$2&amp;""' or Col2 = '""&amp;Personagem!$Q$3&amp;""' or Col2 = '""&amp;Personagem!$Q$4&amp;""' or Col2 = '""&amp;Personagem!$Q$5&amp;""'""),
if('Time 5'!C8 = ""Lorelei"", query(IMPORTRANGE(cd_planilha, ""Armas"&amp;"!B3:G""), ""Select Col1 Where Col2 = '""&amp;Personagem!$R$2&amp;""' or Col2 = '""&amp;Personagem!$R$3&amp;""' or Col2 = '""&amp;Personagem!$R$4&amp;""' or Col2 = '""&amp;Personagem!$R$5&amp;""'""),
if('Time 5'!C8 = ""Louca"", query(IMPORTRANGE(cd_planilha, ""Armas!B3:G""), ""Select Col"&amp;"1 Where Col2 = '""&amp;Personagem!$S$2&amp;""' or Col2 = '""&amp;Personagem!$S$3&amp;""' or Col2 = '""&amp;Personagem!$S$4&amp;""' or Col2 = '""&amp;Personagem!$S$5&amp;""'""),
if('Time 5'!C8 = ""Melina"", query(IMPORTRANGE(cd_planilha, ""Armas!B3:G""), ""Select Col1 Where Col2 = '""&amp;Pe"&amp;"rsonagem!$T$2&amp;""' or Col2 = '""&amp;Personagem!$T$3&amp;""' or Col2 = '""&amp;Personagem!$T$4&amp;""' or Col2 = '""&amp;Personagem!$T$5&amp;""'""),
if('Time 5'!C8 = ""Mila"", query(IMPORTRANGE(cd_planilha, ""Armas!B3:G""), ""Select Col1 Where Col2 = '""&amp;Personagem!$U$2&amp;""' or Co"&amp;"l2 = '""&amp;Personagem!$U$3&amp;""' or Col2 = '""&amp;Personagem!$U$4&amp;""' or Col2 = '""&amp;Personagem!$U$5&amp;""'""),
if('Time 5'!C8 = ""Minh"", query(IMPORTRANGE(cd_planilha, ""Armas!B3:G""), ""Select Col1 Where Col2 = '""&amp;Personagem!$V$2&amp;""' or Col2 = '""&amp;Personagem!$V$"&amp;"3&amp;""' or Col2 = '""&amp;Personagem!$V$4&amp;""' or Col2 = '""&amp;Personagem!$V$5&amp;""'""),
if('Time 5'!C8 = ""Mojian"", query(IMPORTRANGE(cd_planilha, ""Armas!B3:G""), ""Select Col1 Where Col2 = '""&amp;Personagem!$W$2&amp;""' or Col2 = '""&amp;Personagem!$W$3&amp;""' or Col2 = '""&amp;P"&amp;"ersonagem!$W$4&amp;""' or Col2 = '""&amp;Personagem!$W$5&amp;""'""),
if('Time 5'!C8 = ""Nya"", query(IMPORTRANGE(cd_planilha, ""Armas!B3:G""), ""Select Col1 Where Col2 = '""&amp;Personagem!$X$2&amp;""' or Col2 = '""&amp;Personagem!$X$3&amp;""' or Col2 = '""&amp;Personagem!$X$4&amp;""' or Co"&amp;"l2 = '""&amp;Personagem!$X$5&amp;""'""),
if('Time 5'!C8 = ""Odette"", query(IMPORTRANGE(cd_planilha, ""Armas!B3:G""), ""Select Col1 Where Col2 = '""&amp;Personagem!$Y$2&amp;""' or Col2 = '""&amp;Personagem!$Y$3&amp;""' or Col2 = '""&amp;Personagem!$Y$4&amp;""' or Col2 = '""&amp;Personagem!$"&amp;"Y$5&amp;""'""),
if('Time 5'!C8 = ""Oneira"", query(IMPORTRANGE(cd_planilha, ""Armas!B3:G""), ""Select Col1 Where Col2 = '""&amp;Personagem!$Z$2&amp;""' or Col2 = '""&amp;Personagem!$Z$3&amp;""' or Col2 = '""&amp;Personagem!$Z$4&amp;""' or Col2 = '""&amp;Personagem!$Z$5&amp;""'""),
if('Time "&amp;"5'!C8 = ""Palash"", query(IMPORTRANGE(cd_planilha, ""Armas!B3:G""), ""Select Col1 Where Col2 = '""&amp;Personagem!$AA$2&amp;""' or Col2 = '""&amp;Personagem!$AA$3&amp;""' or Col2 = '""&amp;Personagem!$AA$4&amp;""' or Col2 = '""&amp;Personagem!$AA$5&amp;""'""),
if('Time 5'!C8 = ""Theor"""&amp;", query(IMPORTRANGE(cd_planilha, ""Armas!B3:G""), ""Select Col1 Where Col2 = '""&amp;Personagem!$AB$2&amp;""' or Col2 = '""&amp;Personagem!$AB$3&amp;""' or Col2 = '""&amp;Personagem!$AB$4&amp;""' or Col2 = '""&amp;Personagem!$AB$5&amp;""'""),
if('Time 5'!C8 = ""Yue"", query(IMPORTRANGE("&amp;"cd_planilha, ""Armas!B3:G""), ""Select Col1 Where Col2 = '""&amp;Personagem!$AC$2&amp;""' or Col2 = '""&amp;Personagem!$AC$3&amp;""' or Col2 = '""&amp;Personagem!$AC$4&amp;""' or Col2 = '""&amp;Personagem!$AC$5&amp;""'"")))))))))))))))))))))))))))))"),FALSE)</f>
        <v>0</v>
      </c>
      <c r="L1" s="242"/>
      <c r="M1" s="241" t="str">
        <f>IFERROR(__xludf.DUMMYFUNCTION("if('Time 5'!C3 = ""Albert"", query(IMPORTRANGE(cd_planilha, ""Armas!B3:G""), ""Select Col1 Where Col2 = '""&amp;Personagem!$B$6&amp;""' or Col2 = '""&amp;Personagem!$B$7&amp;""'""),     
if('Time 5'!C3 = ""Alicia"", query(IMPORTRANGE(cd_planilha, ""Armas!B3:G""), ""Selec"&amp;"t Col1 Where Col2 = '""&amp;Personagem!$C$6&amp;""' or Col2 = '""&amp;Personagem!$C$7&amp;""'""),
if('Time 5'!C3 = ""Azula"", query(IMPORTRANGE(cd_planilha, ""Armas!B3:G""), ""Select Col1 Where Col2 = '""&amp;Personagem!$D$6&amp;""' or Col2 = '""&amp;Personagem!$D$7&amp;""' ""),
if('Tim"&amp;"e 5'!C3 = ""Charles"", query(IMPORTRANGE(cd_planilha, ""Armas!B3:G""), ""Select Col1 Where Col2 = '""&amp;Personagem!$E$6&amp;""' or Col2 = '""&amp;Personagem!$E$7&amp;""'""),
if('Time 5'!C3 = ""Clovis"", query(IMPORTRANGE(cd_planilha, ""Armas!B3:G""), ""Select Col1 Wher"&amp;"e Col2 = '""&amp;Personagem!$F$6&amp;""' or Col2 = '""&amp;Personagem!$F$7&amp;""' ""),
if('Time 5'!C3 = ""Darthos"", query(IMPORTRANGE(cd_planilha, ""Armas!B3:G""), ""Select Col1 Where Col2 = '""&amp;Personagem!$G$6&amp;""' or Col2 = '""&amp;Personagem!$G$7&amp;""'""),
if('Time 5'!C3 ="&amp;" ""Edward"", query(IMPORTRANGE(cd_planilha, ""Armas!B3:G""), ""Select Col1 Where Col2 = '""&amp;Personagem!$H$6&amp;""' or Col2 = '""&amp;Personagem!$H$7&amp;""' ""),
if('Time 5'!C3 = ""Fiora"", query(IMPORTRANGE(cd_planilha, ""Armas!B3:G""), ""Select Col1 Where Col2 = '"&amp;"""&amp;Personagem!$I$6&amp;""' or Col2 = '""&amp;Personagem!$I$7&amp;""' ""),
if('Time 5'!C3 = ""Francesca"", query(IMPORTRANGE(cd_planilha, ""Armas!B3:G""), ""Select Col1 Where Col2 = '""&amp;Personagem!$J$6&amp;""' or Col2 = '""&amp;Personagem!$J$7&amp;""'""),
if('Time 5'!C3 = ""Garre"&amp;"th"", query(IMPORTRANGE(cd_planilha, ""Armas!B3:G""), ""Select Col1 Where Col2 = '""&amp;Personagem!$K$6&amp;""' or Col2 = '""&amp;Personagem!$K$7&amp;""'""),
if('Time 5'!C3 = ""Gauvin"", query(IMPORTRANGE(cd_planilha, ""Armas!B3:G""), ""Select Col1 Where Col2 = '""&amp;Pers"&amp;"onagem!$L$6&amp;""' or Col2 = '""&amp;Personagem!$L$7&amp;""' ""),
if('Time 5'!C3 = ""Irene"", query(IMPORTRANGE(cd_planilha, ""Armas!B3:G""), ""Select Col1 Where Col2 = '""&amp;Personagem!$M$6&amp;""' or Col2 = '""&amp;Personagem!$M$7&amp;""' ""),
if('Time 5'!C3 = ""Karal"", query("&amp;"IMPORTRANGE(cd_planilha, ""Armas!B3:G""), ""Select Col1 Where Col2 = '""&amp;Personagem!$N$6&amp;""' or Col2 = '""&amp;Personagem!$N$7&amp;""' ""),
if('Time 5'!C3 = ""Kuro Shobi"", query(IMPORTRANGE(cd_planilha, ""Armas!B3:G""), ""Select Col1 Where Col2 = '""&amp;Personagem!"&amp;"$O$6&amp;""' or Col2 = '""&amp;Personagem!$O$7&amp;""'""),
if('Time 5'!C3 = ""Kurul"", query(IMPORTRANGE(cd_planilha, ""Armas!B3:G""), ""Select Col1 Where Col2 = '""&amp;Personagem!$P$6&amp;""' or Col2 = '""&amp;Personagem!$P$7&amp;""' ""),
if('Time 5'!C3 = ""Lancaster"", query(IMPO"&amp;"RTRANGE(cd_planilha, ""Armas!B3:G""), ""Select Col1 Where Col2 = '""&amp;Personagem!$Q$6&amp;""' or Col2 = '""&amp;Personagem!$Q$7&amp;""'""),
if('Time 5'!C3 = ""Lorelei"", query(IMPORTRANGE(cd_planilha, ""Armas!B3:G""), ""Select Col1 Where Col2 = '""&amp;Personagem!$R$6&amp;""'"&amp;" or Col2 = '""&amp;Personagem!$R$7&amp;""' ""),
if('Time 5'!C3 = ""Louca"", query(IMPORTRANGE(cd_planilha, ""Armas!B3:G""), ""Select Col1 Where Col2 = '""&amp;Personagem!$S$6&amp;""' or Col2 = '""&amp;Personagem!$S$7&amp;""' ""),
if('Time 5'!C3 = ""Melina"", query(IMPORTRANGE(cd"&amp;"_planilha, ""Armas!B3:G""), ""Select Col1 Where Col2 = '""&amp;Personagem!$T$6&amp;""' or Col2 = '""&amp;Personagem!$T$7&amp;""'""),
if('Time 5'!C3 = ""Mila"", query(IMPORTRANGE(cd_planilha, ""Armas!B3:G""), ""Select Col1 Where Col2 = '""&amp;Personagem!$U$6&amp;""' or Col2 = '"&amp;"""&amp;Personagem!$U$7&amp;""' ""),
if('Time 5'!C3 = ""Minh"", query(IMPORTRANGE(cd_planilha, ""Armas!B3:G""), ""Select Col1 Where Col2 = '""&amp;Personagem!$V$6&amp;""' or Col2 = '""&amp;Personagem!$V$7&amp;""' ""),
if('Time 5'!C3 = ""Mojian"", query(IMPORTRANGE(cd_planilha, """&amp;"Armas!B3:G""), ""Select Col1 Where Col2 = '""&amp;Personagem!$W$6&amp;""' or Col2 = '""&amp;Personagem!$W$7&amp;""'""),
if('Time 5'!C3 = ""Nya"", query(IMPORTRANGE(cd_planilha, ""Armas!B3:G""), ""Select Col1 Where Col2 = '""&amp;Personagem!$X$6&amp;""' or Col2 = '""&amp;Personagem!$"&amp;"X$7&amp;""' ""),
if('Time 5'!C3 = ""Odette"", query(IMPORTRANGE(cd_planilha, ""Armas!B3:G""), ""Select Col1 Where Col2 = '""&amp;Personagem!$Y$6&amp;""' or Col2 = '""&amp;Personagem!$Y$7&amp;""'""),
if('Time 5'!C3 = ""Oneira"", query(IMPORTRANGE(cd_planilha, ""Armas!B3:G""),"&amp;" ""Select Col1 Where Col2 = '""&amp;Personagem!$Z$6&amp;""' or Col2 = '""&amp;Personagem!$Z$7&amp;""' ""),
if('Time 5'!C3 = ""Palash"", query(IMPORTRANGE(cd_planilha, ""Armas!B3:G""), ""Select Col1 Where Col2 = '""&amp;Personagem!$AA$6&amp;""' or Col2 = '""&amp;Personagem!$AA$7&amp;""'"&amp;"""),
if('Time 5'!C3 = ""Theor"", query(IMPORTRANGE(cd_planilha, ""Armas!B3:G""), ""Select Col1 Where Col2 = '""&amp;Personagem!$AB$6&amp;""' or Col2 = '""&amp;Personagem!$AB$7&amp;""' ""),
if('Time 5'!C3 = ""Yue"", query(IMPORTRANGE(cd_planilha, ""Armas!B3:G""), ""Select"&amp;" Col1 Where Col2 = '""&amp;Personagem!$AC$6&amp;""' or Col2 = '""&amp;Personagem!$AC$7&amp;""'""
)))))))))))))))))))))))))))))"),"Guaxinim Guardião")</f>
        <v>Guaxinim Guardião</v>
      </c>
      <c r="N1" s="241"/>
      <c r="O1" s="241" t="str">
        <f>IFERROR(__xludf.DUMMYFUNCTION("if('Time 5'!C4 = ""Albert"", query(IMPORTRANGE(cd_planilha, ""Armas!B3:G""), ""Select Col1 Where Col2 = '""&amp;Personagem!$B$6&amp;""' or Col2 = '""&amp;Personagem!$B$7&amp;""'""),     
if('Time 5'!C4 = ""Alicia"", query(IMPORTRANGE(cd_planilha, ""Armas!B3:G""), ""Selec"&amp;"t Col1 Where Col2 = '""&amp;Personagem!$C$6&amp;""' or Col2 = '""&amp;Personagem!$C$7&amp;""'""),
if('Time 5'!C4 = ""Azula"", query(IMPORTRANGE(cd_planilha, ""Armas!B3:G""), ""Select Col1 Where Col2 = '""&amp;Personagem!$D$6&amp;""' or Col2 = '""&amp;Personagem!$D$7&amp;""' ""),
if('Tim"&amp;"e 5'!C4 = ""Charles"", query(IMPORTRANGE(cd_planilha, ""Armas!B3:G""), ""Select Col1 Where Col2 = '""&amp;Personagem!$E$6&amp;""' or Col2 = '""&amp;Personagem!$E$7&amp;""'""),
if('Time 5'!C4 = ""Clovis"", query(IMPORTRANGE(cd_planilha, ""Armas!B3:G""), ""Select Col1 Wher"&amp;"e Col2 = '""&amp;Personagem!$F$6&amp;""' or Col2 = '""&amp;Personagem!$F$7&amp;""' ""),
if('Time 5'!C4 = ""Darthos"", query(IMPORTRANGE(cd_planilha, ""Armas!B3:G""), ""Select Col1 Where Col2 = '""&amp;Personagem!$G$6&amp;""' or Col2 = '""&amp;Personagem!$G$7&amp;""'""),
if('Time 5'!C4 ="&amp;" ""Edward"", query(IMPORTRANGE(cd_planilha, ""Armas!B3:G""), ""Select Col1 Where Col2 = '""&amp;Personagem!$H$6&amp;""' or Col2 = '""&amp;Personagem!$H$7&amp;""' ""),
if('Time 5'!C4 = ""Fiora"", query(IMPORTRANGE(cd_planilha, ""Armas!B3:G""), ""Select Col1 Where Col2 = '"&amp;"""&amp;Personagem!$I$6&amp;""' or Col2 = '""&amp;Personagem!$I$7&amp;""' ""),
if('Time 5'!C4 = ""Francesca"", query(IMPORTRANGE(cd_planilha, ""Armas!B3:G""), ""Select Col1 Where Col2 = '""&amp;Personagem!$J$6&amp;""' or Col2 = '""&amp;Personagem!$J$7&amp;""'""),
if('Time 5'!C4 = ""Garre"&amp;"th"", query(IMPORTRANGE(cd_planilha, ""Armas!B3:G""), ""Select Col1 Where Col2 = '""&amp;Personagem!$K$6&amp;""' or Col2 = '""&amp;Personagem!$K$7&amp;""'""),
if('Time 5'!C4 = ""Gauvin"", query(IMPORTRANGE(cd_planilha, ""Armas!B3:G""), ""Select Col1 Where Col2 = '""&amp;Pers"&amp;"onagem!$L$6&amp;""' or Col2 = '""&amp;Personagem!$L$7&amp;""' ""),
if('Time 5'!C4 = ""Irene"", query(IMPORTRANGE(cd_planilha, ""Armas!B3:G""), ""Select Col1 Where Col2 = '""&amp;Personagem!$M$6&amp;""' or Col2 = '""&amp;Personagem!$M$7&amp;""' ""),
if('Time 5'!C4 = ""Karal"", query("&amp;"IMPORTRANGE(cd_planilha, ""Armas!B3:G""), ""Select Col1 Where Col2 = '""&amp;Personagem!$N$6&amp;""' or Col2 = '""&amp;Personagem!$N$7&amp;""' ""),
if('Time 5'!C4 = ""Kuro Shobi"", query(IMPORTRANGE(cd_planilha, ""Armas!B3:G""), ""Select Col1 Where Col2 = '""&amp;Personagem!"&amp;"$O$6&amp;""' or Col2 = '""&amp;Personagem!$O$7&amp;""'""),
if('Time 5'!C4 = ""Kurul"", query(IMPORTRANGE(cd_planilha, ""Armas!B3:G""), ""Select Col1 Where Col2 = '""&amp;Personagem!$P$6&amp;""' or Col2 = '""&amp;Personagem!$P$7&amp;""' ""),
if('Time 5'!C4 = ""Lancaster"", query(IMPO"&amp;"RTRANGE(cd_planilha, ""Armas!B3:G""), ""Select Col1 Where Col2 = '""&amp;Personagem!$Q$6&amp;""' or Col2 = '""&amp;Personagem!$Q$7&amp;""'""),
if('Time 5'!C4 = ""Lorelei"", query(IMPORTRANGE(cd_planilha, ""Armas!B3:G""), ""Select Col1 Where Col2 = '""&amp;Personagem!$R$6&amp;""'"&amp;" or Col2 = '""&amp;Personagem!$R$7&amp;""' ""),
if('Time 5'!C4 = ""Louca"", query(IMPORTRANGE(cd_planilha, ""Armas!B3:G""), ""Select Col1 Where Col2 = '""&amp;Personagem!$S$6&amp;""' or Col2 = '""&amp;Personagem!$S$7&amp;""' ""),
if('Time 5'!C4 = ""Melina"", query(IMPORTRANGE(cd"&amp;"_planilha, ""Armas!B3:G""), ""Select Col1 Where Col2 = '""&amp;Personagem!$T$6&amp;""' or Col2 = '""&amp;Personagem!$T$7&amp;""'""),
if('Time 5'!C4 = ""Mila"", query(IMPORTRANGE(cd_planilha, ""Armas!B3:G""), ""Select Col1 Where Col2 = '""&amp;Personagem!$U$6&amp;""' or Col2 = '"&amp;"""&amp;Personagem!$U$7&amp;""' ""),
if('Time 5'!C4 = ""Minh"", query(IMPORTRANGE(cd_planilha, ""Armas!B3:G""), ""Select Col1 Where Col2 = '""&amp;Personagem!$V$6&amp;""' or Col2 = '""&amp;Personagem!$V$7&amp;""' ""),
if('Time 5'!C4 = ""Mojian"", query(IMPORTRANGE(cd_planilha, """&amp;"Armas!B3:G""), ""Select Col1 Where Col2 = '""&amp;Personagem!$W$6&amp;""' or Col2 = '""&amp;Personagem!$W$7&amp;""'""),
if('Time 5'!C4 = ""Nya"", query(IMPORTRANGE(cd_planilha, ""Armas!B3:G""), ""Select Col1 Where Col2 = '""&amp;Personagem!$X$6&amp;""' or Col2 = '""&amp;Personagem!$"&amp;"X$7&amp;""' ""),
if('Time 5'!C4 = ""Odette"", query(IMPORTRANGE(cd_planilha, ""Armas!B3:G""), ""Select Col1 Where Col2 = '""&amp;Personagem!$Y$6&amp;""' or Col2 = '""&amp;Personagem!$Y$7&amp;""'""),
if('Time 5'!C4 = ""Oneira"", query(IMPORTRANGE(cd_planilha, ""Armas!B3:G""),"&amp;" ""Select Col1 Where Col2 = '""&amp;Personagem!$Z$6&amp;""' or Col2 = '""&amp;Personagem!$Z$7&amp;""' ""),
if('Time 5'!C4 = ""Palash"", query(IMPORTRANGE(cd_planilha, ""Armas!B3:G""), ""Select Col1 Where Col2 = '""&amp;Personagem!$AA$6&amp;""' or Col2 = '""&amp;Personagem!$AA$7&amp;""'"&amp;"""),
if('Time 5'!C4 = ""Theor"", query(IMPORTRANGE(cd_planilha, ""Armas!B3:G""), ""Select Col1 Where Col2 = '""&amp;Personagem!$AB$6&amp;""' or Col2 = '""&amp;Personagem!$AB$7&amp;""' ""),
if('Time 5'!C4 = ""Yue"", query(IMPORTRANGE(cd_planilha, ""Armas!B3:G""), ""Select"&amp;" Col1 Where Col2 = '""&amp;Personagem!$AC$6&amp;""' or Col2 = '""&amp;Personagem!$AC$7&amp;""'""
)))))))))))))))))))))))))))))"),"Capa do Gelo")</f>
        <v>Capa do Gelo</v>
      </c>
      <c r="P1" s="241"/>
      <c r="Q1" s="241" t="str">
        <f>IFERROR(__xludf.DUMMYFUNCTION("if('Time 5'!C5 = ""Albert"", query(IMPORTRANGE(cd_planilha, ""Armas!B3:G""), ""Select Col1 Where Col2 = '""&amp;Personagem!$B$6&amp;""' or Col2 = '""&amp;Personagem!$B$7&amp;""'""),     
if('Time 5'!C5 = ""Alicia"", query(IMPORTRANGE(cd_planilha, ""Armas!B3:G""), ""Selec"&amp;"t Col1 Where Col2 = '""&amp;Personagem!$C$6&amp;""' or Col2 = '""&amp;Personagem!$C$7&amp;""'""),
if('Time 5'!C5 = ""Azula"", query(IMPORTRANGE(cd_planilha, ""Armas!B3:G""), ""Select Col1 Where Col2 = '""&amp;Personagem!$D$6&amp;""' or Col2 = '""&amp;Personagem!$D$7&amp;""' ""),
if('Tim"&amp;"e 5'!C5 = ""Charles"", query(IMPORTRANGE(cd_planilha, ""Armas!B3:G""), ""Select Col1 Where Col2 = '""&amp;Personagem!$E$6&amp;""' or Col2 = '""&amp;Personagem!$E$7&amp;""'""),
if('Time 5'!C5 = ""Clovis"", query(IMPORTRANGE(cd_planilha, ""Armas!B3:G""), ""Select Col1 Wher"&amp;"e Col2 = '""&amp;Personagem!$F$6&amp;""' or Col2 = '""&amp;Personagem!$F$7&amp;""' ""),
if('Time 5'!C5 = ""Darthos"", query(IMPORTRANGE(cd_planilha, ""Armas!B3:G""), ""Select Col1 Where Col2 = '""&amp;Personagem!$G$6&amp;""' or Col2 = '""&amp;Personagem!$G$7&amp;""'""),
if('Time 5'!C5 ="&amp;" ""Edward"", query(IMPORTRANGE(cd_planilha, ""Armas!B3:G""), ""Select Col1 Where Col2 = '""&amp;Personagem!$H$6&amp;""' or Col2 = '""&amp;Personagem!$H$7&amp;""' ""),
if('Time 5'!C5 = ""Fiora"", query(IMPORTRANGE(cd_planilha, ""Armas!B3:G""), ""Select Col1 Where Col2 = '"&amp;"""&amp;Personagem!$I$6&amp;""' or Col2 = '""&amp;Personagem!$I$7&amp;""' ""),
if('Time 5'!C5 = ""Francesca"", query(IMPORTRANGE(cd_planilha, ""Armas!B3:G""), ""Select Col1 Where Col2 = '""&amp;Personagem!$J$6&amp;""' or Col2 = '""&amp;Personagem!$J$7&amp;""'""),
if('Time 5'!C5 = ""Garre"&amp;"th"", query(IMPORTRANGE(cd_planilha, ""Armas!B3:G""), ""Select Col1 Where Col2 = '""&amp;Personagem!$K$6&amp;""' or Col2 = '""&amp;Personagem!$K$7&amp;""'""),
if('Time 5'!C5 = ""Gauvin"", query(IMPORTRANGE(cd_planilha, ""Armas!B3:G""), ""Select Col1 Where Col2 = '""&amp;Pers"&amp;"onagem!$L$6&amp;""' or Col2 = '""&amp;Personagem!$L$7&amp;""' ""),
if('Time 5'!C5 = ""Irene"", query(IMPORTRANGE(cd_planilha, ""Armas!B3:G""), ""Select Col1 Where Col2 = '""&amp;Personagem!$M$6&amp;""' or Col2 = '""&amp;Personagem!$M$7&amp;""' ""),
if('Time 5'!C5 = ""Karal"", query("&amp;"IMPORTRANGE(cd_planilha, ""Armas!B3:G""), ""Select Col1 Where Col2 = '""&amp;Personagem!$N$6&amp;""' or Col2 = '""&amp;Personagem!$N$7&amp;""' ""),
if('Time 5'!C5 = ""Kuro Shobi"", query(IMPORTRANGE(cd_planilha, ""Armas!B3:G""), ""Select Col1 Where Col2 = '""&amp;Personagem!"&amp;"$O$6&amp;""' or Col2 = '""&amp;Personagem!$O$7&amp;""'""),
if('Time 5'!C5 = ""Kurul"", query(IMPORTRANGE(cd_planilha, ""Armas!B3:G""), ""Select Col1 Where Col2 = '""&amp;Personagem!$P$6&amp;""' or Col2 = '""&amp;Personagem!$P$7&amp;""' ""),
if('Time 5'!C5 = ""Lancaster"", query(IMPO"&amp;"RTRANGE(cd_planilha, ""Armas!B3:G""), ""Select Col1 Where Col2 = '""&amp;Personagem!$Q$6&amp;""' or Col2 = '""&amp;Personagem!$Q$7&amp;""'""),
if('Time 5'!C5 = ""Lorelei"", query(IMPORTRANGE(cd_planilha, ""Armas!B3:G""), ""Select Col1 Where Col2 = '""&amp;Personagem!$R$6&amp;""'"&amp;" or Col2 = '""&amp;Personagem!$R$7&amp;""' ""),
if('Time 5'!C5 = ""Louca"", query(IMPORTRANGE(cd_planilha, ""Armas!B3:G""), ""Select Col1 Where Col2 = '""&amp;Personagem!$S$6&amp;""' or Col2 = '""&amp;Personagem!$S$7&amp;""' ""),
if('Time 5'!C5 = ""Melina"", query(IMPORTRANGE(cd"&amp;"_planilha, ""Armas!B3:G""), ""Select Col1 Where Col2 = '""&amp;Personagem!$T$6&amp;""' or Col2 = '""&amp;Personagem!$T$7&amp;""'""),
if('Time 5'!C5 = ""Mila"", query(IMPORTRANGE(cd_planilha, ""Armas!B3:G""), ""Select Col1 Where Col2 = '""&amp;Personagem!$U$6&amp;""' or Col2 = '"&amp;"""&amp;Personagem!$U$7&amp;""' ""),
if('Time 5'!C5 = ""Minh"", query(IMPORTRANGE(cd_planilha, ""Armas!B3:G""), ""Select Col1 Where Col2 = '""&amp;Personagem!$V$6&amp;""' or Col2 = '""&amp;Personagem!$V$7&amp;""' ""),
if('Time 5'!C5 = ""Mojian"", query(IMPORTRANGE(cd_planilha, """&amp;"Armas!B3:G""), ""Select Col1 Where Col2 = '""&amp;Personagem!$W$6&amp;""' or Col2 = '""&amp;Personagem!$W$7&amp;""'""),
if('Time 5'!C5 = ""Nya"", query(IMPORTRANGE(cd_planilha, ""Armas!B3:G""), ""Select Col1 Where Col2 = '""&amp;Personagem!$X$6&amp;""' or Col2 = '""&amp;Personagem!$"&amp;"X$7&amp;""' ""),
if('Time 5'!C5 = ""Odette"", query(IMPORTRANGE(cd_planilha, ""Armas!B3:G""), ""Select Col1 Where Col2 = '""&amp;Personagem!$Y$6&amp;""' or Col2 = '""&amp;Personagem!$Y$7&amp;""'""),
if('Time 5'!C5 = ""Oneira"", query(IMPORTRANGE(cd_planilha, ""Armas!B3:G""),"&amp;" ""Select Col1 Where Col2 = '""&amp;Personagem!$Z$6&amp;""' or Col2 = '""&amp;Personagem!$Z$7&amp;""' ""),
if('Time 5'!C5 = ""Palash"", query(IMPORTRANGE(cd_planilha, ""Armas!B3:G""), ""Select Col1 Where Col2 = '""&amp;Personagem!$AA$6&amp;""' or Col2 = '""&amp;Personagem!$AA$7&amp;""'"&amp;"""),
if('Time 5'!C5 = ""Theor"", query(IMPORTRANGE(cd_planilha, ""Armas!B3:G""), ""Select Col1 Where Col2 = '""&amp;Personagem!$AB$6&amp;""' or Col2 = '""&amp;Personagem!$AB$7&amp;""' ""),
if('Time 5'!C5 = ""Yue"", query(IMPORTRANGE(cd_planilha, ""Armas!B3:G""), ""Select"&amp;" Col1 Where Col2 = '""&amp;Personagem!$AC$6&amp;""' or Col2 = '""&amp;Personagem!$AC$7&amp;""'""
)))))))))))))))))))))))))))))"),"Armadura Lunar")</f>
        <v>Armadura Lunar</v>
      </c>
      <c r="R1" s="241"/>
      <c r="S1" s="241" t="str">
        <f>IFERROR(__xludf.DUMMYFUNCTION("if('Time 5'!C6 = ""Albert"", query(IMPORTRANGE(cd_planilha, ""Armas!B3:G""), ""Select Col1 Where Col2 = '""&amp;Personagem!$B$6&amp;""' or Col2 = '""&amp;Personagem!$B$7&amp;""'""),     
if('Time 5'!C6 = ""Alicia"", query(IMPORTRANGE(cd_planilha, ""Armas!B3:G""), ""Selec"&amp;"t Col1 Where Col2 = '""&amp;Personagem!$C$6&amp;""' or Col2 = '""&amp;Personagem!$C$7&amp;""'""),
if('Time 5'!C6 = ""Azula"", query(IMPORTRANGE(cd_planilha, ""Armas!B3:G""), ""Select Col1 Where Col2 = '""&amp;Personagem!$D$6&amp;""' or Col2 = '""&amp;Personagem!$D$7&amp;""' ""),
if('Tim"&amp;"e 5'!C6 = ""Charles"", query(IMPORTRANGE(cd_planilha, ""Armas!B3:G""), ""Select Col1 Where Col2 = '""&amp;Personagem!$E$6&amp;""' or Col2 = '""&amp;Personagem!$E$7&amp;""'""),
if('Time 5'!C6 = ""Clovis"", query(IMPORTRANGE(cd_planilha, ""Armas!B3:G""), ""Select Col1 Wher"&amp;"e Col2 = '""&amp;Personagem!$F$6&amp;""' or Col2 = '""&amp;Personagem!$F$7&amp;""' ""),
if('Time 5'!C6 = ""Darthos"", query(IMPORTRANGE(cd_planilha, ""Armas!B3:G""), ""Select Col1 Where Col2 = '""&amp;Personagem!$G$6&amp;""' or Col2 = '""&amp;Personagem!$G$7&amp;""'""),
if('Time 5'!C6 ="&amp;" ""Edward"", query(IMPORTRANGE(cd_planilha, ""Armas!B3:G""), ""Select Col1 Where Col2 = '""&amp;Personagem!$H$6&amp;""' or Col2 = '""&amp;Personagem!$H$7&amp;""' ""),
if('Time 5'!C6 = ""Fiora"", query(IMPORTRANGE(cd_planilha, ""Armas!B3:G""), ""Select Col1 Where Col2 = '"&amp;"""&amp;Personagem!$I$6&amp;""' or Col2 = '""&amp;Personagem!$I$7&amp;""' ""),
if('Time 5'!C6 = ""Francesca"", query(IMPORTRANGE(cd_planilha, ""Armas!B3:G""), ""Select Col1 Where Col2 = '""&amp;Personagem!$J$6&amp;""' or Col2 = '""&amp;Personagem!$J$7&amp;""'""),
if('Time 5'!C6 = ""Garre"&amp;"th"", query(IMPORTRANGE(cd_planilha, ""Armas!B3:G""), ""Select Col1 Where Col2 = '""&amp;Personagem!$K$6&amp;""' or Col2 = '""&amp;Personagem!$K$7&amp;""'""),
if('Time 5'!C6 = ""Gauvin"", query(IMPORTRANGE(cd_planilha, ""Armas!B3:G""), ""Select Col1 Where Col2 = '""&amp;Pers"&amp;"onagem!$L$6&amp;""' or Col2 = '""&amp;Personagem!$L$7&amp;""' ""),
if('Time 5'!C6 = ""Irene"", query(IMPORTRANGE(cd_planilha, ""Armas!B3:G""), ""Select Col1 Where Col2 = '""&amp;Personagem!$M$6&amp;""' or Col2 = '""&amp;Personagem!$M$7&amp;""' ""),
if('Time 5'!C6 = ""Karal"", query("&amp;"IMPORTRANGE(cd_planilha, ""Armas!B3:G""), ""Select Col1 Where Col2 = '""&amp;Personagem!$N$6&amp;""' or Col2 = '""&amp;Personagem!$N$7&amp;""' ""),
if('Time 5'!C6 = ""Kuro Shobi"", query(IMPORTRANGE(cd_planilha, ""Armas!B3:G""), ""Select Col1 Where Col2 = '""&amp;Personagem!"&amp;"$O$6&amp;""' or Col2 = '""&amp;Personagem!$O$7&amp;""'""),
if('Time 5'!C6 = ""Kurul"", query(IMPORTRANGE(cd_planilha, ""Armas!B3:G""), ""Select Col1 Where Col2 = '""&amp;Personagem!$P$6&amp;""' or Col2 = '""&amp;Personagem!$P$7&amp;""' ""),
if('Time 5'!C6 = ""Lancaster"", query(IMPO"&amp;"RTRANGE(cd_planilha, ""Armas!B3:G""), ""Select Col1 Where Col2 = '""&amp;Personagem!$Q$6&amp;""' or Col2 = '""&amp;Personagem!$Q$7&amp;""'""),
if('Time 5'!C6 = ""Lorelei"", query(IMPORTRANGE(cd_planilha, ""Armas!B3:G""), ""Select Col1 Where Col2 = '""&amp;Personagem!$R$6&amp;""'"&amp;" or Col2 = '""&amp;Personagem!$R$7&amp;""' ""),
if('Time 5'!C6 = ""Louca"", query(IMPORTRANGE(cd_planilha, ""Armas!B3:G""), ""Select Col1 Where Col2 = '""&amp;Personagem!$S$6&amp;""' or Col2 = '""&amp;Personagem!$S$7&amp;""' ""),
if('Time 5'!C6 = ""Melina"", query(IMPORTRANGE(cd"&amp;"_planilha, ""Armas!B3:G""), ""Select Col1 Where Col2 = '""&amp;Personagem!$T$6&amp;""' or Col2 = '""&amp;Personagem!$T$7&amp;""'""),
if('Time 5'!C6 = ""Mila"", query(IMPORTRANGE(cd_planilha, ""Armas!B3:G""), ""Select Col1 Where Col2 = '""&amp;Personagem!$U$6&amp;""' or Col2 = '"&amp;"""&amp;Personagem!$U$7&amp;""' ""),
if('Time 5'!C6 = ""Minh"", query(IMPORTRANGE(cd_planilha, ""Armas!B3:G""), ""Select Col1 Where Col2 = '""&amp;Personagem!$V$6&amp;""' or Col2 = '""&amp;Personagem!$V$7&amp;""' ""),
if('Time 5'!C6 = ""Mojian"", query(IMPORTRANGE(cd_planilha, """&amp;"Armas!B3:G""), ""Select Col1 Where Col2 = '""&amp;Personagem!$W$6&amp;""' or Col2 = '""&amp;Personagem!$W$7&amp;""'""),
if('Time 5'!C6 = ""Nya"", query(IMPORTRANGE(cd_planilha, ""Armas!B3:G""), ""Select Col1 Where Col2 = '""&amp;Personagem!$X$6&amp;""' or Col2 = '""&amp;Personagem!$"&amp;"X$7&amp;""' ""),
if('Time 5'!C6 = ""Odette"", query(IMPORTRANGE(cd_planilha, ""Armas!B3:G""), ""Select Col1 Where Col2 = '""&amp;Personagem!$Y$6&amp;""' or Col2 = '""&amp;Personagem!$Y$7&amp;""'""),
if('Time 5'!C6 = ""Oneira"", query(IMPORTRANGE(cd_planilha, ""Armas!B3:G""),"&amp;" ""Select Col1 Where Col2 = '""&amp;Personagem!$Z$6&amp;""' or Col2 = '""&amp;Personagem!$Z$7&amp;""' ""),
if('Time 5'!C6 = ""Palash"", query(IMPORTRANGE(cd_planilha, ""Armas!B3:G""), ""Select Col1 Where Col2 = '""&amp;Personagem!$AA$6&amp;""' or Col2 = '""&amp;Personagem!$AA$7&amp;""'"&amp;"""),
if('Time 5'!C6 = ""Theor"", query(IMPORTRANGE(cd_planilha, ""Armas!B3:G""), ""Select Col1 Where Col2 = '""&amp;Personagem!$AB$6&amp;""' or Col2 = '""&amp;Personagem!$AB$7&amp;""' ""),
if('Time 5'!C6 = ""Yue"", query(IMPORTRANGE(cd_planilha, ""Armas!B3:G""), ""Select"&amp;" Col1 Where Col2 = '""&amp;Personagem!$AC$6&amp;""' or Col2 = '""&amp;Personagem!$AC$7&amp;""'""
)))))))))))))))))))))))))))))"),"Armadura Lunar")</f>
        <v>Armadura Lunar</v>
      </c>
      <c r="T1" s="241"/>
      <c r="U1" s="241" t="str">
        <f>IFERROR(__xludf.DUMMYFUNCTION("if('Time 5'!C7 = ""Albert"", query(IMPORTRANGE(cd_planilha, ""Armas!B3:G""), ""Select Col1 Where Col2 = '""&amp;Personagem!$B$6&amp;""' or Col2 = '""&amp;Personagem!$B$7&amp;""'""),     
if('Time 5'!C7 = ""Alicia"", query(IMPORTRANGE(cd_planilha, ""Armas!B3:G""), ""Selec"&amp;"t Col1 Where Col2 = '""&amp;Personagem!$C$6&amp;""' or Col2 = '""&amp;Personagem!$C$7&amp;""'""),
if('Time 5'!C7 = ""Azula"", query(IMPORTRANGE(cd_planilha, ""Armas!B3:G""), ""Select Col1 Where Col2 = '""&amp;Personagem!$D$6&amp;""' or Col2 = '""&amp;Personagem!$D$7&amp;""' ""),
if('Tim"&amp;"e 5'!C7 = ""Charles"", query(IMPORTRANGE(cd_planilha, ""Armas!B3:G""), ""Select Col1 Where Col2 = '""&amp;Personagem!$E$6&amp;""' or Col2 = '""&amp;Personagem!$E$7&amp;""'""),
if('Time 5'!C7 = ""Clovis"", query(IMPORTRANGE(cd_planilha, ""Armas!B3:G""), ""Select Col1 Wher"&amp;"e Col2 = '""&amp;Personagem!$F$6&amp;""' or Col2 = '""&amp;Personagem!$F$7&amp;""' ""),
if('Time 5'!C7 = ""Darthos"", query(IMPORTRANGE(cd_planilha, ""Armas!B3:G""), ""Select Col1 Where Col2 = '""&amp;Personagem!$G$6&amp;""' or Col2 = '""&amp;Personagem!$G$7&amp;""'""),
if('Time 5'!C7 ="&amp;" ""Edward"", query(IMPORTRANGE(cd_planilha, ""Armas!B3:G""), ""Select Col1 Where Col2 = '""&amp;Personagem!$H$6&amp;""' or Col2 = '""&amp;Personagem!$H$7&amp;""' ""),
if('Time 5'!C7 = ""Fiora"", query(IMPORTRANGE(cd_planilha, ""Armas!B3:G""), ""Select Col1 Where Col2 = '"&amp;"""&amp;Personagem!$I$6&amp;""' or Col2 = '""&amp;Personagem!$I$7&amp;""' ""),
if('Time 5'!C7 = ""Francesca"", query(IMPORTRANGE(cd_planilha, ""Armas!B3:G""), ""Select Col1 Where Col2 = '""&amp;Personagem!$J$6&amp;""' or Col2 = '""&amp;Personagem!$J$7&amp;""'""),
if('Time 5'!C7 = ""Garre"&amp;"th"", query(IMPORTRANGE(cd_planilha, ""Armas!B3:G""), ""Select Col1 Where Col2 = '""&amp;Personagem!$K$6&amp;""' or Col2 = '""&amp;Personagem!$K$7&amp;""'""),
if('Time 5'!C7 = ""Gauvin"", query(IMPORTRANGE(cd_planilha, ""Armas!B3:G""), ""Select Col1 Where Col2 = '""&amp;Pers"&amp;"onagem!$L$6&amp;""' or Col2 = '""&amp;Personagem!$L$7&amp;""' ""),
if('Time 5'!C7 = ""Irene"", query(IMPORTRANGE(cd_planilha, ""Armas!B3:G""), ""Select Col1 Where Col2 = '""&amp;Personagem!$M$6&amp;""' or Col2 = '""&amp;Personagem!$M$7&amp;""' ""),
if('Time 5'!C7 = ""Karal"", query("&amp;"IMPORTRANGE(cd_planilha, ""Armas!B3:G""), ""Select Col1 Where Col2 = '""&amp;Personagem!$N$6&amp;""' or Col2 = '""&amp;Personagem!$N$7&amp;""' ""),
if('Time 5'!C7 = ""Kuro Shobi"", query(IMPORTRANGE(cd_planilha, ""Armas!B3:G""), ""Select Col1 Where Col2 = '""&amp;Personagem!"&amp;"$O$6&amp;""' or Col2 = '""&amp;Personagem!$O$7&amp;""'""),
if('Time 5'!C7 = ""Kurul"", query(IMPORTRANGE(cd_planilha, ""Armas!B3:G""), ""Select Col1 Where Col2 = '""&amp;Personagem!$P$6&amp;""' or Col2 = '""&amp;Personagem!$P$7&amp;""' ""),
if('Time 5'!C7 = ""Lancaster"", query(IMPO"&amp;"RTRANGE(cd_planilha, ""Armas!B3:G""), ""Select Col1 Where Col2 = '""&amp;Personagem!$Q$6&amp;""' or Col2 = '""&amp;Personagem!$Q$7&amp;""'""),
if('Time 5'!C7 = ""Lorelei"", query(IMPORTRANGE(cd_planilha, ""Armas!B3:G""), ""Select Col1 Where Col2 = '""&amp;Personagem!$R$6&amp;""'"&amp;" or Col2 = '""&amp;Personagem!$R$7&amp;""' ""),
if('Time 5'!C7 = ""Louca"", query(IMPORTRANGE(cd_planilha, ""Armas!B3:G""), ""Select Col1 Where Col2 = '""&amp;Personagem!$S$6&amp;""' or Col2 = '""&amp;Personagem!$S$7&amp;""' ""),
if('Time 5'!C7 = ""Melina"", query(IMPORTRANGE(cd"&amp;"_planilha, ""Armas!B3:G""), ""Select Col1 Where Col2 = '""&amp;Personagem!$T$6&amp;""' or Col2 = '""&amp;Personagem!$T$7&amp;""'""),
if('Time 5'!C7 = ""Mila"", query(IMPORTRANGE(cd_planilha, ""Armas!B3:G""), ""Select Col1 Where Col2 = '""&amp;Personagem!$U$6&amp;""' or Col2 = '"&amp;"""&amp;Personagem!$U$7&amp;""' ""),
if('Time 5'!C7 = ""Minh"", query(IMPORTRANGE(cd_planilha, ""Armas!B3:G""), ""Select Col1 Where Col2 = '""&amp;Personagem!$V$6&amp;""' or Col2 = '""&amp;Personagem!$V$7&amp;""' ""),
if('Time 5'!C7 = ""Mojian"", query(IMPORTRANGE(cd_planilha, """&amp;"Armas!B3:G""), ""Select Col1 Where Col2 = '""&amp;Personagem!$W$6&amp;""' or Col2 = '""&amp;Personagem!$W$7&amp;""'""),
if('Time 5'!C7 = ""Nya"", query(IMPORTRANGE(cd_planilha, ""Armas!B3:G""), ""Select Col1 Where Col2 = '""&amp;Personagem!$X$6&amp;""' or Col2 = '""&amp;Personagem!$"&amp;"X$7&amp;""' ""),
if('Time 5'!C7 = ""Odette"", query(IMPORTRANGE(cd_planilha, ""Armas!B3:G""), ""Select Col1 Where Col2 = '""&amp;Personagem!$Y$6&amp;""' or Col2 = '""&amp;Personagem!$Y$7&amp;""'""),
if('Time 5'!C7 = ""Oneira"", query(IMPORTRANGE(cd_planilha, ""Armas!B3:G""),"&amp;" ""Select Col1 Where Col2 = '""&amp;Personagem!$Z$6&amp;""' or Col2 = '""&amp;Personagem!$Z$7&amp;""' ""),
if('Time 5'!C7 = ""Palash"", query(IMPORTRANGE(cd_planilha, ""Armas!B3:G""), ""Select Col1 Where Col2 = '""&amp;Personagem!$AA$6&amp;""' or Col2 = '""&amp;Personagem!$AA$7&amp;""'"&amp;"""),
if('Time 5'!C7 = ""Theor"", query(IMPORTRANGE(cd_planilha, ""Armas!B3:G""), ""Select Col1 Where Col2 = '""&amp;Personagem!$AB$6&amp;""' or Col2 = '""&amp;Personagem!$AB$7&amp;""' ""),
if('Time 5'!C7 = ""Yue"", query(IMPORTRANGE(cd_planilha, ""Armas!B3:G""), ""Select"&amp;" Col1 Where Col2 = '""&amp;Personagem!$AC$6&amp;""' or Col2 = '""&amp;Personagem!$AC$7&amp;""'""
)))))))))))))))))))))))))))))"),"Capa do Gelo")</f>
        <v>Capa do Gelo</v>
      </c>
      <c r="V1" s="241"/>
      <c r="W1" s="241" t="b">
        <f>IFERROR(__xludf.DUMMYFUNCTION("if('Time 5'!C8 = ""Albert"", query(IMPORTRANGE(cd_planilha, ""Armas!B3:G""), ""Select Col1 Where Col2 = '""&amp;Personagem!$B$6&amp;""' or Col2 = '""&amp;Personagem!$B$7&amp;""'""),     
if('Time 5'!C8 = ""Alicia"", query(IMPORTRANGE(cd_planilha, ""Armas!B3:G""), ""Selec"&amp;"t Col1 Where Col2 = '""&amp;Personagem!$C$6&amp;""' or Col2 = '""&amp;Personagem!$C$7&amp;""'""),
if('Time 5'!C8 = ""Azula"", query(IMPORTRANGE(cd_planilha, ""Armas!B3:G""), ""Select Col1 Where Col2 = '""&amp;Personagem!$D$6&amp;""' or Col2 = '""&amp;Personagem!$D$7&amp;""' ""),
if('Tim"&amp;"e 5'!C8 = ""Charles"", query(IMPORTRANGE(cd_planilha, ""Armas!B3:G""), ""Select Col1 Where Col2 = '""&amp;Personagem!$E$6&amp;""' or Col2 = '""&amp;Personagem!$E$7&amp;""'""),
if('Time 5'!C8 = ""Clovis"", query(IMPORTRANGE(cd_planilha, ""Armas!B3:G""), ""Select Col1 Wher"&amp;"e Col2 = '""&amp;Personagem!$F$6&amp;""' or Col2 = '""&amp;Personagem!$F$7&amp;""' ""),
if('Time 5'!C8 = ""Darthos"", query(IMPORTRANGE(cd_planilha, ""Armas!B3:G""), ""Select Col1 Where Col2 = '""&amp;Personagem!$G$6&amp;""' or Col2 = '""&amp;Personagem!$G$7&amp;""'""),
if('Time 5'!C8 ="&amp;" ""Edward"", query(IMPORTRANGE(cd_planilha, ""Armas!B3:G""), ""Select Col1 Where Col2 = '""&amp;Personagem!$H$6&amp;""' or Col2 = '""&amp;Personagem!$H$7&amp;""' ""),
if('Time 5'!C8 = ""Fiora"", query(IMPORTRANGE(cd_planilha, ""Armas!B3:G""), ""Select Col1 Where Col2 = '"&amp;"""&amp;Personagem!$I$6&amp;""' or Col2 = '""&amp;Personagem!$I$7&amp;""' ""),
if('Time 5'!C8 = ""Francesca"", query(IMPORTRANGE(cd_planilha, ""Armas!B3:G""), ""Select Col1 Where Col2 = '""&amp;Personagem!$J$6&amp;""' or Col2 = '""&amp;Personagem!$J$7&amp;""'""),
if('Time 5'!C8 = ""Garre"&amp;"th"", query(IMPORTRANGE(cd_planilha, ""Armas!B3:G""), ""Select Col1 Where Col2 = '""&amp;Personagem!$K$6&amp;""' or Col2 = '""&amp;Personagem!$K$7&amp;""'""),
if('Time 5'!C8 = ""Gauvin"", query(IMPORTRANGE(cd_planilha, ""Armas!B3:G""), ""Select Col1 Where Col2 = '""&amp;Pers"&amp;"onagem!$L$6&amp;""' or Col2 = '""&amp;Personagem!$L$7&amp;""' ""),
if('Time 5'!C8 = ""Irene"", query(IMPORTRANGE(cd_planilha, ""Armas!B3:G""), ""Select Col1 Where Col2 = '""&amp;Personagem!$M$6&amp;""' or Col2 = '""&amp;Personagem!$M$7&amp;""' ""),
if('Time 5'!C8 = ""Karal"", query("&amp;"IMPORTRANGE(cd_planilha, ""Armas!B3:G""), ""Select Col1 Where Col2 = '""&amp;Personagem!$N$6&amp;""' or Col2 = '""&amp;Personagem!$N$7&amp;""' ""),
if('Time 5'!C8 = ""Kuro Shobi"", query(IMPORTRANGE(cd_planilha, ""Armas!B3:G""), ""Select Col1 Where Col2 = '""&amp;Personagem!"&amp;"$O$6&amp;""' or Col2 = '""&amp;Personagem!$O$7&amp;""'""),
if('Time 5'!C8 = ""Kurul"", query(IMPORTRANGE(cd_planilha, ""Armas!B3:G""), ""Select Col1 Where Col2 = '""&amp;Personagem!$P$6&amp;""' or Col2 = '""&amp;Personagem!$P$7&amp;""' ""),
if('Time 5'!C8 = ""Lancaster"", query(IMPO"&amp;"RTRANGE(cd_planilha, ""Armas!B3:G""), ""Select Col1 Where Col2 = '""&amp;Personagem!$Q$6&amp;""' or Col2 = '""&amp;Personagem!$Q$7&amp;""'""),
if('Time 5'!C8 = ""Lorelei"", query(IMPORTRANGE(cd_planilha, ""Armas!B3:G""), ""Select Col1 Where Col2 = '""&amp;Personagem!$R$6&amp;""'"&amp;" or Col2 = '""&amp;Personagem!$R$7&amp;""' ""),
if('Time 5'!C8 = ""Louca"", query(IMPORTRANGE(cd_planilha, ""Armas!B3:G""), ""Select Col1 Where Col2 = '""&amp;Personagem!$S$6&amp;""' or Col2 = '""&amp;Personagem!$S$7&amp;""' ""),
if('Time 5'!C8 = ""Melina"", query(IMPORTRANGE(cd"&amp;"_planilha, ""Armas!B3:G""), ""Select Col1 Where Col2 = '""&amp;Personagem!$T$6&amp;""' or Col2 = '""&amp;Personagem!$T$7&amp;""'""),
if('Time 5'!C8 = ""Mila"", query(IMPORTRANGE(cd_planilha, ""Armas!B3:G""), ""Select Col1 Where Col2 = '""&amp;Personagem!$U$6&amp;""' or Col2 = '"&amp;"""&amp;Personagem!$U$7&amp;""' ""),
if('Time 5'!C8 = ""Minh"", query(IMPORTRANGE(cd_planilha, ""Armas!B3:G""), ""Select Col1 Where Col2 = '""&amp;Personagem!$V$6&amp;""' or Col2 = '""&amp;Personagem!$V$7&amp;""' ""),
if('Time 5'!C8 = ""Mojian"", query(IMPORTRANGE(cd_planilha, """&amp;"Armas!B3:G""), ""Select Col1 Where Col2 = '""&amp;Personagem!$W$6&amp;""' or Col2 = '""&amp;Personagem!$W$7&amp;""'""),
if('Time 5'!C8 = ""Nya"", query(IMPORTRANGE(cd_planilha, ""Armas!B3:G""), ""Select Col1 Where Col2 = '""&amp;Personagem!$X$6&amp;""' or Col2 = '""&amp;Personagem!$"&amp;"X$7&amp;""' ""),
if('Time 5'!C8 = ""Odette"", query(IMPORTRANGE(cd_planilha, ""Armas!B3:G""), ""Select Col1 Where Col2 = '""&amp;Personagem!$Y$6&amp;""' or Col2 = '""&amp;Personagem!$Y$7&amp;""'""),
if('Time 5'!C8 = ""Oneira"", query(IMPORTRANGE(cd_planilha, ""Armas!B3:G""),"&amp;" ""Select Col1 Where Col2 = '""&amp;Personagem!$Z$6&amp;""' or Col2 = '""&amp;Personagem!$Z$7&amp;""' ""),
if('Time 5'!C8 = ""Palash"", query(IMPORTRANGE(cd_planilha, ""Armas!B3:G""), ""Select Col1 Where Col2 = '""&amp;Personagem!$AA$6&amp;""' or Col2 = '""&amp;Personagem!$AA$7&amp;""'"&amp;"""),
if('Time 5'!C8 = ""Theor"", query(IMPORTRANGE(cd_planilha, ""Armas!B3:G""), ""Select Col1 Where Col2 = '""&amp;Personagem!$AB$6&amp;""' or Col2 = '""&amp;Personagem!$AB$7&amp;""' ""),
if('Time 5'!C8 = ""Yue"", query(IMPORTRANGE(cd_planilha, ""Armas!B3:G""), ""Select"&amp;" Col1 Where Col2 = '""&amp;Personagem!$AC$6&amp;""' or Col2 = '""&amp;Personagem!$AC$7&amp;""'""
)))))))))))))))))))))))))))))"),FALSE)</f>
        <v>0</v>
      </c>
      <c r="X1" s="242"/>
      <c r="Y1" s="241" t="str">
        <f>IFERROR(__xludf.DUMMYFUNCTION("if('Time 5'!C3 = ""Albert"", query(IMPORTRANGE(cd_planilha, ""Armas!B3:G""), ""Select Col1 Where Col2 = '""&amp;Personagem!$B$8&amp;""' or Col2 = '""&amp;Personagem!$B$9&amp;""'""),     
if('Time 5'!C3 = ""Alicia"", query(IMPORTRANGE(cd_planilha, ""Armas!B3:G""), ""Selec"&amp;"t Col1 Where Col2 = '""&amp;Personagem!$C$8&amp;""' or Col2 = '""&amp;Personagem!$C$9&amp;""'""),
if('Time 5'!C3 = ""Azula"", query(IMPORTRANGE(cd_planilha, ""Armas!B3:G""), ""Select Col1 Where Col2 = '""&amp;Personagem!$D$8&amp;""' or Col2 = '""&amp;Personagem!$D$9&amp;""' ""),
if('Tim"&amp;"e 5'!C3 = ""Charles"", query(IMPORTRANGE(cd_planilha, ""Armas!B3:G""), ""Select Col1 Where Col2 = '""&amp;Personagem!$E$8&amp;""' or Col2 = '""&amp;Personagem!$E$9&amp;""'""),
if('Time 5'!C3 = ""Clovis"", query(IMPORTRANGE(cd_planilha, ""Armas!B3:G""), ""Select Col1 Wher"&amp;"e Col2 = '""&amp;Personagem!$F$8&amp;""' or Col2 = '""&amp;Personagem!$F$9&amp;""' ""),
if('Time 5'!C3 = ""Darthos"", query(IMPORTRANGE(cd_planilha, ""Armas!B3:G""), ""Select Col1 Where Col2 = '""&amp;Personagem!$G$8&amp;""' or Col2 = '""&amp;Personagem!$G$9&amp;""'""),
if('Time 5'!C3 ="&amp;" ""Edward"", query(IMPORTRANGE(cd_planilha, ""Armas!B3:G""), ""Select Col1 Where Col2 = '""&amp;Personagem!$H$8&amp;""' or Col2 = '""&amp;Personagem!$H$9&amp;""' ""),
if('Time 5'!C3 = ""Fiora"", query(IMPORTRANGE(cd_planilha, ""Armas!B3:G""), ""Select Col1 Where Col2 = '"&amp;"""&amp;Personagem!$I$8&amp;""' or Col2 = '""&amp;Personagem!$I$9&amp;""' ""),
if('Time 5'!C3 = ""Francesca"", query(IMPORTRANGE(cd_planilha, ""Armas!B3:G""), ""Select Col1 Where Col2 = '""&amp;Personagem!$J$8&amp;""' or Col2 = '""&amp;Personagem!$J$9&amp;""'""),
if('Time 5'!C3 = ""Garre"&amp;"th"", query(IMPORTRANGE(cd_planilha, ""Armas!B3:G""), ""Select Col1 Where Col2 = '""&amp;Personagem!$K$8&amp;""' or Col2 = '""&amp;Personagem!$K$9&amp;""'""),
if('Time 5'!C3 = ""Gauvin"", query(IMPORTRANGE(cd_planilha, ""Armas!B3:G""), ""Select Col1 Where Col2 = '""&amp;Pers"&amp;"onagem!$L$8&amp;""' or Col2 = '""&amp;Personagem!$L$9&amp;""' ""),
if('Time 5'!C3 = ""Irene"", query(IMPORTRANGE(cd_planilha, ""Armas!B3:G""), ""Select Col1 Where Col2 = '""&amp;Personagem!$M$8&amp;""' or Col2 = '""&amp;Personagem!$M$9&amp;""' ""),
if('Time 5'!C3 = ""Karal"", query("&amp;"IMPORTRANGE(cd_planilha, ""Armas!B3:G""), ""Select Col1 Where Col2 = '""&amp;Personagem!$N$8&amp;""' or Col2 = '""&amp;Personagem!$N$9&amp;""' ""),
if('Time 5'!C3 = ""Kuro Shobi"", query(IMPORTRANGE(cd_planilha, ""Armas!B3:G""), ""Select Col1 Where Col2 = '""&amp;Personagem!"&amp;"$O$8&amp;""' or Col2 = '""&amp;Personagem!$O$9&amp;""'""),
if('Time 5'!C3 = ""Kurul"", query(IMPORTRANGE(cd_planilha, ""Armas!B3:G""), ""Select Col1 Where Col2 = '""&amp;Personagem!$P$8&amp;""' or Col2 = '""&amp;Personagem!$P$9&amp;""' ""),
if('Time 5'!C3 = ""Lancaster"", query(IMPO"&amp;"RTRANGE(cd_planilha, ""Armas!B3:G""), ""Select Col1 Where Col2 = '""&amp;Personagem!$Q$8&amp;""' or Col2 = '""&amp;Personagem!$Q$9&amp;""'""),
if('Time 5'!C3 = ""Lorelei"", query(IMPORTRANGE(cd_planilha, ""Armas!B3:G""), ""Select Col1 Where Col2 = '""&amp;Personagem!$R$8&amp;""'"&amp;" or Col2 = '""&amp;Personagem!$R$9&amp;""' ""),
if('Time 5'!C3 = ""Louca"", query(IMPORTRANGE(cd_planilha, ""Armas!B3:G""), ""Select Col1 Where Col2 = '""&amp;Personagem!$S$8&amp;""' or Col2 = '""&amp;Personagem!$S$9&amp;""' ""),
if('Time 5'!C3 = ""Melina"", query(IMPORTRANGE(cd"&amp;"_planilha, ""Armas!B3:G""), ""Select Col1 Where Col2 = '""&amp;Personagem!$T$8&amp;""' or Col2 = '""&amp;Personagem!$T$9&amp;""'""),
if('Time 5'!C3 = ""Mila"", query(IMPORTRANGE(cd_planilha, ""Armas!B3:G""), ""Select Col1 Where Col2 = '""&amp;Personagem!$U$8&amp;""' or Col2 = '"&amp;"""&amp;Personagem!$U$9&amp;""' ""),
if('Time 5'!C3 = ""Minh"", query(IMPORTRANGE(cd_planilha, ""Armas!B3:G""), ""Select Col1 Where Col2 = '""&amp;Personagem!$V$8&amp;""' or Col2 = '""&amp;Personagem!$V$9&amp;""' ""),
if('Time 5'!C3 = ""Mojian"", query(IMPORTRANGE(cd_planilha, """&amp;"Armas!B3:G""), ""Select Col1 Where Col2 = '""&amp;Personagem!$W$8&amp;""' or Col2 = '""&amp;Personagem!$W$9&amp;""'""),
if('Time 5'!C3 = ""Nya"", query(IMPORTRANGE(cd_planilha, ""Armas!B3:G""), ""Select Col1 Where Col2 = '""&amp;Personagem!$X$8&amp;""' or Col2 = '""&amp;Personagem!$"&amp;"X$9&amp;""' ""),
if('Time 5'!C3 = ""Odette"", query(IMPORTRANGE(cd_planilha, ""Armas!B3:G""), ""Select Col1 Where Col2 = '""&amp;Personagem!$Y$8&amp;""' or Col2 = '""&amp;Personagem!$Y$9&amp;""'""),
if('Time 5'!C3 = ""Oneira"", query(IMPORTRANGE(cd_planilha, ""Armas!B3:G""),"&amp;" ""Select Col1 Where Col2 = '""&amp;Personagem!$Z$8&amp;""' or Col2 = '""&amp;Personagem!$Z$9&amp;""' ""),
if('Time 5'!C3 = ""Palash"", query(IMPORTRANGE(cd_planilha, ""Armas!B3:G""), ""Select Col1 Where Col2 = '""&amp;Personagem!$AA$8&amp;""' or Col2 = '""&amp;Personagem!$AA$9&amp;""'"&amp;"""),
if('Time 5'!C3 = ""Theor"", query(IMPORTRANGE(cd_planilha, ""Armas!B3:G""), ""Select Col1 Where Col2 = '""&amp;Personagem!$AB$8&amp;""' or Col2 = '""&amp;Personagem!$AB$9&amp;""' ""),
if('Time 5'!C3 = ""Yue"", query(IMPORTRANGE(cd_planilha, ""Armas!B3:G""), ""Select"&amp;" Col1 Where Col2 = '""&amp;Personagem!$AC$8&amp;""' or Col2 = '""&amp;Personagem!$AC$9&amp;""'""
)))))))))))))))))))))))))))))"),"Capuz de Robin")</f>
        <v>Capuz de Robin</v>
      </c>
      <c r="Z1" s="241"/>
      <c r="AA1" s="241" t="str">
        <f>IFERROR(__xludf.DUMMYFUNCTION("if('Time 5'!C4 = ""Albert"", query(IMPORTRANGE(cd_planilha, ""Armas!B3:G""), ""Select Col1 Where Col2 = '""&amp;Personagem!$B$8&amp;""' or Col2 = '""&amp;Personagem!$B$9&amp;""'""),     
if('Time 5'!C4 = ""Alicia"", query(IMPORTRANGE(cd_planilha, ""Armas!B3:G""), ""Selec"&amp;"t Col1 Where Col2 = '""&amp;Personagem!$C$8&amp;""' or Col2 = '""&amp;Personagem!$C$9&amp;""'""),
if('Time 5'!C4 = ""Azula"", query(IMPORTRANGE(cd_planilha, ""Armas!B3:G""), ""Select Col1 Where Col2 = '""&amp;Personagem!$D$8&amp;""' or Col2 = '""&amp;Personagem!$D$9&amp;""' ""),
if('Tim"&amp;"e 5'!C4 = ""Charles"", query(IMPORTRANGE(cd_planilha, ""Armas!B3:G""), ""Select Col1 Where Col2 = '""&amp;Personagem!$E$8&amp;""' or Col2 = '""&amp;Personagem!$E$9&amp;""'""),
if('Time 5'!C4 = ""Clovis"", query(IMPORTRANGE(cd_planilha, ""Armas!B3:G""), ""Select Col1 Wher"&amp;"e Col2 = '""&amp;Personagem!$F$8&amp;""' or Col2 = '""&amp;Personagem!$F$9&amp;""' ""),
if('Time 5'!C4 = ""Darthos"", query(IMPORTRANGE(cd_planilha, ""Armas!B3:G""), ""Select Col1 Where Col2 = '""&amp;Personagem!$G$8&amp;""' or Col2 = '""&amp;Personagem!$G$9&amp;""'""),
if('Time 5'!C4 ="&amp;" ""Edward"", query(IMPORTRANGE(cd_planilha, ""Armas!B3:G""), ""Select Col1 Where Col2 = '""&amp;Personagem!$H$8&amp;""' or Col2 = '""&amp;Personagem!$H$9&amp;""' ""),
if('Time 5'!C4 = ""Fiora"", query(IMPORTRANGE(cd_planilha, ""Armas!B3:G""), ""Select Col1 Where Col2 = '"&amp;"""&amp;Personagem!$I$8&amp;""' or Col2 = '""&amp;Personagem!$I$9&amp;""' ""),
if('Time 5'!C4 = ""Francesca"", query(IMPORTRANGE(cd_planilha, ""Armas!B3:G""), ""Select Col1 Where Col2 = '""&amp;Personagem!$J$8&amp;""' or Col2 = '""&amp;Personagem!$J$9&amp;""'""),
if('Time 5'!C4 = ""Garre"&amp;"th"", query(IMPORTRANGE(cd_planilha, ""Armas!B3:G""), ""Select Col1 Where Col2 = '""&amp;Personagem!$K$8&amp;""' or Col2 = '""&amp;Personagem!$K$9&amp;""'""),
if('Time 5'!C4 = ""Gauvin"", query(IMPORTRANGE(cd_planilha, ""Armas!B3:G""), ""Select Col1 Where Col2 = '""&amp;Pers"&amp;"onagem!$L$8&amp;""' or Col2 = '""&amp;Personagem!$L$9&amp;""' ""),
if('Time 5'!C4 = ""Irene"", query(IMPORTRANGE(cd_planilha, ""Armas!B3:G""), ""Select Col1 Where Col2 = '""&amp;Personagem!$M$8&amp;""' or Col2 = '""&amp;Personagem!$M$9&amp;""' ""),
if('Time 5'!C4 = ""Karal"", query("&amp;"IMPORTRANGE(cd_planilha, ""Armas!B3:G""), ""Select Col1 Where Col2 = '""&amp;Personagem!$N$8&amp;""' or Col2 = '""&amp;Personagem!$N$9&amp;""' ""),
if('Time 5'!C4 = ""Kuro Shobi"", query(IMPORTRANGE(cd_planilha, ""Armas!B3:G""), ""Select Col1 Where Col2 = '""&amp;Personagem!"&amp;"$O$8&amp;""' or Col2 = '""&amp;Personagem!$O$9&amp;""'""),
if('Time 5'!C4 = ""Kurul"", query(IMPORTRANGE(cd_planilha, ""Armas!B3:G""), ""Select Col1 Where Col2 = '""&amp;Personagem!$P$8&amp;""' or Col2 = '""&amp;Personagem!$P$9&amp;""' ""),
if('Time 5'!C4 = ""Lancaster"", query(IMPO"&amp;"RTRANGE(cd_planilha, ""Armas!B3:G""), ""Select Col1 Where Col2 = '""&amp;Personagem!$Q$8&amp;""' or Col2 = '""&amp;Personagem!$Q$9&amp;""'""),
if('Time 5'!C4 = ""Lorelei"", query(IMPORTRANGE(cd_planilha, ""Armas!B3:G""), ""Select Col1 Where Col2 = '""&amp;Personagem!$R$8&amp;""'"&amp;" or Col2 = '""&amp;Personagem!$R$9&amp;""' ""),
if('Time 5'!C4 = ""Louca"", query(IMPORTRANGE(cd_planilha, ""Armas!B3:G""), ""Select Col1 Where Col2 = '""&amp;Personagem!$S$8&amp;""' or Col2 = '""&amp;Personagem!$S$9&amp;""' ""),
if('Time 5'!C4 = ""Melina"", query(IMPORTRANGE(cd"&amp;"_planilha, ""Armas!B3:G""), ""Select Col1 Where Col2 = '""&amp;Personagem!$T$8&amp;""' or Col2 = '""&amp;Personagem!$T$9&amp;""'""),
if('Time 5'!C4 = ""Mila"", query(IMPORTRANGE(cd_planilha, ""Armas!B3:G""), ""Select Col1 Where Col2 = '""&amp;Personagem!$U$8&amp;""' or Col2 = '"&amp;"""&amp;Personagem!$U$9&amp;""' ""),
if('Time 5'!C4 = ""Minh"", query(IMPORTRANGE(cd_planilha, ""Armas!B3:G""), ""Select Col1 Where Col2 = '""&amp;Personagem!$V$8&amp;""' or Col2 = '""&amp;Personagem!$V$9&amp;""' ""),
if('Time 5'!C4 = ""Mojian"", query(IMPORTRANGE(cd_planilha, """&amp;"Armas!B3:G""), ""Select Col1 Where Col2 = '""&amp;Personagem!$W$8&amp;""' or Col2 = '""&amp;Personagem!$W$9&amp;""'""),
if('Time 5'!C4 = ""Nya"", query(IMPORTRANGE(cd_planilha, ""Armas!B3:G""), ""Select Col1 Where Col2 = '""&amp;Personagem!$X$8&amp;""' or Col2 = '""&amp;Personagem!$"&amp;"X$9&amp;""' ""),
if('Time 5'!C4 = ""Odette"", query(IMPORTRANGE(cd_planilha, ""Armas!B3:G""), ""Select Col1 Where Col2 = '""&amp;Personagem!$Y$8&amp;""' or Col2 = '""&amp;Personagem!$Y$9&amp;""'""),
if('Time 5'!C4 = ""Oneira"", query(IMPORTRANGE(cd_planilha, ""Armas!B3:G""),"&amp;" ""Select Col1 Where Col2 = '""&amp;Personagem!$Z$8&amp;""' or Col2 = '""&amp;Personagem!$Z$9&amp;""' ""),
if('Time 5'!C4 = ""Palash"", query(IMPORTRANGE(cd_planilha, ""Armas!B3:G""), ""Select Col1 Where Col2 = '""&amp;Personagem!$AA$8&amp;""' or Col2 = '""&amp;Personagem!$AA$9&amp;""'"&amp;"""),
if('Time 5'!C4 = ""Theor"", query(IMPORTRANGE(cd_planilha, ""Armas!B3:G""), ""Select Col1 Where Col2 = '""&amp;Personagem!$AB$8&amp;""' or Col2 = '""&amp;Personagem!$AB$9&amp;""' ""),
if('Time 5'!C4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B1" s="241"/>
      <c r="AC1" s="241" t="str">
        <f>IFERROR(__xludf.DUMMYFUNCTION("if('Time 5'!C5 = ""Albert"", query(IMPORTRANGE(cd_planilha, ""Armas!B3:G""), ""Select Col1 Where Col2 = '""&amp;Personagem!$B$8&amp;""' or Col2 = '""&amp;Personagem!$B$9&amp;""'""),     
if('Time 5'!C5 = ""Alicia"", query(IMPORTRANGE(cd_planilha, ""Armas!B3:G""), ""Selec"&amp;"t Col1 Where Col2 = '""&amp;Personagem!$C$8&amp;""' or Col2 = '""&amp;Personagem!$C$9&amp;""'""),
if('Time 5'!C5 = ""Azula"", query(IMPORTRANGE(cd_planilha, ""Armas!B3:G""), ""Select Col1 Where Col2 = '""&amp;Personagem!$D$8&amp;""' or Col2 = '""&amp;Personagem!$D$9&amp;""' ""),
if('Tim"&amp;"e 5'!C5 = ""Charles"", query(IMPORTRANGE(cd_planilha, ""Armas!B3:G""), ""Select Col1 Where Col2 = '""&amp;Personagem!$E$8&amp;""' or Col2 = '""&amp;Personagem!$E$9&amp;""'""),
if('Time 5'!C5 = ""Clovis"", query(IMPORTRANGE(cd_planilha, ""Armas!B3:G""), ""Select Col1 Wher"&amp;"e Col2 = '""&amp;Personagem!$F$8&amp;""' or Col2 = '""&amp;Personagem!$F$9&amp;""' ""),
if('Time 5'!C5 = ""Darthos"", query(IMPORTRANGE(cd_planilha, ""Armas!B3:G""), ""Select Col1 Where Col2 = '""&amp;Personagem!$G$8&amp;""' or Col2 = '""&amp;Personagem!$G$9&amp;""'""),
if('Time 5'!C5 ="&amp;" ""Edward"", query(IMPORTRANGE(cd_planilha, ""Armas!B3:G""), ""Select Col1 Where Col2 = '""&amp;Personagem!$H$8&amp;""' or Col2 = '""&amp;Personagem!$H$9&amp;""' ""),
if('Time 5'!C5 = ""Fiora"", query(IMPORTRANGE(cd_planilha, ""Armas!B3:G""), ""Select Col1 Where Col2 = '"&amp;"""&amp;Personagem!$I$8&amp;""' or Col2 = '""&amp;Personagem!$I$9&amp;""' ""),
if('Time 5'!C5 = ""Francesca"", query(IMPORTRANGE(cd_planilha, ""Armas!B3:G""), ""Select Col1 Where Col2 = '""&amp;Personagem!$J$8&amp;""' or Col2 = '""&amp;Personagem!$J$9&amp;""'""),
if('Time 5'!C5 = ""Garre"&amp;"th"", query(IMPORTRANGE(cd_planilha, ""Armas!B3:G""), ""Select Col1 Where Col2 = '""&amp;Personagem!$K$8&amp;""' or Col2 = '""&amp;Personagem!$K$9&amp;""'""),
if('Time 5'!C5 = ""Gauvin"", query(IMPORTRANGE(cd_planilha, ""Armas!B3:G""), ""Select Col1 Where Col2 = '""&amp;Pers"&amp;"onagem!$L$8&amp;""' or Col2 = '""&amp;Personagem!$L$9&amp;""' ""),
if('Time 5'!C5 = ""Irene"", query(IMPORTRANGE(cd_planilha, ""Armas!B3:G""), ""Select Col1 Where Col2 = '""&amp;Personagem!$M$8&amp;""' or Col2 = '""&amp;Personagem!$M$9&amp;""' ""),
if('Time 5'!C5 = ""Karal"", query("&amp;"IMPORTRANGE(cd_planilha, ""Armas!B3:G""), ""Select Col1 Where Col2 = '""&amp;Personagem!$N$8&amp;""' or Col2 = '""&amp;Personagem!$N$9&amp;""' ""),
if('Time 5'!C5 = ""Kuro Shobi"", query(IMPORTRANGE(cd_planilha, ""Armas!B3:G""), ""Select Col1 Where Col2 = '""&amp;Personagem!"&amp;"$O$8&amp;""' or Col2 = '""&amp;Personagem!$O$9&amp;""'""),
if('Time 5'!C5 = ""Kurul"", query(IMPORTRANGE(cd_planilha, ""Armas!B3:G""), ""Select Col1 Where Col2 = '""&amp;Personagem!$P$8&amp;""' or Col2 = '""&amp;Personagem!$P$9&amp;""' ""),
if('Time 5'!C5 = ""Lancaster"", query(IMPO"&amp;"RTRANGE(cd_planilha, ""Armas!B3:G""), ""Select Col1 Where Col2 = '""&amp;Personagem!$Q$8&amp;""' or Col2 = '""&amp;Personagem!$Q$9&amp;""'""),
if('Time 5'!C5 = ""Lorelei"", query(IMPORTRANGE(cd_planilha, ""Armas!B3:G""), ""Select Col1 Where Col2 = '""&amp;Personagem!$R$8&amp;""'"&amp;" or Col2 = '""&amp;Personagem!$R$9&amp;""' ""),
if('Time 5'!C5 = ""Louca"", query(IMPORTRANGE(cd_planilha, ""Armas!B3:G""), ""Select Col1 Where Col2 = '""&amp;Personagem!$S$8&amp;""' or Col2 = '""&amp;Personagem!$S$9&amp;""' ""),
if('Time 5'!C5 = ""Melina"", query(IMPORTRANGE(cd"&amp;"_planilha, ""Armas!B3:G""), ""Select Col1 Where Col2 = '""&amp;Personagem!$T$8&amp;""' or Col2 = '""&amp;Personagem!$T$9&amp;""'""),
if('Time 5'!C5 = ""Mila"", query(IMPORTRANGE(cd_planilha, ""Armas!B3:G""), ""Select Col1 Where Col2 = '""&amp;Personagem!$U$8&amp;""' or Col2 = '"&amp;"""&amp;Personagem!$U$9&amp;""' ""),
if('Time 5'!C5 = ""Minh"", query(IMPORTRANGE(cd_planilha, ""Armas!B3:G""), ""Select Col1 Where Col2 = '""&amp;Personagem!$V$8&amp;""' or Col2 = '""&amp;Personagem!$V$9&amp;""' ""),
if('Time 5'!C5 = ""Mojian"", query(IMPORTRANGE(cd_planilha, """&amp;"Armas!B3:G""), ""Select Col1 Where Col2 = '""&amp;Personagem!$W$8&amp;""' or Col2 = '""&amp;Personagem!$W$9&amp;""'""),
if('Time 5'!C5 = ""Nya"", query(IMPORTRANGE(cd_planilha, ""Armas!B3:G""), ""Select Col1 Where Col2 = '""&amp;Personagem!$X$8&amp;""' or Col2 = '""&amp;Personagem!$"&amp;"X$9&amp;""' ""),
if('Time 5'!C5 = ""Odette"", query(IMPORTRANGE(cd_planilha, ""Armas!B3:G""), ""Select Col1 Where Col2 = '""&amp;Personagem!$Y$8&amp;""' or Col2 = '""&amp;Personagem!$Y$9&amp;""'""),
if('Time 5'!C5 = ""Oneira"", query(IMPORTRANGE(cd_planilha, ""Armas!B3:G""),"&amp;" ""Select Col1 Where Col2 = '""&amp;Personagem!$Z$8&amp;""' or Col2 = '""&amp;Personagem!$Z$9&amp;""' ""),
if('Time 5'!C5 = ""Palash"", query(IMPORTRANGE(cd_planilha, ""Armas!B3:G""), ""Select Col1 Where Col2 = '""&amp;Personagem!$AA$8&amp;""' or Col2 = '""&amp;Personagem!$AA$9&amp;""'"&amp;"""),
if('Time 5'!C5 = ""Theor"", query(IMPORTRANGE(cd_planilha, ""Armas!B3:G""), ""Select Col1 Where Col2 = '""&amp;Personagem!$AB$8&amp;""' or Col2 = '""&amp;Personagem!$AB$9&amp;""' ""),
if('Time 5'!C5 = ""Yue"", query(IMPORTRANGE(cd_planilha, ""Armas!B3:G""), ""Select"&amp;" Col1 Where Col2 = '""&amp;Personagem!$AC$8&amp;""' or Col2 = '""&amp;Personagem!$AC$9&amp;""'""
)))))))))))))))))))))))))))))"),"Coifa da Lua")</f>
        <v>Coifa da Lua</v>
      </c>
      <c r="AD1" s="241"/>
      <c r="AE1" s="241" t="str">
        <f>IFERROR(__xludf.DUMMYFUNCTION("if('Time 5'!C6 = ""Albert"", query(IMPORTRANGE(cd_planilha, ""Armas!B3:G""), ""Select Col1 Where Col2 = '""&amp;Personagem!$B$8&amp;""' or Col2 = '""&amp;Personagem!$B$9&amp;""'""),     
if('Time 5'!C6 = ""Alicia"", query(IMPORTRANGE(cd_planilha, ""Armas!B3:G""), ""Selec"&amp;"t Col1 Where Col2 = '""&amp;Personagem!$C$8&amp;""' or Col2 = '""&amp;Personagem!$C$9&amp;""'""),
if('Time 5'!C6 = ""Azula"", query(IMPORTRANGE(cd_planilha, ""Armas!B3:G""), ""Select Col1 Where Col2 = '""&amp;Personagem!$D$8&amp;""' or Col2 = '""&amp;Personagem!$D$9&amp;""' ""),
if('Tim"&amp;"e 5'!C6 = ""Charles"", query(IMPORTRANGE(cd_planilha, ""Armas!B3:G""), ""Select Col1 Where Col2 = '""&amp;Personagem!$E$8&amp;""' or Col2 = '""&amp;Personagem!$E$9&amp;""'""),
if('Time 5'!C6 = ""Clovis"", query(IMPORTRANGE(cd_planilha, ""Armas!B3:G""), ""Select Col1 Wher"&amp;"e Col2 = '""&amp;Personagem!$F$8&amp;""' or Col2 = '""&amp;Personagem!$F$9&amp;""' ""),
if('Time 5'!C6 = ""Darthos"", query(IMPORTRANGE(cd_planilha, ""Armas!B3:G""), ""Select Col1 Where Col2 = '""&amp;Personagem!$G$8&amp;""' or Col2 = '""&amp;Personagem!$G$9&amp;""'""),
if('Time 5'!C6 ="&amp;" ""Edward"", query(IMPORTRANGE(cd_planilha, ""Armas!B3:G""), ""Select Col1 Where Col2 = '""&amp;Personagem!$H$8&amp;""' or Col2 = '""&amp;Personagem!$H$9&amp;""' ""),
if('Time 5'!C6 = ""Fiora"", query(IMPORTRANGE(cd_planilha, ""Armas!B3:G""), ""Select Col1 Where Col2 = '"&amp;"""&amp;Personagem!$I$8&amp;""' or Col2 = '""&amp;Personagem!$I$9&amp;""' ""),
if('Time 5'!C6 = ""Francesca"", query(IMPORTRANGE(cd_planilha, ""Armas!B3:G""), ""Select Col1 Where Col2 = '""&amp;Personagem!$J$8&amp;""' or Col2 = '""&amp;Personagem!$J$9&amp;""'""),
if('Time 5'!C6 = ""Garre"&amp;"th"", query(IMPORTRANGE(cd_planilha, ""Armas!B3:G""), ""Select Col1 Where Col2 = '""&amp;Personagem!$K$8&amp;""' or Col2 = '""&amp;Personagem!$K$9&amp;""'""),
if('Time 5'!C6 = ""Gauvin"", query(IMPORTRANGE(cd_planilha, ""Armas!B3:G""), ""Select Col1 Where Col2 = '""&amp;Pers"&amp;"onagem!$L$8&amp;""' or Col2 = '""&amp;Personagem!$L$9&amp;""' ""),
if('Time 5'!C6 = ""Irene"", query(IMPORTRANGE(cd_planilha, ""Armas!B3:G""), ""Select Col1 Where Col2 = '""&amp;Personagem!$M$8&amp;""' or Col2 = '""&amp;Personagem!$M$9&amp;""' ""),
if('Time 5'!C6 = ""Karal"", query("&amp;"IMPORTRANGE(cd_planilha, ""Armas!B3:G""), ""Select Col1 Where Col2 = '""&amp;Personagem!$N$8&amp;""' or Col2 = '""&amp;Personagem!$N$9&amp;""' ""),
if('Time 5'!C6 = ""Kuro Shobi"", query(IMPORTRANGE(cd_planilha, ""Armas!B3:G""), ""Select Col1 Where Col2 = '""&amp;Personagem!"&amp;"$O$8&amp;""' or Col2 = '""&amp;Personagem!$O$9&amp;""'""),
if('Time 5'!C6 = ""Kurul"", query(IMPORTRANGE(cd_planilha, ""Armas!B3:G""), ""Select Col1 Where Col2 = '""&amp;Personagem!$P$8&amp;""' or Col2 = '""&amp;Personagem!$P$9&amp;""' ""),
if('Time 5'!C6 = ""Lancaster"", query(IMPO"&amp;"RTRANGE(cd_planilha, ""Armas!B3:G""), ""Select Col1 Where Col2 = '""&amp;Personagem!$Q$8&amp;""' or Col2 = '""&amp;Personagem!$Q$9&amp;""'""),
if('Time 5'!C6 = ""Lorelei"", query(IMPORTRANGE(cd_planilha, ""Armas!B3:G""), ""Select Col1 Where Col2 = '""&amp;Personagem!$R$8&amp;""'"&amp;" or Col2 = '""&amp;Personagem!$R$9&amp;""' ""),
if('Time 5'!C6 = ""Louca"", query(IMPORTRANGE(cd_planilha, ""Armas!B3:G""), ""Select Col1 Where Col2 = '""&amp;Personagem!$S$8&amp;""' or Col2 = '""&amp;Personagem!$S$9&amp;""' ""),
if('Time 5'!C6 = ""Melina"", query(IMPORTRANGE(cd"&amp;"_planilha, ""Armas!B3:G""), ""Select Col1 Where Col2 = '""&amp;Personagem!$T$8&amp;""' or Col2 = '""&amp;Personagem!$T$9&amp;""'""),
if('Time 5'!C6 = ""Mila"", query(IMPORTRANGE(cd_planilha, ""Armas!B3:G""), ""Select Col1 Where Col2 = '""&amp;Personagem!$U$8&amp;""' or Col2 = '"&amp;"""&amp;Personagem!$U$9&amp;""' ""),
if('Time 5'!C6 = ""Minh"", query(IMPORTRANGE(cd_planilha, ""Armas!B3:G""), ""Select Col1 Where Col2 = '""&amp;Personagem!$V$8&amp;""' or Col2 = '""&amp;Personagem!$V$9&amp;""' ""),
if('Time 5'!C6 = ""Mojian"", query(IMPORTRANGE(cd_planilha, """&amp;"Armas!B3:G""), ""Select Col1 Where Col2 = '""&amp;Personagem!$W$8&amp;""' or Col2 = '""&amp;Personagem!$W$9&amp;""'""),
if('Time 5'!C6 = ""Nya"", query(IMPORTRANGE(cd_planilha, ""Armas!B3:G""), ""Select Col1 Where Col2 = '""&amp;Personagem!$X$8&amp;""' or Col2 = '""&amp;Personagem!$"&amp;"X$9&amp;""' ""),
if('Time 5'!C6 = ""Odette"", query(IMPORTRANGE(cd_planilha, ""Armas!B3:G""), ""Select Col1 Where Col2 = '""&amp;Personagem!$Y$8&amp;""' or Col2 = '""&amp;Personagem!$Y$9&amp;""'""),
if('Time 5'!C6 = ""Oneira"", query(IMPORTRANGE(cd_planilha, ""Armas!B3:G""),"&amp;" ""Select Col1 Where Col2 = '""&amp;Personagem!$Z$8&amp;""' or Col2 = '""&amp;Personagem!$Z$9&amp;""' ""),
if('Time 5'!C6 = ""Palash"", query(IMPORTRANGE(cd_planilha, ""Armas!B3:G""), ""Select Col1 Where Col2 = '""&amp;Personagem!$AA$8&amp;""' or Col2 = '""&amp;Personagem!$AA$9&amp;""'"&amp;"""),
if('Time 5'!C6 = ""Theor"", query(IMPORTRANGE(cd_planilha, ""Armas!B3:G""), ""Select Col1 Where Col2 = '""&amp;Personagem!$AB$8&amp;""' or Col2 = '""&amp;Personagem!$AB$9&amp;""' ""),
if('Time 5'!C6 = ""Yue"", query(IMPORTRANGE(cd_planilha, ""Armas!B3:G""), ""Select"&amp;" Col1 Where Col2 = '""&amp;Personagem!$AC$8&amp;""' or Col2 = '""&amp;Personagem!$AC$9&amp;""'""
)))))))))))))))))))))))))))))"),"Coifa da Lua")</f>
        <v>Coifa da Lua</v>
      </c>
      <c r="AF1" s="241"/>
      <c r="AG1" s="241" t="str">
        <f>IFERROR(__xludf.DUMMYFUNCTION("if('Time 5'!C7 = ""Albert"", query(IMPORTRANGE(cd_planilha, ""Armas!B3:G""), ""Select Col1 Where Col2 = '""&amp;Personagem!$B$8&amp;""' or Col2 = '""&amp;Personagem!$B$9&amp;""'""),     
if('Time 5'!C7 = ""Alicia"", query(IMPORTRANGE(cd_planilha, ""Armas!B3:G""), ""Selec"&amp;"t Col1 Where Col2 = '""&amp;Personagem!$C$8&amp;""' or Col2 = '""&amp;Personagem!$C$9&amp;""'""),
if('Time 5'!C7 = ""Azula"", query(IMPORTRANGE(cd_planilha, ""Armas!B3:G""), ""Select Col1 Where Col2 = '""&amp;Personagem!$D$8&amp;""' or Col2 = '""&amp;Personagem!$D$9&amp;""' ""),
if('Tim"&amp;"e 5'!C7 = ""Charles"", query(IMPORTRANGE(cd_planilha, ""Armas!B3:G""), ""Select Col1 Where Col2 = '""&amp;Personagem!$E$8&amp;""' or Col2 = '""&amp;Personagem!$E$9&amp;""'""),
if('Time 5'!C7 = ""Clovis"", query(IMPORTRANGE(cd_planilha, ""Armas!B3:G""), ""Select Col1 Wher"&amp;"e Col2 = '""&amp;Personagem!$F$8&amp;""' or Col2 = '""&amp;Personagem!$F$9&amp;""' ""),
if('Time 5'!C7 = ""Darthos"", query(IMPORTRANGE(cd_planilha, ""Armas!B3:G""), ""Select Col1 Where Col2 = '""&amp;Personagem!$G$8&amp;""' or Col2 = '""&amp;Personagem!$G$9&amp;""'""),
if('Time 5'!C7 ="&amp;" ""Edward"", query(IMPORTRANGE(cd_planilha, ""Armas!B3:G""), ""Select Col1 Where Col2 = '""&amp;Personagem!$H$8&amp;""' or Col2 = '""&amp;Personagem!$H$9&amp;""' ""),
if('Time 5'!C7 = ""Fiora"", query(IMPORTRANGE(cd_planilha, ""Armas!B3:G""), ""Select Col1 Where Col2 = '"&amp;"""&amp;Personagem!$I$8&amp;""' or Col2 = '""&amp;Personagem!$I$9&amp;""' ""),
if('Time 5'!C7 = ""Francesca"", query(IMPORTRANGE(cd_planilha, ""Armas!B3:G""), ""Select Col1 Where Col2 = '""&amp;Personagem!$J$8&amp;""' or Col2 = '""&amp;Personagem!$J$9&amp;""'""),
if('Time 5'!C7 = ""Garre"&amp;"th"", query(IMPORTRANGE(cd_planilha, ""Armas!B3:G""), ""Select Col1 Where Col2 = '""&amp;Personagem!$K$8&amp;""' or Col2 = '""&amp;Personagem!$K$9&amp;""'""),
if('Time 5'!C7 = ""Gauvin"", query(IMPORTRANGE(cd_planilha, ""Armas!B3:G""), ""Select Col1 Where Col2 = '""&amp;Pers"&amp;"onagem!$L$8&amp;""' or Col2 = '""&amp;Personagem!$L$9&amp;""' ""),
if('Time 5'!C7 = ""Irene"", query(IMPORTRANGE(cd_planilha, ""Armas!B3:G""), ""Select Col1 Where Col2 = '""&amp;Personagem!$M$8&amp;""' or Col2 = '""&amp;Personagem!$M$9&amp;""' ""),
if('Time 5'!C7 = ""Karal"", query("&amp;"IMPORTRANGE(cd_planilha, ""Armas!B3:G""), ""Select Col1 Where Col2 = '""&amp;Personagem!$N$8&amp;""' or Col2 = '""&amp;Personagem!$N$9&amp;""' ""),
if('Time 5'!C7 = ""Kuro Shobi"", query(IMPORTRANGE(cd_planilha, ""Armas!B3:G""), ""Select Col1 Where Col2 = '""&amp;Personagem!"&amp;"$O$8&amp;""' or Col2 = '""&amp;Personagem!$O$9&amp;""'""),
if('Time 5'!C7 = ""Kurul"", query(IMPORTRANGE(cd_planilha, ""Armas!B3:G""), ""Select Col1 Where Col2 = '""&amp;Personagem!$P$8&amp;""' or Col2 = '""&amp;Personagem!$P$9&amp;""' ""),
if('Time 5'!C7 = ""Lancaster"", query(IMPO"&amp;"RTRANGE(cd_planilha, ""Armas!B3:G""), ""Select Col1 Where Col2 = '""&amp;Personagem!$Q$8&amp;""' or Col2 = '""&amp;Personagem!$Q$9&amp;""'""),
if('Time 5'!C7 = ""Lorelei"", query(IMPORTRANGE(cd_planilha, ""Armas!B3:G""), ""Select Col1 Where Col2 = '""&amp;Personagem!$R$8&amp;""'"&amp;" or Col2 = '""&amp;Personagem!$R$9&amp;""' ""),
if('Time 5'!C7 = ""Louca"", query(IMPORTRANGE(cd_planilha, ""Armas!B3:G""), ""Select Col1 Where Col2 = '""&amp;Personagem!$S$8&amp;""' or Col2 = '""&amp;Personagem!$S$9&amp;""' ""),
if('Time 5'!C7 = ""Melina"", query(IMPORTRANGE(cd"&amp;"_planilha, ""Armas!B3:G""), ""Select Col1 Where Col2 = '""&amp;Personagem!$T$8&amp;""' or Col2 = '""&amp;Personagem!$T$9&amp;""'""),
if('Time 5'!C7 = ""Mila"", query(IMPORTRANGE(cd_planilha, ""Armas!B3:G""), ""Select Col1 Where Col2 = '""&amp;Personagem!$U$8&amp;""' or Col2 = '"&amp;"""&amp;Personagem!$U$9&amp;""' ""),
if('Time 5'!C7 = ""Minh"", query(IMPORTRANGE(cd_planilha, ""Armas!B3:G""), ""Select Col1 Where Col2 = '""&amp;Personagem!$V$8&amp;""' or Col2 = '""&amp;Personagem!$V$9&amp;""' ""),
if('Time 5'!C7 = ""Mojian"", query(IMPORTRANGE(cd_planilha, """&amp;"Armas!B3:G""), ""Select Col1 Where Col2 = '""&amp;Personagem!$W$8&amp;""' or Col2 = '""&amp;Personagem!$W$9&amp;""'""),
if('Time 5'!C7 = ""Nya"", query(IMPORTRANGE(cd_planilha, ""Armas!B3:G""), ""Select Col1 Where Col2 = '""&amp;Personagem!$X$8&amp;""' or Col2 = '""&amp;Personagem!$"&amp;"X$9&amp;""' ""),
if('Time 5'!C7 = ""Odette"", query(IMPORTRANGE(cd_planilha, ""Armas!B3:G""), ""Select Col1 Where Col2 = '""&amp;Personagem!$Y$8&amp;""' or Col2 = '""&amp;Personagem!$Y$9&amp;""'""),
if('Time 5'!C7 = ""Oneira"", query(IMPORTRANGE(cd_planilha, ""Armas!B3:G""),"&amp;" ""Select Col1 Where Col2 = '""&amp;Personagem!$Z$8&amp;""' or Col2 = '""&amp;Personagem!$Z$9&amp;""' ""),
if('Time 5'!C7 = ""Palash"", query(IMPORTRANGE(cd_planilha, ""Armas!B3:G""), ""Select Col1 Where Col2 = '""&amp;Personagem!$AA$8&amp;""' or Col2 = '""&amp;Personagem!$AA$9&amp;""'"&amp;"""),
if('Time 5'!C7 = ""Theor"", query(IMPORTRANGE(cd_planilha, ""Armas!B3:G""), ""Select Col1 Where Col2 = '""&amp;Personagem!$AB$8&amp;""' or Col2 = '""&amp;Personagem!$AB$9&amp;""' ""),
if('Time 5'!C7 = ""Yue"", query(IMPORTRANGE(cd_planilha, ""Armas!B3:G""), ""Select"&amp;" Col1 Where Col2 = '""&amp;Personagem!$AC$8&amp;""' or Col2 = '""&amp;Personagem!$AC$9&amp;""'""
)))))))))))))))))))))))))))))"),"Capuz de Robin")</f>
        <v>Capuz de Robin</v>
      </c>
      <c r="AH1" s="241"/>
      <c r="AI1" s="241" t="b">
        <f>IFERROR(__xludf.DUMMYFUNCTION("if('Time 5'!C8 = ""Albert"", query(IMPORTRANGE(cd_planilha, ""Armas!B3:G""), ""Select Col1 Where Col2 = '""&amp;Personagem!$B$8&amp;""' or Col2 = '""&amp;Personagem!$B$9&amp;""'""),     
if('Time 5'!C8 = ""Alicia"", query(IMPORTRANGE(cd_planilha, ""Armas!B3:G""), ""Selec"&amp;"t Col1 Where Col2 = '""&amp;Personagem!$C$8&amp;""' or Col2 = '""&amp;Personagem!$C$9&amp;""'""),
if('Time 5'!C8 = ""Azula"", query(IMPORTRANGE(cd_planilha, ""Armas!B3:G""), ""Select Col1 Where Col2 = '""&amp;Personagem!$D$8&amp;""' or Col2 = '""&amp;Personagem!$D$9&amp;""' ""),
if('Tim"&amp;"e 5'!C8 = ""Charles"", query(IMPORTRANGE(cd_planilha, ""Armas!B3:G""), ""Select Col1 Where Col2 = '""&amp;Personagem!$E$8&amp;""' or Col2 = '""&amp;Personagem!$E$9&amp;""'""),
if('Time 5'!C8 = ""Clovis"", query(IMPORTRANGE(cd_planilha, ""Armas!B3:G""), ""Select Col1 Wher"&amp;"e Col2 = '""&amp;Personagem!$F$8&amp;""' or Col2 = '""&amp;Personagem!$F$9&amp;""' ""),
if('Time 5'!C8 = ""Darthos"", query(IMPORTRANGE(cd_planilha, ""Armas!B3:G""), ""Select Col1 Where Col2 = '""&amp;Personagem!$G$8&amp;""' or Col2 = '""&amp;Personagem!$G$9&amp;""'""),
if('Time 5'!C8 ="&amp;" ""Edward"", query(IMPORTRANGE(cd_planilha, ""Armas!B3:G""), ""Select Col1 Where Col2 = '""&amp;Personagem!$H$8&amp;""' or Col2 = '""&amp;Personagem!$H$9&amp;""' ""),
if('Time 5'!C8 = ""Fiora"", query(IMPORTRANGE(cd_planilha, ""Armas!B3:G""), ""Select Col1 Where Col2 = '"&amp;"""&amp;Personagem!$I$8&amp;""' or Col2 = '""&amp;Personagem!$I$9&amp;""' ""),
if('Time 5'!C8 = ""Francesca"", query(IMPORTRANGE(cd_planilha, ""Armas!B3:G""), ""Select Col1 Where Col2 = '""&amp;Personagem!$J$8&amp;""' or Col2 = '""&amp;Personagem!$J$9&amp;""'""),
if('Time 5'!C8 = ""Garre"&amp;"th"", query(IMPORTRANGE(cd_planilha, ""Armas!B3:G""), ""Select Col1 Where Col2 = '""&amp;Personagem!$K$8&amp;""' or Col2 = '""&amp;Personagem!$K$9&amp;""'""),
if('Time 5'!C8 = ""Gauvin"", query(IMPORTRANGE(cd_planilha, ""Armas!B3:G""), ""Select Col1 Where Col2 = '""&amp;Pers"&amp;"onagem!$L$8&amp;""' or Col2 = '""&amp;Personagem!$L$9&amp;""' ""),
if('Time 5'!C8 = ""Irene"", query(IMPORTRANGE(cd_planilha, ""Armas!B3:G""), ""Select Col1 Where Col2 = '""&amp;Personagem!$M$8&amp;""' or Col2 = '""&amp;Personagem!$M$9&amp;""' ""),
if('Time 5'!C8 = ""Karal"", query("&amp;"IMPORTRANGE(cd_planilha, ""Armas!B3:G""), ""Select Col1 Where Col2 = '""&amp;Personagem!$N$8&amp;""' or Col2 = '""&amp;Personagem!$N$9&amp;""' ""),
if('Time 5'!C8 = ""Kuro Shobi"", query(IMPORTRANGE(cd_planilha, ""Armas!B3:G""), ""Select Col1 Where Col2 = '""&amp;Personagem!"&amp;"$O$8&amp;""' or Col2 = '""&amp;Personagem!$O$9&amp;""'""),
if('Time 5'!C8 = ""Kurul"", query(IMPORTRANGE(cd_planilha, ""Armas!B3:G""), ""Select Col1 Where Col2 = '""&amp;Personagem!$P$8&amp;""' or Col2 = '""&amp;Personagem!$P$9&amp;""' ""),
if('Time 5'!C8 = ""Lancaster"", query(IMPO"&amp;"RTRANGE(cd_planilha, ""Armas!B3:G""), ""Select Col1 Where Col2 = '""&amp;Personagem!$Q$8&amp;""' or Col2 = '""&amp;Personagem!$Q$9&amp;""'""),
if('Time 5'!C8 = ""Lorelei"", query(IMPORTRANGE(cd_planilha, ""Armas!B3:G""), ""Select Col1 Where Col2 = '""&amp;Personagem!$R$8&amp;""'"&amp;" or Col2 = '""&amp;Personagem!$R$9&amp;""' ""),
if('Time 5'!C8 = ""Louca"", query(IMPORTRANGE(cd_planilha, ""Armas!B3:G""), ""Select Col1 Where Col2 = '""&amp;Personagem!$S$8&amp;""' or Col2 = '""&amp;Personagem!$S$9&amp;""' ""),
if('Time 5'!C8 = ""Melina"", query(IMPORTRANGE(cd"&amp;"_planilha, ""Armas!B3:G""), ""Select Col1 Where Col2 = '""&amp;Personagem!$T$8&amp;""' or Col2 = '""&amp;Personagem!$T$9&amp;""'""),
if('Time 5'!C8 = ""Mila"", query(IMPORTRANGE(cd_planilha, ""Armas!B3:G""), ""Select Col1 Where Col2 = '""&amp;Personagem!$U$8&amp;""' or Col2 = '"&amp;"""&amp;Personagem!$U$9&amp;""' ""),
if('Time 5'!C8 = ""Minh"", query(IMPORTRANGE(cd_planilha, ""Armas!B3:G""), ""Select Col1 Where Col2 = '""&amp;Personagem!$V$8&amp;""' or Col2 = '""&amp;Personagem!$V$9&amp;""' ""),
if('Time 5'!C8 = ""Mojian"", query(IMPORTRANGE(cd_planilha, """&amp;"Armas!B3:G""), ""Select Col1 Where Col2 = '""&amp;Personagem!$W$8&amp;""' or Col2 = '""&amp;Personagem!$W$9&amp;""'""),
if('Time 5'!C8 = ""Nya"", query(IMPORTRANGE(cd_planilha, ""Armas!B3:G""), ""Select Col1 Where Col2 = '""&amp;Personagem!$X$8&amp;""' or Col2 = '""&amp;Personagem!$"&amp;"X$9&amp;""' ""),
if('Time 5'!C8 = ""Odette"", query(IMPORTRANGE(cd_planilha, ""Armas!B3:G""), ""Select Col1 Where Col2 = '""&amp;Personagem!$Y$8&amp;""' or Col2 = '""&amp;Personagem!$Y$9&amp;""'""),
if('Time 5'!C8 = ""Oneira"", query(IMPORTRANGE(cd_planilha, ""Armas!B3:G""),"&amp;" ""Select Col1 Where Col2 = '""&amp;Personagem!$Z$8&amp;""' or Col2 = '""&amp;Personagem!$Z$9&amp;""' ""),
if('Time 5'!C8 = ""Palash"", query(IMPORTRANGE(cd_planilha, ""Armas!B3:G""), ""Select Col1 Where Col2 = '""&amp;Personagem!$AA$8&amp;""' or Col2 = '""&amp;Personagem!$AA$9&amp;""'"&amp;"""),
if('Time 5'!C8 = ""Theor"", query(IMPORTRANGE(cd_planilha, ""Armas!B3:G""), ""Select Col1 Where Col2 = '""&amp;Personagem!$AB$8&amp;""' or Col2 = '""&amp;Personagem!$AB$9&amp;""' ""),
if('Time 5'!C8 = ""Yue"", query(IMPORTRANGE(cd_planilha, ""Armas!B3:G""), ""Select"&amp;" Col1 Where Col2 = '""&amp;Personagem!$AC$8&amp;""' or Col2 = '""&amp;Personagem!$AC$9&amp;""'""
)))))))))))))))))))))))))))))"),FALSE)</f>
        <v>0</v>
      </c>
      <c r="AJ1" s="242"/>
    </row>
    <row r="2">
      <c r="A2" s="224" t="str">
        <f>IFERROR(__xludf.DUMMYFUNCTION("""COMPUTED_VALUE"""),"Olho de falcão")</f>
        <v>Olho de falcão</v>
      </c>
      <c r="B2" s="241"/>
      <c r="C2" s="224" t="str">
        <f>IFERROR(__xludf.DUMMYFUNCTION("""COMPUTED_VALUE"""),"Begala do faraó")</f>
        <v>Begala do faraó</v>
      </c>
      <c r="D2" s="241"/>
      <c r="E2" s="224" t="str">
        <f>IFERROR(__xludf.DUMMYFUNCTION("""COMPUTED_VALUE"""),"Ponta de Veneno")</f>
        <v>Ponta de Veneno</v>
      </c>
      <c r="F2" s="241"/>
      <c r="G2" s="224" t="str">
        <f>IFERROR(__xludf.DUMMYFUNCTION("""COMPUTED_VALUE"""),"Espada Vorpal")</f>
        <v>Espada Vorpal</v>
      </c>
      <c r="H2" s="241"/>
      <c r="I2" s="224" t="str">
        <f>IFERROR(__xludf.DUMMYFUNCTION("""COMPUTED_VALUE"""),"Olho de falcão")</f>
        <v>Olho de falcão</v>
      </c>
      <c r="J2" s="241"/>
      <c r="K2" s="241"/>
      <c r="L2" s="242"/>
      <c r="M2" s="224" t="str">
        <f>IFERROR(__xludf.DUMMYFUNCTION("""COMPUTED_VALUE"""),"Veste Revestida")</f>
        <v>Veste Revestida</v>
      </c>
      <c r="N2" s="241"/>
      <c r="O2" s="224" t="str">
        <f>IFERROR(__xludf.DUMMYFUNCTION("""COMPUTED_VALUE"""),"Toga do Mago")</f>
        <v>Toga do Mago</v>
      </c>
      <c r="P2" s="241"/>
      <c r="Q2" s="224" t="str">
        <f>IFERROR(__xludf.DUMMYFUNCTION("""COMPUTED_VALUE"""),"Armadura Nobre")</f>
        <v>Armadura Nobre</v>
      </c>
      <c r="R2" s="241"/>
      <c r="S2" s="224" t="str">
        <f>IFERROR(__xludf.DUMMYFUNCTION("""COMPUTED_VALUE"""),"Armadura Nobre")</f>
        <v>Armadura Nobre</v>
      </c>
      <c r="T2" s="241"/>
      <c r="U2" s="224" t="str">
        <f>IFERROR(__xludf.DUMMYFUNCTION("""COMPUTED_VALUE"""),"Toga do Mago")</f>
        <v>Toga do Mago</v>
      </c>
      <c r="V2" s="241"/>
      <c r="W2" s="241"/>
      <c r="X2" s="242"/>
      <c r="Y2" s="224" t="str">
        <f>IFERROR(__xludf.DUMMYFUNCTION("""COMPUTED_VALUE"""),"Coroa Dourada")</f>
        <v>Coroa Dourada</v>
      </c>
      <c r="Z2" s="241"/>
      <c r="AA2" s="224" t="str">
        <f>IFERROR(__xludf.DUMMYFUNCTION("""COMPUTED_VALUE"""),"Coroa Dourada")</f>
        <v>Coroa Dourada</v>
      </c>
      <c r="AB2" s="241"/>
      <c r="AC2" s="224" t="str">
        <f>IFERROR(__xludf.DUMMYFUNCTION("""COMPUTED_VALUE"""),"Elmo do Paladino")</f>
        <v>Elmo do Paladino</v>
      </c>
      <c r="AD2" s="241"/>
      <c r="AE2" s="224" t="str">
        <f>IFERROR(__xludf.DUMMYFUNCTION("""COMPUTED_VALUE"""),"Elmo do Paladino")</f>
        <v>Elmo do Paladino</v>
      </c>
      <c r="AF2" s="241"/>
      <c r="AG2" s="224" t="str">
        <f>IFERROR(__xludf.DUMMYFUNCTION("""COMPUTED_VALUE"""),"Coroa Dourada")</f>
        <v>Coroa Dourada</v>
      </c>
      <c r="AH2" s="241"/>
      <c r="AI2" s="241"/>
      <c r="AJ2" s="242"/>
    </row>
    <row r="3" hidden="1">
      <c r="A3" s="241" t="str">
        <f>IFERROR(__xludf.DUMMYFUNCTION("""COMPUTED_VALUE"""),"Autocarregador")</f>
        <v>Autocarregador</v>
      </c>
      <c r="B3" s="241"/>
      <c r="C3" s="241" t="str">
        <f>IFERROR(__xludf.DUMMYFUNCTION("""COMPUTED_VALUE"""),"Cetro Lunar")</f>
        <v>Cetro Lunar</v>
      </c>
      <c r="D3" s="241"/>
      <c r="E3" s="241" t="str">
        <f>IFERROR(__xludf.DUMMYFUNCTION("""COMPUTED_VALUE"""),"Lança Pesca")</f>
        <v>Lança Pesca</v>
      </c>
      <c r="F3" s="241"/>
      <c r="G3" s="241" t="str">
        <f>IFERROR(__xludf.DUMMYFUNCTION("""COMPUTED_VALUE"""),"Aço frio")</f>
        <v>Aço frio</v>
      </c>
      <c r="H3" s="241"/>
      <c r="I3" s="241" t="str">
        <f>IFERROR(__xludf.DUMMYFUNCTION("""COMPUTED_VALUE"""),"Autocarregador")</f>
        <v>Autocarregador</v>
      </c>
      <c r="J3" s="241"/>
      <c r="K3" s="241"/>
      <c r="L3" s="242"/>
      <c r="M3" s="241" t="str">
        <f>IFERROR(__xludf.DUMMYFUNCTION("""COMPUTED_VALUE"""),"Couro com óleo")</f>
        <v>Couro com óleo</v>
      </c>
      <c r="N3" s="241"/>
      <c r="O3" s="241" t="str">
        <f>IFERROR(__xludf.DUMMYFUNCTION("""COMPUTED_VALUE"""),"Poseidon's Toga")</f>
        <v>Poseidon's Toga</v>
      </c>
      <c r="P3" s="241"/>
      <c r="Q3" s="241" t="str">
        <f>IFERROR(__xludf.DUMMYFUNCTION("""COMPUTED_VALUE"""),"Correio de Honra")</f>
        <v>Correio de Honra</v>
      </c>
      <c r="R3" s="241"/>
      <c r="S3" s="241" t="str">
        <f>IFERROR(__xludf.DUMMYFUNCTION("""COMPUTED_VALUE"""),"Correio de Honra")</f>
        <v>Correio de Honra</v>
      </c>
      <c r="T3" s="241"/>
      <c r="U3" s="241" t="str">
        <f>IFERROR(__xludf.DUMMYFUNCTION("""COMPUTED_VALUE"""),"Poseidon's Toga")</f>
        <v>Poseidon's Toga</v>
      </c>
      <c r="V3" s="241"/>
      <c r="W3" s="241"/>
      <c r="X3" s="242"/>
      <c r="Y3" s="241" t="str">
        <f>IFERROR(__xludf.DUMMYFUNCTION("""COMPUTED_VALUE"""),"Coifa Sábia ")</f>
        <v>Coifa Sábia </v>
      </c>
      <c r="Z3" s="241"/>
      <c r="AA3" s="241" t="str">
        <f>IFERROR(__xludf.DUMMYFUNCTION("""COMPUTED_VALUE"""),"Coifa Sábia ")</f>
        <v>Coifa Sábia </v>
      </c>
      <c r="AB3" s="241"/>
      <c r="AC3" s="241" t="str">
        <f>IFERROR(__xludf.DUMMYFUNCTION("""COMPUTED_VALUE"""),"Elmo Congelado")</f>
        <v>Elmo Congelado</v>
      </c>
      <c r="AD3" s="241"/>
      <c r="AE3" s="241" t="str">
        <f>IFERROR(__xludf.DUMMYFUNCTION("""COMPUTED_VALUE"""),"Elmo Congelado")</f>
        <v>Elmo Congelado</v>
      </c>
      <c r="AF3" s="241"/>
      <c r="AG3" s="241" t="str">
        <f>IFERROR(__xludf.DUMMYFUNCTION("""COMPUTED_VALUE"""),"Coifa Sábia ")</f>
        <v>Coifa Sábia </v>
      </c>
      <c r="AH3" s="241"/>
      <c r="AI3" s="241"/>
      <c r="AJ3" s="242"/>
    </row>
    <row r="4" hidden="1">
      <c r="A4" s="241" t="str">
        <f>IFERROR(__xludf.DUMMYFUNCTION("""COMPUTED_VALUE"""),"Olho de águia")</f>
        <v>Olho de águia</v>
      </c>
      <c r="B4" s="241"/>
      <c r="C4" s="241" t="str">
        <f>IFERROR(__xludf.DUMMYFUNCTION("""COMPUTED_VALUE"""),"Líquido apanhador de inseto")</f>
        <v>Líquido apanhador de inseto</v>
      </c>
      <c r="D4" s="241"/>
      <c r="E4" s="241" t="str">
        <f>IFERROR(__xludf.DUMMYFUNCTION("""COMPUTED_VALUE"""),"Garfo de prata")</f>
        <v>Garfo de prata</v>
      </c>
      <c r="F4" s="241"/>
      <c r="G4" s="241" t="str">
        <f>IFERROR(__xludf.DUMMYFUNCTION("""COMPUTED_VALUE"""),"Espada de Relíquia")</f>
        <v>Espada de Relíquia</v>
      </c>
      <c r="H4" s="241"/>
      <c r="I4" s="241" t="str">
        <f>IFERROR(__xludf.DUMMYFUNCTION("""COMPUTED_VALUE"""),"Olho de águia")</f>
        <v>Olho de águia</v>
      </c>
      <c r="J4" s="241"/>
      <c r="K4" s="241"/>
      <c r="L4" s="242"/>
      <c r="M4" s="241" t="str">
        <f>IFERROR(__xludf.DUMMYFUNCTION("""COMPUTED_VALUE"""),"Pele de Serpente")</f>
        <v>Pele de Serpente</v>
      </c>
      <c r="N4" s="241"/>
      <c r="O4" s="241" t="str">
        <f>IFERROR(__xludf.DUMMYFUNCTION("""COMPUTED_VALUE"""),"Traje de Tempestade")</f>
        <v>Traje de Tempestade</v>
      </c>
      <c r="P4" s="241"/>
      <c r="Q4" s="241" t="str">
        <f>IFERROR(__xludf.DUMMYFUNCTION("""COMPUTED_VALUE"""),"Armadura do Caos")</f>
        <v>Armadura do Caos</v>
      </c>
      <c r="R4" s="241"/>
      <c r="S4" s="241" t="str">
        <f>IFERROR(__xludf.DUMMYFUNCTION("""COMPUTED_VALUE"""),"Armadura do Caos")</f>
        <v>Armadura do Caos</v>
      </c>
      <c r="T4" s="241"/>
      <c r="U4" s="241" t="str">
        <f>IFERROR(__xludf.DUMMYFUNCTION("""COMPUTED_VALUE"""),"Traje de Tempestade")</f>
        <v>Traje de Tempestade</v>
      </c>
      <c r="V4" s="241"/>
      <c r="W4" s="241"/>
      <c r="X4" s="242"/>
      <c r="Y4" s="241" t="str">
        <f>IFERROR(__xludf.DUMMYFUNCTION("""COMPUTED_VALUE"""),"Tiara Rúnica")</f>
        <v>Tiara Rúnica</v>
      </c>
      <c r="Z4" s="241"/>
      <c r="AA4" s="241" t="str">
        <f>IFERROR(__xludf.DUMMYFUNCTION("""COMPUTED_VALUE"""),"Tiara Rúnica")</f>
        <v>Tiara Rúnica</v>
      </c>
      <c r="AB4" s="241"/>
      <c r="AC4" s="241" t="str">
        <f>IFERROR(__xludf.DUMMYFUNCTION("""COMPUTED_VALUE"""),"Elmo do Aventureiro")</f>
        <v>Elmo do Aventureiro</v>
      </c>
      <c r="AD4" s="241"/>
      <c r="AE4" s="241" t="str">
        <f>IFERROR(__xludf.DUMMYFUNCTION("""COMPUTED_VALUE"""),"Elmo do Aventureiro")</f>
        <v>Elmo do Aventureiro</v>
      </c>
      <c r="AF4" s="241"/>
      <c r="AG4" s="241" t="str">
        <f>IFERROR(__xludf.DUMMYFUNCTION("""COMPUTED_VALUE"""),"Tiara Rúnica")</f>
        <v>Tiara Rúnica</v>
      </c>
      <c r="AH4" s="241"/>
      <c r="AI4" s="241"/>
      <c r="AJ4" s="242"/>
    </row>
    <row r="5" hidden="1">
      <c r="A5" s="241" t="str">
        <f>IFERROR(__xludf.DUMMYFUNCTION("""COMPUTED_VALUE"""),"Evelyn")</f>
        <v>Evelyn</v>
      </c>
      <c r="B5" s="241"/>
      <c r="C5" s="241" t="str">
        <f>IFERROR(__xludf.DUMMYFUNCTION("""COMPUTED_VALUE"""),"Cetro Sagrado")</f>
        <v>Cetro Sagrado</v>
      </c>
      <c r="D5" s="241"/>
      <c r="E5" s="241" t="str">
        <f>IFERROR(__xludf.DUMMYFUNCTION("""COMPUTED_VALUE"""),"Voulgue da Lua")</f>
        <v>Voulgue da Lua</v>
      </c>
      <c r="F5" s="241"/>
      <c r="G5" s="241" t="str">
        <f>IFERROR(__xludf.DUMMYFUNCTION("""COMPUTED_VALUE"""),"Marca Abissal")</f>
        <v>Marca Abissal</v>
      </c>
      <c r="H5" s="241"/>
      <c r="I5" s="241" t="str">
        <f>IFERROR(__xludf.DUMMYFUNCTION("""COMPUTED_VALUE"""),"Evelyn")</f>
        <v>Evelyn</v>
      </c>
      <c r="J5" s="241"/>
      <c r="K5" s="241"/>
      <c r="L5" s="242"/>
      <c r="M5" s="241" t="str">
        <f>IFERROR(__xludf.DUMMYFUNCTION("""COMPUTED_VALUE"""),"Platemail de Aquiles")</f>
        <v>Platemail de Aquiles</v>
      </c>
      <c r="N5" s="241"/>
      <c r="O5" s="241" t="str">
        <f>IFERROR(__xludf.DUMMYFUNCTION("""COMPUTED_VALUE"""),"Toga do Bruxo ")</f>
        <v>Toga do Bruxo </v>
      </c>
      <c r="P5" s="241"/>
      <c r="Q5" s="241" t="str">
        <f>IFERROR(__xludf.DUMMYFUNCTION("""COMPUTED_VALUE"""),"Malha Eldritch")</f>
        <v>Malha Eldritch</v>
      </c>
      <c r="R5" s="241"/>
      <c r="S5" s="241" t="str">
        <f>IFERROR(__xludf.DUMMYFUNCTION("""COMPUTED_VALUE"""),"Malha Eldritch")</f>
        <v>Malha Eldritch</v>
      </c>
      <c r="T5" s="241"/>
      <c r="U5" s="241" t="str">
        <f>IFERROR(__xludf.DUMMYFUNCTION("""COMPUTED_VALUE"""),"Toga do Bruxo ")</f>
        <v>Toga do Bruxo </v>
      </c>
      <c r="V5" s="241"/>
      <c r="W5" s="241"/>
      <c r="X5" s="242"/>
      <c r="Y5" s="241" t="str">
        <f>IFERROR(__xludf.DUMMYFUNCTION("""COMPUTED_VALUE"""),"Coroa do trovão")</f>
        <v>Coroa do trovão</v>
      </c>
      <c r="Z5" s="241"/>
      <c r="AA5" s="241" t="str">
        <f>IFERROR(__xludf.DUMMYFUNCTION("""COMPUTED_VALUE"""),"Coroa do trovão")</f>
        <v>Coroa do trovão</v>
      </c>
      <c r="AB5" s="241"/>
      <c r="AC5" s="241" t="str">
        <f>IFERROR(__xludf.DUMMYFUNCTION("""COMPUTED_VALUE"""),"Elmo da Fênix")</f>
        <v>Elmo da Fênix</v>
      </c>
      <c r="AD5" s="241"/>
      <c r="AE5" s="241" t="str">
        <f>IFERROR(__xludf.DUMMYFUNCTION("""COMPUTED_VALUE"""),"Elmo da Fênix")</f>
        <v>Elmo da Fênix</v>
      </c>
      <c r="AF5" s="241"/>
      <c r="AG5" s="241" t="str">
        <f>IFERROR(__xludf.DUMMYFUNCTION("""COMPUTED_VALUE"""),"Coroa do trovão")</f>
        <v>Coroa do trovão</v>
      </c>
      <c r="AH5" s="241"/>
      <c r="AI5" s="241"/>
      <c r="AJ5" s="242"/>
    </row>
    <row r="6" hidden="1">
      <c r="A6" s="241" t="str">
        <f>IFERROR(__xludf.DUMMYFUNCTION("""COMPUTED_VALUE"""),"Olho de dragão")</f>
        <v>Olho de dragão</v>
      </c>
      <c r="B6" s="241"/>
      <c r="C6" s="241" t="str">
        <f>IFERROR(__xludf.DUMMYFUNCTION("""COMPUTED_VALUE"""),"Varinha Estelar")</f>
        <v>Varinha Estelar</v>
      </c>
      <c r="D6" s="241"/>
      <c r="E6" s="241" t="str">
        <f>IFERROR(__xludf.DUMMYFUNCTION("""COMPUTED_VALUE"""),"Espeto da Noite")</f>
        <v>Espeto da Noite</v>
      </c>
      <c r="F6" s="241"/>
      <c r="G6" s="241" t="str">
        <f>IFERROR(__xludf.DUMMYFUNCTION("""COMPUTED_VALUE"""),"Tempestuosa")</f>
        <v>Tempestuosa</v>
      </c>
      <c r="H6" s="241"/>
      <c r="I6" s="241" t="str">
        <f>IFERROR(__xludf.DUMMYFUNCTION("""COMPUTED_VALUE"""),"Olho de dragão")</f>
        <v>Olho de dragão</v>
      </c>
      <c r="J6" s="241"/>
      <c r="K6" s="241"/>
      <c r="L6" s="242"/>
      <c r="M6" s="241" t="str">
        <f>IFERROR(__xludf.DUMMYFUNCTION("""COMPUTED_VALUE"""),"Revestimento de Couro Pirata")</f>
        <v>Revestimento de Couro Pirata</v>
      </c>
      <c r="N6" s="241"/>
      <c r="O6" s="241" t="str">
        <f>IFERROR(__xludf.DUMMYFUNCTION("""COMPUTED_VALUE"""),"Life Vest")</f>
        <v>Life Vest</v>
      </c>
      <c r="P6" s="241"/>
      <c r="Q6" s="241" t="str">
        <f>IFERROR(__xludf.DUMMYFUNCTION("""COMPUTED_VALUE"""),"Fortaleza de Gaia")</f>
        <v>Fortaleza de Gaia</v>
      </c>
      <c r="R6" s="241"/>
      <c r="S6" s="241" t="str">
        <f>IFERROR(__xludf.DUMMYFUNCTION("""COMPUTED_VALUE"""),"Fortaleza de Gaia")</f>
        <v>Fortaleza de Gaia</v>
      </c>
      <c r="T6" s="241"/>
      <c r="U6" s="241" t="str">
        <f>IFERROR(__xludf.DUMMYFUNCTION("""COMPUTED_VALUE"""),"Life Vest")</f>
        <v>Life Vest</v>
      </c>
      <c r="V6" s="241"/>
      <c r="W6" s="241"/>
      <c r="X6" s="242"/>
      <c r="Y6" s="241" t="str">
        <f>IFERROR(__xludf.DUMMYFUNCTION("""COMPUTED_VALUE"""),"Acessório cobra")</f>
        <v>Acessório cobra</v>
      </c>
      <c r="Z6" s="241"/>
      <c r="AA6" s="241" t="str">
        <f>IFERROR(__xludf.DUMMYFUNCTION("""COMPUTED_VALUE"""),"Acessório cobra")</f>
        <v>Acessório cobra</v>
      </c>
      <c r="AB6" s="241"/>
      <c r="AC6" s="241" t="str">
        <f>IFERROR(__xludf.DUMMYFUNCTION("""COMPUTED_VALUE"""),"Elmo de Guerra de Lu Bu")</f>
        <v>Elmo de Guerra de Lu Bu</v>
      </c>
      <c r="AD6" s="241"/>
      <c r="AE6" s="241" t="str">
        <f>IFERROR(__xludf.DUMMYFUNCTION("""COMPUTED_VALUE"""),"Elmo de Guerra de Lu Bu")</f>
        <v>Elmo de Guerra de Lu Bu</v>
      </c>
      <c r="AF6" s="241"/>
      <c r="AG6" s="241" t="str">
        <f>IFERROR(__xludf.DUMMYFUNCTION("""COMPUTED_VALUE"""),"Acessório cobra")</f>
        <v>Acessório cobra</v>
      </c>
      <c r="AH6" s="241"/>
      <c r="AI6" s="241"/>
      <c r="AJ6" s="242"/>
    </row>
    <row r="7" hidden="1">
      <c r="A7" s="241" t="str">
        <f>IFERROR(__xludf.DUMMYFUNCTION("""COMPUTED_VALUE"""),"Besta de adamantium")</f>
        <v>Besta de adamantium</v>
      </c>
      <c r="B7" s="241"/>
      <c r="C7" s="241" t="str">
        <f>IFERROR(__xludf.DUMMYFUNCTION("""COMPUTED_VALUE"""),"Varinha Imperial")</f>
        <v>Varinha Imperial</v>
      </c>
      <c r="D7" s="241"/>
      <c r="E7" s="241" t="str">
        <f>IFERROR(__xludf.DUMMYFUNCTION("""COMPUTED_VALUE"""),"Raio Divino")</f>
        <v>Raio Divino</v>
      </c>
      <c r="F7" s="241"/>
      <c r="G7" s="241" t="str">
        <f>IFERROR(__xludf.DUMMYFUNCTION("""COMPUTED_VALUE"""),"Balmung")</f>
        <v>Balmung</v>
      </c>
      <c r="H7" s="241"/>
      <c r="I7" s="241" t="str">
        <f>IFERROR(__xludf.DUMMYFUNCTION("""COMPUTED_VALUE"""),"Besta de adamantium")</f>
        <v>Besta de adamantium</v>
      </c>
      <c r="J7" s="241"/>
      <c r="K7" s="241"/>
      <c r="L7" s="242"/>
      <c r="M7" s="241" t="str">
        <f>IFERROR(__xludf.DUMMYFUNCTION("""COMPUTED_VALUE"""),"Shadow Lurker")</f>
        <v>Shadow Lurker</v>
      </c>
      <c r="N7" s="241"/>
      <c r="O7" s="241" t="str">
        <f>IFERROR(__xludf.DUMMYFUNCTION("""COMPUTED_VALUE"""),"Toga Plásmica")</f>
        <v>Toga Plásmica</v>
      </c>
      <c r="P7" s="241"/>
      <c r="Q7" s="241" t="str">
        <f>IFERROR(__xludf.DUMMYFUNCTION("""COMPUTED_VALUE"""),"Armadura Dragônica")</f>
        <v>Armadura Dragônica</v>
      </c>
      <c r="R7" s="241"/>
      <c r="S7" s="241" t="str">
        <f>IFERROR(__xludf.DUMMYFUNCTION("""COMPUTED_VALUE"""),"Armadura Dragônica")</f>
        <v>Armadura Dragônica</v>
      </c>
      <c r="T7" s="241"/>
      <c r="U7" s="241" t="str">
        <f>IFERROR(__xludf.DUMMYFUNCTION("""COMPUTED_VALUE"""),"Toga Plásmica")</f>
        <v>Toga Plásmica</v>
      </c>
      <c r="V7" s="241"/>
      <c r="W7" s="241"/>
      <c r="X7" s="242"/>
      <c r="Y7" s="241" t="str">
        <f>IFERROR(__xludf.DUMMYFUNCTION("""COMPUTED_VALUE"""),"Face demoníaca")</f>
        <v>Face demoníaca</v>
      </c>
      <c r="Z7" s="241"/>
      <c r="AA7" s="241" t="str">
        <f>IFERROR(__xludf.DUMMYFUNCTION("""COMPUTED_VALUE"""),"Face demoníaca")</f>
        <v>Face demoníaca</v>
      </c>
      <c r="AB7" s="241"/>
      <c r="AC7" s="241" t="str">
        <f>IFERROR(__xludf.DUMMYFUNCTION("""COMPUTED_VALUE"""),"Elmo de Escamas de Dragão")</f>
        <v>Elmo de Escamas de Dragão</v>
      </c>
      <c r="AD7" s="241"/>
      <c r="AE7" s="241" t="str">
        <f>IFERROR(__xludf.DUMMYFUNCTION("""COMPUTED_VALUE"""),"Elmo de Escamas de Dragão")</f>
        <v>Elmo de Escamas de Dragão</v>
      </c>
      <c r="AF7" s="241"/>
      <c r="AG7" s="241" t="str">
        <f>IFERROR(__xludf.DUMMYFUNCTION("""COMPUTED_VALUE"""),"Face demoníaca")</f>
        <v>Face demoníaca</v>
      </c>
      <c r="AH7" s="241"/>
      <c r="AI7" s="241"/>
      <c r="AJ7" s="242"/>
    </row>
    <row r="8" hidden="1">
      <c r="A8" s="241" t="str">
        <f>IFERROR(__xludf.DUMMYFUNCTION("""COMPUTED_VALUE"""),"Besta de repetição")</f>
        <v>Besta de repetição</v>
      </c>
      <c r="B8" s="241"/>
      <c r="C8" s="241" t="str">
        <f>IFERROR(__xludf.DUMMYFUNCTION("""COMPUTED_VALUE"""),"Rei-Sol")</f>
        <v>Rei-Sol</v>
      </c>
      <c r="D8" s="241"/>
      <c r="E8" s="241" t="str">
        <f>IFERROR(__xludf.DUMMYFUNCTION("""COMPUTED_VALUE"""),"Pique Fangtiano")</f>
        <v>Pique Fangtiano</v>
      </c>
      <c r="F8" s="241"/>
      <c r="G8" s="241" t="str">
        <f>IFERROR(__xludf.DUMMYFUNCTION("""COMPUTED_VALUE"""),"Mata-Dragão")</f>
        <v>Mata-Dragão</v>
      </c>
      <c r="H8" s="241"/>
      <c r="I8" s="241" t="str">
        <f>IFERROR(__xludf.DUMMYFUNCTION("""COMPUTED_VALUE"""),"Besta de repetição")</f>
        <v>Besta de repetição</v>
      </c>
      <c r="J8" s="241"/>
      <c r="K8" s="241"/>
      <c r="L8" s="242"/>
      <c r="M8" s="241" t="str">
        <f>IFERROR(__xludf.DUMMYFUNCTION("""COMPUTED_VALUE"""),"Pele de Dragão")</f>
        <v>Pele de Dragão</v>
      </c>
      <c r="N8" s="241"/>
      <c r="O8" s="241" t="str">
        <f>IFERROR(__xludf.DUMMYFUNCTION("""COMPUTED_VALUE"""),"Toga do Arquimago")</f>
        <v>Toga do Arquimago</v>
      </c>
      <c r="P8" s="241"/>
      <c r="Q8" s="241" t="str">
        <f>IFERROR(__xludf.DUMMYFUNCTION("""COMPUTED_VALUE"""),"Malha da Terra")</f>
        <v>Malha da Terra</v>
      </c>
      <c r="R8" s="241"/>
      <c r="S8" s="241" t="str">
        <f>IFERROR(__xludf.DUMMYFUNCTION("""COMPUTED_VALUE"""),"Malha da Terra")</f>
        <v>Malha da Terra</v>
      </c>
      <c r="T8" s="241"/>
      <c r="U8" s="241" t="str">
        <f>IFERROR(__xludf.DUMMYFUNCTION("""COMPUTED_VALUE"""),"Toga do Arquimago")</f>
        <v>Toga do Arquimago</v>
      </c>
      <c r="V8" s="241"/>
      <c r="W8" s="241"/>
      <c r="X8" s="242"/>
      <c r="Y8" s="241" t="str">
        <f>IFERROR(__xludf.DUMMYFUNCTION("""COMPUTED_VALUE"""),"Diadema Condenado")</f>
        <v>Diadema Condenado</v>
      </c>
      <c r="Z8" s="241"/>
      <c r="AA8" s="241" t="str">
        <f>IFERROR(__xludf.DUMMYFUNCTION("""COMPUTED_VALUE"""),"Diadema Condenado")</f>
        <v>Diadema Condenado</v>
      </c>
      <c r="AB8" s="241"/>
      <c r="AC8" s="241" t="str">
        <f>IFERROR(__xludf.DUMMYFUNCTION("""COMPUTED_VALUE"""),"Coroa de Korra")</f>
        <v>Coroa de Korra</v>
      </c>
      <c r="AD8" s="241"/>
      <c r="AE8" s="241" t="str">
        <f>IFERROR(__xludf.DUMMYFUNCTION("""COMPUTED_VALUE"""),"Coroa de Korra")</f>
        <v>Coroa de Korra</v>
      </c>
      <c r="AF8" s="241"/>
      <c r="AG8" s="241" t="str">
        <f>IFERROR(__xludf.DUMMYFUNCTION("""COMPUTED_VALUE"""),"Diadema Condenado")</f>
        <v>Diadema Condenado</v>
      </c>
      <c r="AH8" s="241"/>
      <c r="AI8" s="241"/>
      <c r="AJ8" s="242"/>
    </row>
    <row r="9" hidden="1">
      <c r="A9" s="241" t="str">
        <f>IFERROR(__xludf.DUMMYFUNCTION("""COMPUTED_VALUE"""),"Arco dos elfos")</f>
        <v>Arco dos elfos</v>
      </c>
      <c r="B9" s="241"/>
      <c r="C9" s="241" t="str">
        <f>IFERROR(__xludf.DUMMYFUNCTION("""COMPUTED_VALUE"""),"Montagem das fadas")</f>
        <v>Montagem das fadas</v>
      </c>
      <c r="D9" s="241"/>
      <c r="E9" s="241" t="str">
        <f>IFERROR(__xludf.DUMMYFUNCTION("""COMPUTED_VALUE"""),"Alabarda de Obsidiana")</f>
        <v>Alabarda de Obsidiana</v>
      </c>
      <c r="F9" s="241"/>
      <c r="G9" s="241" t="str">
        <f>IFERROR(__xludf.DUMMYFUNCTION("""COMPUTED_VALUE"""),"Lâmina do Fogo-gelo")</f>
        <v>Lâmina do Fogo-gelo</v>
      </c>
      <c r="H9" s="241"/>
      <c r="I9" s="241" t="str">
        <f>IFERROR(__xludf.DUMMYFUNCTION("""COMPUTED_VALUE"""),"Arco dos elfos")</f>
        <v>Arco dos elfos</v>
      </c>
      <c r="J9" s="241"/>
      <c r="K9" s="241"/>
      <c r="L9" s="242"/>
      <c r="M9" s="241" t="str">
        <f>IFERROR(__xludf.DUMMYFUNCTION("""COMPUTED_VALUE"""),"Vampire Hunter")</f>
        <v>Vampire Hunter</v>
      </c>
      <c r="N9" s="241"/>
      <c r="O9" s="241" t="str">
        <f>IFERROR(__xludf.DUMMYFUNCTION("""COMPUTED_VALUE"""),"Veste do Dragão ")</f>
        <v>Veste do Dragão </v>
      </c>
      <c r="P9" s="241"/>
      <c r="Q9" s="241" t="str">
        <f>IFERROR(__xludf.DUMMYFUNCTION("""COMPUTED_VALUE"""),"Armadura do Oráculo")</f>
        <v>Armadura do Oráculo</v>
      </c>
      <c r="R9" s="241"/>
      <c r="S9" s="241" t="str">
        <f>IFERROR(__xludf.DUMMYFUNCTION("""COMPUTED_VALUE"""),"Armadura do Oráculo")</f>
        <v>Armadura do Oráculo</v>
      </c>
      <c r="T9" s="241"/>
      <c r="U9" s="241" t="str">
        <f>IFERROR(__xludf.DUMMYFUNCTION("""COMPUTED_VALUE"""),"Veste do Dragão ")</f>
        <v>Veste do Dragão </v>
      </c>
      <c r="V9" s="241"/>
      <c r="W9" s="241"/>
      <c r="X9" s="242"/>
      <c r="Y9" s="241" t="str">
        <f>IFERROR(__xludf.DUMMYFUNCTION("""COMPUTED_VALUE"""),"Medley Floral")</f>
        <v>Medley Floral</v>
      </c>
      <c r="Z9" s="241"/>
      <c r="AA9" s="241" t="str">
        <f>IFERROR(__xludf.DUMMYFUNCTION("""COMPUTED_VALUE"""),"Medley Floral")</f>
        <v>Medley Floral</v>
      </c>
      <c r="AB9" s="241"/>
      <c r="AC9" s="241" t="str">
        <f>IFERROR(__xludf.DUMMYFUNCTION("""COMPUTED_VALUE"""),"Elmo de Adamantium")</f>
        <v>Elmo de Adamantium</v>
      </c>
      <c r="AD9" s="241"/>
      <c r="AE9" s="241" t="str">
        <f>IFERROR(__xludf.DUMMYFUNCTION("""COMPUTED_VALUE"""),"Elmo de Adamantium")</f>
        <v>Elmo de Adamantium</v>
      </c>
      <c r="AF9" s="241"/>
      <c r="AG9" s="241" t="str">
        <f>IFERROR(__xludf.DUMMYFUNCTION("""COMPUTED_VALUE"""),"Medley Floral")</f>
        <v>Medley Floral</v>
      </c>
      <c r="AH9" s="241"/>
      <c r="AI9" s="241"/>
      <c r="AJ9" s="242"/>
    </row>
    <row r="10" hidden="1">
      <c r="A10" s="241" t="str">
        <f>IFERROR(__xludf.DUMMYFUNCTION("""COMPUTED_VALUE"""),"Arco do deus do sol")</f>
        <v>Arco do deus do sol</v>
      </c>
      <c r="B10" s="241"/>
      <c r="C10" s="241" t="str">
        <f>IFERROR(__xludf.DUMMYFUNCTION("""COMPUTED_VALUE"""),"Guardião das almas")</f>
        <v>Guardião das almas</v>
      </c>
      <c r="D10" s="241"/>
      <c r="E10" s="241" t="str">
        <f>IFERROR(__xludf.DUMMYFUNCTION("""COMPUTED_VALUE"""),"Tridente Primordial")</f>
        <v>Tridente Primordial</v>
      </c>
      <c r="F10" s="241"/>
      <c r="G10" s="241" t="str">
        <f>IFERROR(__xludf.DUMMYFUNCTION("""COMPUTED_VALUE"""),"Durindana")</f>
        <v>Durindana</v>
      </c>
      <c r="H10" s="241"/>
      <c r="I10" s="241" t="str">
        <f>IFERROR(__xludf.DUMMYFUNCTION("""COMPUTED_VALUE"""),"Arco do deus do sol")</f>
        <v>Arco do deus do sol</v>
      </c>
      <c r="J10" s="241"/>
      <c r="K10" s="241"/>
      <c r="L10" s="242"/>
      <c r="M10" s="241" t="str">
        <f>IFERROR(__xludf.DUMMYFUNCTION("""COMPUTED_VALUE"""),"Couro do Oceano")</f>
        <v>Couro do Oceano</v>
      </c>
      <c r="N10" s="241"/>
      <c r="O10" s="241" t="str">
        <f>IFERROR(__xludf.DUMMYFUNCTION("""COMPUTED_VALUE"""),"Dublê de Mago")</f>
        <v>Dublê de Mago</v>
      </c>
      <c r="P10" s="241"/>
      <c r="Q10" s="241" t="str">
        <f>IFERROR(__xludf.DUMMYFUNCTION("""COMPUTED_VALUE"""),"Malha negra")</f>
        <v>Malha negra</v>
      </c>
      <c r="R10" s="241"/>
      <c r="S10" s="241" t="str">
        <f>IFERROR(__xludf.DUMMYFUNCTION("""COMPUTED_VALUE"""),"Malha negra")</f>
        <v>Malha negra</v>
      </c>
      <c r="T10" s="241"/>
      <c r="U10" s="241" t="str">
        <f>IFERROR(__xludf.DUMMYFUNCTION("""COMPUTED_VALUE"""),"Dublê de Mago")</f>
        <v>Dublê de Mago</v>
      </c>
      <c r="V10" s="241"/>
      <c r="W10" s="241"/>
      <c r="X10" s="242"/>
      <c r="Y10" s="241" t="str">
        <f>IFERROR(__xludf.DUMMYFUNCTION("""COMPUTED_VALUE"""),"Capuz do cultista")</f>
        <v>Capuz do cultista</v>
      </c>
      <c r="Z10" s="241"/>
      <c r="AA10" s="241" t="str">
        <f>IFERROR(__xludf.DUMMYFUNCTION("""COMPUTED_VALUE"""),"Capuz do cultista")</f>
        <v>Capuz do cultista</v>
      </c>
      <c r="AB10" s="241"/>
      <c r="AC10" s="241" t="str">
        <f>IFERROR(__xludf.DUMMYFUNCTION("""COMPUTED_VALUE"""),"Barbuta de Fogo-Gelo")</f>
        <v>Barbuta de Fogo-Gelo</v>
      </c>
      <c r="AD10" s="241"/>
      <c r="AE10" s="241" t="str">
        <f>IFERROR(__xludf.DUMMYFUNCTION("""COMPUTED_VALUE"""),"Barbuta de Fogo-Gelo")</f>
        <v>Barbuta de Fogo-Gelo</v>
      </c>
      <c r="AF10" s="241"/>
      <c r="AG10" s="241" t="str">
        <f>IFERROR(__xludf.DUMMYFUNCTION("""COMPUTED_VALUE"""),"Capuz do cultista")</f>
        <v>Capuz do cultista</v>
      </c>
      <c r="AH10" s="241"/>
      <c r="AI10" s="241"/>
      <c r="AJ10" s="242"/>
    </row>
    <row r="11" hidden="1">
      <c r="A11" s="241" t="str">
        <f>IFERROR(__xludf.DUMMYFUNCTION("""COMPUTED_VALUE"""),"Fura-Vento")</f>
        <v>Fura-Vento</v>
      </c>
      <c r="B11" s="241"/>
      <c r="C11" s="241" t="str">
        <f>IFERROR(__xludf.DUMMYFUNCTION("""COMPUTED_VALUE"""),"Varinha estilhaçada")</f>
        <v>Varinha estilhaçada</v>
      </c>
      <c r="D11" s="241"/>
      <c r="E11" s="241" t="str">
        <f>IFERROR(__xludf.DUMMYFUNCTION("""COMPUTED_VALUE"""),"Gungnir")</f>
        <v>Gungnir</v>
      </c>
      <c r="F11" s="241"/>
      <c r="G11" s="241" t="str">
        <f>IFERROR(__xludf.DUMMYFUNCTION("""COMPUTED_VALUE"""),"Cyberblade da Internet")</f>
        <v>Cyberblade da Internet</v>
      </c>
      <c r="H11" s="241"/>
      <c r="I11" s="241" t="str">
        <f>IFERROR(__xludf.DUMMYFUNCTION("""COMPUTED_VALUE"""),"Fura-Vento")</f>
        <v>Fura-Vento</v>
      </c>
      <c r="J11" s="241"/>
      <c r="K11" s="241"/>
      <c r="L11" s="242"/>
      <c r="M11" s="241" t="str">
        <f>IFERROR(__xludf.DUMMYFUNCTION("""COMPUTED_VALUE"""),"Colete Místico")</f>
        <v>Colete Místico</v>
      </c>
      <c r="N11" s="241"/>
      <c r="O11" s="241" t="str">
        <f>IFERROR(__xludf.DUMMYFUNCTION("""COMPUTED_VALUE"""),"Holy Tunic")</f>
        <v>Holy Tunic</v>
      </c>
      <c r="P11" s="241"/>
      <c r="Q11" s="241" t="str">
        <f>IFERROR(__xludf.DUMMYFUNCTION("""COMPUTED_VALUE"""),"Wyvern Plate")</f>
        <v>Wyvern Plate</v>
      </c>
      <c r="R11" s="241"/>
      <c r="S11" s="241" t="str">
        <f>IFERROR(__xludf.DUMMYFUNCTION("""COMPUTED_VALUE"""),"Wyvern Plate")</f>
        <v>Wyvern Plate</v>
      </c>
      <c r="T11" s="241"/>
      <c r="U11" s="241" t="str">
        <f>IFERROR(__xludf.DUMMYFUNCTION("""COMPUTED_VALUE"""),"Holy Tunic")</f>
        <v>Holy Tunic</v>
      </c>
      <c r="V11" s="241"/>
      <c r="W11" s="241"/>
      <c r="X11" s="242"/>
      <c r="Y11" s="241" t="str">
        <f>IFERROR(__xludf.DUMMYFUNCTION("""COMPUTED_VALUE"""),"Chapéu Ártico")</f>
        <v>Chapéu Ártico</v>
      </c>
      <c r="Z11" s="241"/>
      <c r="AA11" s="241" t="str">
        <f>IFERROR(__xludf.DUMMYFUNCTION("""COMPUTED_VALUE"""),"Chapéu Ártico")</f>
        <v>Chapéu Ártico</v>
      </c>
      <c r="AB11" s="241"/>
      <c r="AC11" s="241" t="str">
        <f>IFERROR(__xludf.DUMMYFUNCTION("""COMPUTED_VALUE"""),"Inteligência Artifical")</f>
        <v>Inteligência Artifical</v>
      </c>
      <c r="AD11" s="241"/>
      <c r="AE11" s="241" t="str">
        <f>IFERROR(__xludf.DUMMYFUNCTION("""COMPUTED_VALUE"""),"Inteligência Artifical")</f>
        <v>Inteligência Artifical</v>
      </c>
      <c r="AF11" s="241"/>
      <c r="AG11" s="241" t="str">
        <f>IFERROR(__xludf.DUMMYFUNCTION("""COMPUTED_VALUE"""),"Chapéu Ártico")</f>
        <v>Chapéu Ártico</v>
      </c>
      <c r="AH11" s="241"/>
      <c r="AI11" s="241"/>
      <c r="AJ11" s="242"/>
    </row>
    <row r="12" hidden="1">
      <c r="A12" s="241" t="str">
        <f>IFERROR(__xludf.DUMMYFUNCTION("""COMPUTED_VALUE"""),"Assassino licantropo")</f>
        <v>Assassino licantropo</v>
      </c>
      <c r="B12" s="241"/>
      <c r="C12" s="241" t="str">
        <f>IFERROR(__xludf.DUMMYFUNCTION("""COMPUTED_VALUE"""),"Cajado necormante")</f>
        <v>Cajado necormante</v>
      </c>
      <c r="D12" s="241"/>
      <c r="E12" s="241" t="str">
        <f>IFERROR(__xludf.DUMMYFUNCTION("""COMPUTED_VALUE"""),"Perfurador Abrasador")</f>
        <v>Perfurador Abrasador</v>
      </c>
      <c r="F12" s="241"/>
      <c r="G12" s="241" t="str">
        <f>IFERROR(__xludf.DUMMYFUNCTION("""COMPUTED_VALUE"""),"Skofnung")</f>
        <v>Skofnung</v>
      </c>
      <c r="H12" s="241"/>
      <c r="I12" s="241" t="str">
        <f>IFERROR(__xludf.DUMMYFUNCTION("""COMPUTED_VALUE"""),"Assassino licantropo")</f>
        <v>Assassino licantropo</v>
      </c>
      <c r="J12" s="241"/>
      <c r="K12" s="241"/>
      <c r="L12" s="242"/>
      <c r="M12" s="241" t="str">
        <f>IFERROR(__xludf.DUMMYFUNCTION("""COMPUTED_VALUE"""),"Esmeralda Marcha")</f>
        <v>Esmeralda Marcha</v>
      </c>
      <c r="N12" s="241"/>
      <c r="O12" s="241" t="str">
        <f>IFERROR(__xludf.DUMMYFUNCTION("""COMPUTED_VALUE"""),"Toga da Alvorada")</f>
        <v>Toga da Alvorada</v>
      </c>
      <c r="P12" s="241"/>
      <c r="Q12" s="241" t="str">
        <f>IFERROR(__xludf.DUMMYFUNCTION("""COMPUTED_VALUE"""),"Guaxinim Guardião")</f>
        <v>Guaxinim Guardião</v>
      </c>
      <c r="R12" s="241"/>
      <c r="S12" s="241" t="str">
        <f>IFERROR(__xludf.DUMMYFUNCTION("""COMPUTED_VALUE"""),"Guaxinim Guardião")</f>
        <v>Guaxinim Guardião</v>
      </c>
      <c r="T12" s="241"/>
      <c r="U12" s="241" t="str">
        <f>IFERROR(__xludf.DUMMYFUNCTION("""COMPUTED_VALUE"""),"Toga da Alvorada")</f>
        <v>Toga da Alvorada</v>
      </c>
      <c r="V12" s="241"/>
      <c r="W12" s="241"/>
      <c r="X12" s="242"/>
      <c r="Y12" s="241" t="str">
        <f>IFERROR(__xludf.DUMMYFUNCTION("""COMPUTED_VALUE"""),"Tiara real")</f>
        <v>Tiara real</v>
      </c>
      <c r="Z12" s="241"/>
      <c r="AA12" s="241" t="str">
        <f>IFERROR(__xludf.DUMMYFUNCTION("""COMPUTED_VALUE"""),"Tiara real")</f>
        <v>Tiara real</v>
      </c>
      <c r="AB12" s="241"/>
      <c r="AC12" s="241" t="str">
        <f>IFERROR(__xludf.DUMMYFUNCTION("""COMPUTED_VALUE"""),"Elmo de Jade")</f>
        <v>Elmo de Jade</v>
      </c>
      <c r="AD12" s="241"/>
      <c r="AE12" s="241" t="str">
        <f>IFERROR(__xludf.DUMMYFUNCTION("""COMPUTED_VALUE"""),"Elmo de Jade")</f>
        <v>Elmo de Jade</v>
      </c>
      <c r="AF12" s="241"/>
      <c r="AG12" s="241" t="str">
        <f>IFERROR(__xludf.DUMMYFUNCTION("""COMPUTED_VALUE"""),"Tiara real")</f>
        <v>Tiara real</v>
      </c>
      <c r="AH12" s="241"/>
      <c r="AI12" s="241"/>
      <c r="AJ12" s="242"/>
    </row>
    <row r="13" hidden="1">
      <c r="A13" s="241" t="str">
        <f>IFERROR(__xludf.DUMMYFUNCTION("""COMPUTED_VALUE"""),"Arco de Artemisa")</f>
        <v>Arco de Artemisa</v>
      </c>
      <c r="B13" s="241"/>
      <c r="C13" s="241" t="str">
        <f>IFERROR(__xludf.DUMMYFUNCTION("""COMPUTED_VALUE"""),"Luna")</f>
        <v>Luna</v>
      </c>
      <c r="D13" s="241"/>
      <c r="E13" s="241" t="str">
        <f>IFERROR(__xludf.DUMMYFUNCTION("""COMPUTED_VALUE"""),"Rebelião")</f>
        <v>Rebelião</v>
      </c>
      <c r="F13" s="241"/>
      <c r="G13" s="241" t="str">
        <f>IFERROR(__xludf.DUMMYFUNCTION("""COMPUTED_VALUE"""),"Olhar Sinistro")</f>
        <v>Olhar Sinistro</v>
      </c>
      <c r="H13" s="241"/>
      <c r="I13" s="241" t="str">
        <f>IFERROR(__xludf.DUMMYFUNCTION("""COMPUTED_VALUE"""),"Arco de Artemisa")</f>
        <v>Arco de Artemisa</v>
      </c>
      <c r="J13" s="241"/>
      <c r="K13" s="241"/>
      <c r="L13" s="242"/>
      <c r="M13" s="241" t="str">
        <f>IFERROR(__xludf.DUMMYFUNCTION("""COMPUTED_VALUE"""),"Corvo Negro")</f>
        <v>Corvo Negro</v>
      </c>
      <c r="N13" s="241"/>
      <c r="O13" s="241" t="str">
        <f>IFERROR(__xludf.DUMMYFUNCTION("""COMPUTED_VALUE"""),"Celtic Coat")</f>
        <v>Celtic Coat</v>
      </c>
      <c r="P13" s="241"/>
      <c r="Q13" s="241" t="str">
        <f>IFERROR(__xludf.DUMMYFUNCTION("""COMPUTED_VALUE"""),"Veste Revestida")</f>
        <v>Veste Revestida</v>
      </c>
      <c r="R13" s="241"/>
      <c r="S13" s="241" t="str">
        <f>IFERROR(__xludf.DUMMYFUNCTION("""COMPUTED_VALUE"""),"Veste Revestida")</f>
        <v>Veste Revestida</v>
      </c>
      <c r="T13" s="241"/>
      <c r="U13" s="241" t="str">
        <f>IFERROR(__xludf.DUMMYFUNCTION("""COMPUTED_VALUE"""),"Celtic Coat")</f>
        <v>Celtic Coat</v>
      </c>
      <c r="V13" s="241"/>
      <c r="W13" s="241"/>
      <c r="X13" s="242"/>
      <c r="Y13" s="241" t="str">
        <f>IFERROR(__xludf.DUMMYFUNCTION("""COMPUTED_VALUE"""),"Coroa do subterrâneo")</f>
        <v>Coroa do subterrâneo</v>
      </c>
      <c r="Z13" s="241"/>
      <c r="AA13" s="241" t="str">
        <f>IFERROR(__xludf.DUMMYFUNCTION("""COMPUTED_VALUE"""),"Coroa do subterrâneo")</f>
        <v>Coroa do subterrâneo</v>
      </c>
      <c r="AB13" s="241"/>
      <c r="AC13" s="241" t="str">
        <f>IFERROR(__xludf.DUMMYFUNCTION("""COMPUTED_VALUE"""),"Viper Headdress")</f>
        <v>Viper Headdress</v>
      </c>
      <c r="AD13" s="241"/>
      <c r="AE13" s="241" t="str">
        <f>IFERROR(__xludf.DUMMYFUNCTION("""COMPUTED_VALUE"""),"Viper Headdress")</f>
        <v>Viper Headdress</v>
      </c>
      <c r="AF13" s="241"/>
      <c r="AG13" s="241" t="str">
        <f>IFERROR(__xludf.DUMMYFUNCTION("""COMPUTED_VALUE"""),"Coroa do subterrâneo")</f>
        <v>Coroa do subterrâneo</v>
      </c>
      <c r="AH13" s="241"/>
      <c r="AI13" s="241"/>
      <c r="AJ13" s="242"/>
    </row>
    <row r="14" hidden="1">
      <c r="A14" s="241" t="str">
        <f>IFERROR(__xludf.DUMMYFUNCTION("""COMPUTED_VALUE"""),"Meteoros")</f>
        <v>Meteoros</v>
      </c>
      <c r="B14" s="241"/>
      <c r="C14" s="241" t="str">
        <f>IFERROR(__xludf.DUMMYFUNCTION("""COMPUTED_VALUE"""),"Cetro da Pixie")</f>
        <v>Cetro da Pixie</v>
      </c>
      <c r="D14" s="241"/>
      <c r="E14" s="241" t="str">
        <f>IFERROR(__xludf.DUMMYFUNCTION("""COMPUTED_VALUE"""),"Scorpion Tail")</f>
        <v>Scorpion Tail</v>
      </c>
      <c r="F14" s="241"/>
      <c r="G14" s="241" t="str">
        <f>IFERROR(__xludf.DUMMYFUNCTION("""COMPUTED_VALUE"""),"Ponta Perseguidora")</f>
        <v>Ponta Perseguidora</v>
      </c>
      <c r="H14" s="241"/>
      <c r="I14" s="241" t="str">
        <f>IFERROR(__xludf.DUMMYFUNCTION("""COMPUTED_VALUE"""),"Meteoros")</f>
        <v>Meteoros</v>
      </c>
      <c r="J14" s="241"/>
      <c r="K14" s="241"/>
      <c r="L14" s="242"/>
      <c r="M14" s="241" t="str">
        <f>IFERROR(__xludf.DUMMYFUNCTION("""COMPUTED_VALUE"""),"Couraça Real")</f>
        <v>Couraça Real</v>
      </c>
      <c r="N14" s="241"/>
      <c r="O14" s="241"/>
      <c r="P14" s="241"/>
      <c r="Q14" s="241" t="str">
        <f>IFERROR(__xludf.DUMMYFUNCTION("""COMPUTED_VALUE"""),"Couro com óleo")</f>
        <v>Couro com óleo</v>
      </c>
      <c r="R14" s="241"/>
      <c r="S14" s="241" t="str">
        <f>IFERROR(__xludf.DUMMYFUNCTION("""COMPUTED_VALUE"""),"Couro com óleo")</f>
        <v>Couro com óleo</v>
      </c>
      <c r="T14" s="241"/>
      <c r="U14" s="241"/>
      <c r="V14" s="241"/>
      <c r="W14" s="241"/>
      <c r="X14" s="242"/>
      <c r="Y14" s="241" t="str">
        <f>IFERROR(__xludf.DUMMYFUNCTION("""COMPUTED_VALUE"""),"Chapéu Carangueijo")</f>
        <v>Chapéu Carangueijo</v>
      </c>
      <c r="Z14" s="241"/>
      <c r="AA14" s="241" t="str">
        <f>IFERROR(__xludf.DUMMYFUNCTION("""COMPUTED_VALUE"""),"Chapéu Carangueijo")</f>
        <v>Chapéu Carangueijo</v>
      </c>
      <c r="AB14" s="241"/>
      <c r="AC14" s="241" t="str">
        <f>IFERROR(__xludf.DUMMYFUNCTION("""COMPUTED_VALUE"""),"Coroa Serrilhada")</f>
        <v>Coroa Serrilhada</v>
      </c>
      <c r="AD14" s="241"/>
      <c r="AE14" s="241" t="str">
        <f>IFERROR(__xludf.DUMMYFUNCTION("""COMPUTED_VALUE"""),"Coroa Serrilhada")</f>
        <v>Coroa Serrilhada</v>
      </c>
      <c r="AF14" s="241"/>
      <c r="AG14" s="241" t="str">
        <f>IFERROR(__xludf.DUMMYFUNCTION("""COMPUTED_VALUE"""),"Chapéu Carangueijo")</f>
        <v>Chapéu Carangueijo</v>
      </c>
      <c r="AH14" s="241"/>
      <c r="AI14" s="241"/>
      <c r="AJ14" s="242"/>
    </row>
    <row r="15" hidden="1">
      <c r="A15" s="241" t="str">
        <f>IFERROR(__xludf.DUMMYFUNCTION("""COMPUTED_VALUE"""),"Fúria da Natureza")</f>
        <v>Fúria da Natureza</v>
      </c>
      <c r="B15" s="241"/>
      <c r="C15" s="241" t="str">
        <f>IFERROR(__xludf.DUMMYFUNCTION("""COMPUTED_VALUE"""),"Adaga Branca")</f>
        <v>Adaga Branca</v>
      </c>
      <c r="D15" s="241"/>
      <c r="E15" s="241" t="str">
        <f>IFERROR(__xludf.DUMMYFUNCTION("""COMPUTED_VALUE"""),"Tiamat")</f>
        <v>Tiamat</v>
      </c>
      <c r="F15" s="241"/>
      <c r="G15" s="241" t="str">
        <f>IFERROR(__xludf.DUMMYFUNCTION("""COMPUTED_VALUE"""),"Ponta de Veneno")</f>
        <v>Ponta de Veneno</v>
      </c>
      <c r="H15" s="241"/>
      <c r="I15" s="241" t="str">
        <f>IFERROR(__xludf.DUMMYFUNCTION("""COMPUTED_VALUE"""),"Fúria da Natureza")</f>
        <v>Fúria da Natureza</v>
      </c>
      <c r="J15" s="241"/>
      <c r="K15" s="241"/>
      <c r="L15" s="242"/>
      <c r="M15" s="241" t="str">
        <f>IFERROR(__xludf.DUMMYFUNCTION("""COMPUTED_VALUE"""),"Invincible Scales")</f>
        <v>Invincible Scales</v>
      </c>
      <c r="N15" s="241"/>
      <c r="O15" s="241"/>
      <c r="P15" s="241"/>
      <c r="Q15" s="241" t="str">
        <f>IFERROR(__xludf.DUMMYFUNCTION("""COMPUTED_VALUE"""),"Pele de Serpente")</f>
        <v>Pele de Serpente</v>
      </c>
      <c r="R15" s="241"/>
      <c r="S15" s="241" t="str">
        <f>IFERROR(__xludf.DUMMYFUNCTION("""COMPUTED_VALUE"""),"Pele de Serpente")</f>
        <v>Pele de Serpente</v>
      </c>
      <c r="T15" s="241"/>
      <c r="U15" s="241"/>
      <c r="V15" s="241"/>
      <c r="W15" s="241"/>
      <c r="X15" s="242"/>
      <c r="Y15" s="241" t="str">
        <f>IFERROR(__xludf.DUMMYFUNCTION("""COMPUTED_VALUE"""),"Capô de Guerra")</f>
        <v>Capô de Guerra</v>
      </c>
      <c r="Z15" s="241"/>
      <c r="AA15" s="241" t="str">
        <f>IFERROR(__xludf.DUMMYFUNCTION("""COMPUTED_VALUE"""),"Capô de Guerra")</f>
        <v>Capô de Guerra</v>
      </c>
      <c r="AB15" s="241"/>
      <c r="AC15" s="241"/>
      <c r="AD15" s="241"/>
      <c r="AE15" s="241"/>
      <c r="AF15" s="241"/>
      <c r="AG15" s="241" t="str">
        <f>IFERROR(__xludf.DUMMYFUNCTION("""COMPUTED_VALUE"""),"Capô de Guerra")</f>
        <v>Capô de Guerra</v>
      </c>
      <c r="AH15" s="241"/>
      <c r="AI15" s="241"/>
      <c r="AJ15" s="242"/>
    </row>
    <row r="16" hidden="1">
      <c r="A16" s="241" t="str">
        <f>IFERROR(__xludf.DUMMYFUNCTION("""COMPUTED_VALUE"""),"Adaga Branca")</f>
        <v>Adaga Branca</v>
      </c>
      <c r="B16" s="241"/>
      <c r="C16" s="241" t="str">
        <f>IFERROR(__xludf.DUMMYFUNCTION("""COMPUTED_VALUE"""),"Coração Rubro")</f>
        <v>Coração Rubro</v>
      </c>
      <c r="D16" s="241"/>
      <c r="E16" s="241" t="str">
        <f>IFERROR(__xludf.DUMMYFUNCTION("""COMPUTED_VALUE"""),"Machado de Berserker")</f>
        <v>Machado de Berserker</v>
      </c>
      <c r="F16" s="241"/>
      <c r="G16" s="241" t="str">
        <f>IFERROR(__xludf.DUMMYFUNCTION("""COMPUTED_VALUE"""),"Lança Pesca")</f>
        <v>Lança Pesca</v>
      </c>
      <c r="H16" s="241"/>
      <c r="I16" s="241" t="str">
        <f>IFERROR(__xludf.DUMMYFUNCTION("""COMPUTED_VALUE"""),"Cajado do bispo")</f>
        <v>Cajado do bispo</v>
      </c>
      <c r="J16" s="241"/>
      <c r="K16" s="241"/>
      <c r="L16" s="242"/>
      <c r="M16" s="241"/>
      <c r="N16" s="241"/>
      <c r="O16" s="241"/>
      <c r="P16" s="241"/>
      <c r="Q16" s="241" t="str">
        <f>IFERROR(__xludf.DUMMYFUNCTION("""COMPUTED_VALUE"""),"Platemail de Aquiles")</f>
        <v>Platemail de Aquiles</v>
      </c>
      <c r="R16" s="241"/>
      <c r="S16" s="241" t="str">
        <f>IFERROR(__xludf.DUMMYFUNCTION("""COMPUTED_VALUE"""),"Platemail de Aquiles")</f>
        <v>Platemail de Aquiles</v>
      </c>
      <c r="T16" s="241"/>
      <c r="U16" s="241"/>
      <c r="V16" s="241"/>
      <c r="W16" s="241"/>
      <c r="X16" s="242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2"/>
    </row>
    <row r="17" hidden="1">
      <c r="A17" s="241" t="str">
        <f>IFERROR(__xludf.DUMMYFUNCTION("""COMPUTED_VALUE"""),"Coração Rubro")</f>
        <v>Coração Rubro</v>
      </c>
      <c r="B17" s="241"/>
      <c r="C17" s="241" t="str">
        <f>IFERROR(__xludf.DUMMYFUNCTION("""COMPUTED_VALUE"""),"Katar Fantasma")</f>
        <v>Katar Fantasma</v>
      </c>
      <c r="D17" s="241"/>
      <c r="E17" s="241" t="str">
        <f>IFERROR(__xludf.DUMMYFUNCTION("""COMPUTED_VALUE"""),"Presa Afiada")</f>
        <v>Presa Afiada</v>
      </c>
      <c r="F17" s="241"/>
      <c r="G17" s="241" t="str">
        <f>IFERROR(__xludf.DUMMYFUNCTION("""COMPUTED_VALUE"""),"Garfo de prata")</f>
        <v>Garfo de prata</v>
      </c>
      <c r="H17" s="241"/>
      <c r="I17" s="241" t="str">
        <f>IFERROR(__xludf.DUMMYFUNCTION("""COMPUTED_VALUE"""),"Begala do faraó")</f>
        <v>Begala do faraó</v>
      </c>
      <c r="J17" s="241"/>
      <c r="K17" s="241"/>
      <c r="L17" s="242"/>
      <c r="M17" s="241"/>
      <c r="N17" s="241"/>
      <c r="O17" s="241"/>
      <c r="P17" s="241"/>
      <c r="Q17" s="241" t="str">
        <f>IFERROR(__xludf.DUMMYFUNCTION("""COMPUTED_VALUE"""),"Revestimento de Couro Pirata")</f>
        <v>Revestimento de Couro Pirata</v>
      </c>
      <c r="R17" s="241"/>
      <c r="S17" s="241" t="str">
        <f>IFERROR(__xludf.DUMMYFUNCTION("""COMPUTED_VALUE"""),"Revestimento de Couro Pirata")</f>
        <v>Revestimento de Couro Pirata</v>
      </c>
      <c r="T17" s="241"/>
      <c r="U17" s="241"/>
      <c r="V17" s="241"/>
      <c r="W17" s="241"/>
      <c r="X17" s="242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2"/>
    </row>
    <row r="18" hidden="1">
      <c r="A18" s="241" t="str">
        <f>IFERROR(__xludf.DUMMYFUNCTION("""COMPUTED_VALUE"""),"Katar Fantasma")</f>
        <v>Katar Fantasma</v>
      </c>
      <c r="B18" s="241"/>
      <c r="C18" s="241" t="str">
        <f>IFERROR(__xludf.DUMMYFUNCTION("""COMPUTED_VALUE"""),"Sweet Surprise")</f>
        <v>Sweet Surprise</v>
      </c>
      <c r="D18" s="241"/>
      <c r="E18" s="241" t="str">
        <f>IFERROR(__xludf.DUMMYFUNCTION("""COMPUTED_VALUE"""),"Faz Viúva")</f>
        <v>Faz Viúva</v>
      </c>
      <c r="F18" s="241"/>
      <c r="G18" s="241" t="str">
        <f>IFERROR(__xludf.DUMMYFUNCTION("""COMPUTED_VALUE"""),"Voulgue da Lua")</f>
        <v>Voulgue da Lua</v>
      </c>
      <c r="H18" s="241"/>
      <c r="I18" s="241" t="str">
        <f>IFERROR(__xludf.DUMMYFUNCTION("""COMPUTED_VALUE"""),"Cetro Lunar")</f>
        <v>Cetro Lunar</v>
      </c>
      <c r="J18" s="241"/>
      <c r="K18" s="241"/>
      <c r="L18" s="242"/>
      <c r="M18" s="241"/>
      <c r="N18" s="241"/>
      <c r="O18" s="241"/>
      <c r="P18" s="241"/>
      <c r="Q18" s="241" t="str">
        <f>IFERROR(__xludf.DUMMYFUNCTION("""COMPUTED_VALUE"""),"Shadow Lurker")</f>
        <v>Shadow Lurker</v>
      </c>
      <c r="R18" s="241"/>
      <c r="S18" s="241" t="str">
        <f>IFERROR(__xludf.DUMMYFUNCTION("""COMPUTED_VALUE"""),"Shadow Lurker")</f>
        <v>Shadow Lurker</v>
      </c>
      <c r="T18" s="241"/>
      <c r="U18" s="241"/>
      <c r="V18" s="241"/>
      <c r="W18" s="241"/>
      <c r="X18" s="242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2"/>
    </row>
    <row r="19" hidden="1">
      <c r="A19" s="241" t="str">
        <f>IFERROR(__xludf.DUMMYFUNCTION("""COMPUTED_VALUE"""),"Sweet Surprise")</f>
        <v>Sweet Surprise</v>
      </c>
      <c r="B19" s="241"/>
      <c r="C19" s="241" t="str">
        <f>IFERROR(__xludf.DUMMYFUNCTION("""COMPUTED_VALUE"""),"Traidora")</f>
        <v>Traidora</v>
      </c>
      <c r="D19" s="241"/>
      <c r="E19" s="241" t="str">
        <f>IFERROR(__xludf.DUMMYFUNCTION("""COMPUTED_VALUE"""),"Ira infernal")</f>
        <v>Ira infernal</v>
      </c>
      <c r="F19" s="241"/>
      <c r="G19" s="241" t="str">
        <f>IFERROR(__xludf.DUMMYFUNCTION("""COMPUTED_VALUE"""),"Espeto da Noite")</f>
        <v>Espeto da Noite</v>
      </c>
      <c r="H19" s="241"/>
      <c r="I19" s="241" t="str">
        <f>IFERROR(__xludf.DUMMYFUNCTION("""COMPUTED_VALUE"""),"Líquido apanhador de inseto")</f>
        <v>Líquido apanhador de inseto</v>
      </c>
      <c r="J19" s="241"/>
      <c r="K19" s="241"/>
      <c r="L19" s="242"/>
      <c r="M19" s="241"/>
      <c r="N19" s="241"/>
      <c r="O19" s="241"/>
      <c r="P19" s="241"/>
      <c r="Q19" s="241" t="str">
        <f>IFERROR(__xludf.DUMMYFUNCTION("""COMPUTED_VALUE"""),"Pele de Dragão")</f>
        <v>Pele de Dragão</v>
      </c>
      <c r="R19" s="241"/>
      <c r="S19" s="241" t="str">
        <f>IFERROR(__xludf.DUMMYFUNCTION("""COMPUTED_VALUE"""),"Pele de Dragão")</f>
        <v>Pele de Dragão</v>
      </c>
      <c r="T19" s="241"/>
      <c r="U19" s="241"/>
      <c r="V19" s="241"/>
      <c r="W19" s="241"/>
      <c r="X19" s="242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2"/>
    </row>
    <row r="20" hidden="1">
      <c r="A20" s="241" t="str">
        <f>IFERROR(__xludf.DUMMYFUNCTION("""COMPUTED_VALUE"""),"Traidora")</f>
        <v>Traidora</v>
      </c>
      <c r="B20" s="241"/>
      <c r="C20" s="241" t="str">
        <f>IFERROR(__xludf.DUMMYFUNCTION("""COMPUTED_VALUE"""),"Sete Estrelas")</f>
        <v>Sete Estrelas</v>
      </c>
      <c r="D20" s="241"/>
      <c r="E20" s="241" t="str">
        <f>IFERROR(__xludf.DUMMYFUNCTION("""COMPUTED_VALUE"""),"Lâmina do Ragnarok")</f>
        <v>Lâmina do Ragnarok</v>
      </c>
      <c r="F20" s="241"/>
      <c r="G20" s="241" t="str">
        <f>IFERROR(__xludf.DUMMYFUNCTION("""COMPUTED_VALUE"""),"Raio Divino")</f>
        <v>Raio Divino</v>
      </c>
      <c r="H20" s="241"/>
      <c r="I20" s="241" t="str">
        <f>IFERROR(__xludf.DUMMYFUNCTION("""COMPUTED_VALUE"""),"Cetro Sagrado")</f>
        <v>Cetro Sagrado</v>
      </c>
      <c r="J20" s="241"/>
      <c r="K20" s="241"/>
      <c r="L20" s="242"/>
      <c r="M20" s="241"/>
      <c r="N20" s="241"/>
      <c r="O20" s="241"/>
      <c r="P20" s="241"/>
      <c r="Q20" s="241" t="str">
        <f>IFERROR(__xludf.DUMMYFUNCTION("""COMPUTED_VALUE"""),"Vampire Hunter")</f>
        <v>Vampire Hunter</v>
      </c>
      <c r="R20" s="241"/>
      <c r="S20" s="241" t="str">
        <f>IFERROR(__xludf.DUMMYFUNCTION("""COMPUTED_VALUE"""),"Vampire Hunter")</f>
        <v>Vampire Hunter</v>
      </c>
      <c r="T20" s="241"/>
      <c r="U20" s="241"/>
      <c r="V20" s="241"/>
      <c r="W20" s="241"/>
      <c r="X20" s="242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2"/>
    </row>
    <row r="21" hidden="1">
      <c r="A21" s="241" t="str">
        <f>IFERROR(__xludf.DUMMYFUNCTION("""COMPUTED_VALUE"""),"Sete Estrelas")</f>
        <v>Sete Estrelas</v>
      </c>
      <c r="B21" s="241"/>
      <c r="C21" s="241" t="str">
        <f>IFERROR(__xludf.DUMMYFUNCTION("""COMPUTED_VALUE"""),"Presa de Dragão")</f>
        <v>Presa de Dragão</v>
      </c>
      <c r="D21" s="241"/>
      <c r="E21" s="241" t="str">
        <f>IFERROR(__xludf.DUMMYFUNCTION("""COMPUTED_VALUE"""),"Machado Irado")</f>
        <v>Machado Irado</v>
      </c>
      <c r="F21" s="241"/>
      <c r="G21" s="241" t="str">
        <f>IFERROR(__xludf.DUMMYFUNCTION("""COMPUTED_VALUE"""),"Pique Fangtiano")</f>
        <v>Pique Fangtiano</v>
      </c>
      <c r="H21" s="241"/>
      <c r="I21" s="241" t="str">
        <f>IFERROR(__xludf.DUMMYFUNCTION("""COMPUTED_VALUE"""),"Varinha Estelar")</f>
        <v>Varinha Estelar</v>
      </c>
      <c r="J21" s="241"/>
      <c r="K21" s="241"/>
      <c r="L21" s="242"/>
      <c r="M21" s="241"/>
      <c r="N21" s="241"/>
      <c r="O21" s="241"/>
      <c r="P21" s="241"/>
      <c r="Q21" s="241" t="str">
        <f>IFERROR(__xludf.DUMMYFUNCTION("""COMPUTED_VALUE"""),"Couro do Oceano")</f>
        <v>Couro do Oceano</v>
      </c>
      <c r="R21" s="241"/>
      <c r="S21" s="241" t="str">
        <f>IFERROR(__xludf.DUMMYFUNCTION("""COMPUTED_VALUE"""),"Couro do Oceano")</f>
        <v>Couro do Oceano</v>
      </c>
      <c r="T21" s="241"/>
      <c r="U21" s="241"/>
      <c r="V21" s="241"/>
      <c r="W21" s="241"/>
      <c r="X21" s="242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2"/>
    </row>
    <row r="22" hidden="1">
      <c r="A22" s="241" t="str">
        <f>IFERROR(__xludf.DUMMYFUNCTION("""COMPUTED_VALUE"""),"Presa de Dragão")</f>
        <v>Presa de Dragão</v>
      </c>
      <c r="B22" s="241"/>
      <c r="C22" s="241" t="str">
        <f>IFERROR(__xludf.DUMMYFUNCTION("""COMPUTED_VALUE"""),"Punhal Indiano")</f>
        <v>Punhal Indiano</v>
      </c>
      <c r="D22" s="241"/>
      <c r="E22" s="241" t="str">
        <f>IFERROR(__xludf.DUMMYFUNCTION("""COMPUTED_VALUE"""),"Machado da Sombra")</f>
        <v>Machado da Sombra</v>
      </c>
      <c r="F22" s="241"/>
      <c r="G22" s="241" t="str">
        <f>IFERROR(__xludf.DUMMYFUNCTION("""COMPUTED_VALUE"""),"Alabarda de Obsidiana")</f>
        <v>Alabarda de Obsidiana</v>
      </c>
      <c r="H22" s="241"/>
      <c r="I22" s="241" t="str">
        <f>IFERROR(__xludf.DUMMYFUNCTION("""COMPUTED_VALUE"""),"Varinha Imperial")</f>
        <v>Varinha Imperial</v>
      </c>
      <c r="J22" s="241"/>
      <c r="K22" s="241"/>
      <c r="L22" s="242"/>
      <c r="M22" s="241"/>
      <c r="N22" s="241"/>
      <c r="O22" s="241"/>
      <c r="P22" s="241"/>
      <c r="Q22" s="241" t="str">
        <f>IFERROR(__xludf.DUMMYFUNCTION("""COMPUTED_VALUE"""),"Colete Místico")</f>
        <v>Colete Místico</v>
      </c>
      <c r="R22" s="241"/>
      <c r="S22" s="241" t="str">
        <f>IFERROR(__xludf.DUMMYFUNCTION("""COMPUTED_VALUE"""),"Colete Místico")</f>
        <v>Colete Místico</v>
      </c>
      <c r="T22" s="241"/>
      <c r="U22" s="241"/>
      <c r="V22" s="241"/>
      <c r="W22" s="241"/>
      <c r="X22" s="242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2"/>
    </row>
    <row r="23" hidden="1">
      <c r="A23" s="241" t="str">
        <f>IFERROR(__xludf.DUMMYFUNCTION("""COMPUTED_VALUE"""),"Punhal Indiano")</f>
        <v>Punhal Indiano</v>
      </c>
      <c r="B23" s="241"/>
      <c r="C23" s="241" t="str">
        <f>IFERROR(__xludf.DUMMYFUNCTION("""COMPUTED_VALUE"""),"Adaga de Obsidiana")</f>
        <v>Adaga de Obsidiana</v>
      </c>
      <c r="D23" s="241"/>
      <c r="E23" s="241" t="str">
        <f>IFERROR(__xludf.DUMMYFUNCTION("""COMPUTED_VALUE"""),"Labrys de Hefesto")</f>
        <v>Labrys de Hefesto</v>
      </c>
      <c r="F23" s="241"/>
      <c r="G23" s="241" t="str">
        <f>IFERROR(__xludf.DUMMYFUNCTION("""COMPUTED_VALUE"""),"Tridente Primordial")</f>
        <v>Tridente Primordial</v>
      </c>
      <c r="H23" s="241"/>
      <c r="I23" s="241" t="str">
        <f>IFERROR(__xludf.DUMMYFUNCTION("""COMPUTED_VALUE"""),"Rei-Sol")</f>
        <v>Rei-Sol</v>
      </c>
      <c r="J23" s="241"/>
      <c r="K23" s="241"/>
      <c r="L23" s="242"/>
      <c r="M23" s="241"/>
      <c r="N23" s="241"/>
      <c r="O23" s="241"/>
      <c r="P23" s="241"/>
      <c r="Q23" s="241" t="str">
        <f>IFERROR(__xludf.DUMMYFUNCTION("""COMPUTED_VALUE"""),"Esmeralda Marcha")</f>
        <v>Esmeralda Marcha</v>
      </c>
      <c r="R23" s="241"/>
      <c r="S23" s="241" t="str">
        <f>IFERROR(__xludf.DUMMYFUNCTION("""COMPUTED_VALUE"""),"Esmeralda Marcha")</f>
        <v>Esmeralda Marcha</v>
      </c>
      <c r="T23" s="241"/>
      <c r="U23" s="241"/>
      <c r="V23" s="241"/>
      <c r="W23" s="241"/>
      <c r="X23" s="242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2"/>
    </row>
    <row r="24" hidden="1">
      <c r="A24" s="241" t="str">
        <f>IFERROR(__xludf.DUMMYFUNCTION("""COMPUTED_VALUE"""),"Adaga de Obsidiana")</f>
        <v>Adaga de Obsidiana</v>
      </c>
      <c r="B24" s="241"/>
      <c r="C24" s="241" t="str">
        <f>IFERROR(__xludf.DUMMYFUNCTION("""COMPUTED_VALUE"""),"Canivete Afótico")</f>
        <v>Canivete Afótico</v>
      </c>
      <c r="D24" s="241"/>
      <c r="E24" s="241" t="str">
        <f>IFERROR(__xludf.DUMMYFUNCTION("""COMPUTED_VALUE"""),"Forseti's Axe")</f>
        <v>Forseti's Axe</v>
      </c>
      <c r="F24" s="241"/>
      <c r="G24" s="241" t="str">
        <f>IFERROR(__xludf.DUMMYFUNCTION("""COMPUTED_VALUE"""),"Gungnir")</f>
        <v>Gungnir</v>
      </c>
      <c r="H24" s="241"/>
      <c r="I24" s="241" t="str">
        <f>IFERROR(__xludf.DUMMYFUNCTION("""COMPUTED_VALUE"""),"Montagem das fadas")</f>
        <v>Montagem das fadas</v>
      </c>
      <c r="J24" s="241"/>
      <c r="K24" s="241"/>
      <c r="L24" s="242"/>
      <c r="M24" s="241"/>
      <c r="N24" s="241"/>
      <c r="O24" s="241"/>
      <c r="P24" s="241"/>
      <c r="Q24" s="241" t="str">
        <f>IFERROR(__xludf.DUMMYFUNCTION("""COMPUTED_VALUE"""),"Corvo Negro")</f>
        <v>Corvo Negro</v>
      </c>
      <c r="R24" s="241"/>
      <c r="S24" s="241" t="str">
        <f>IFERROR(__xludf.DUMMYFUNCTION("""COMPUTED_VALUE"""),"Corvo Negro")</f>
        <v>Corvo Negro</v>
      </c>
      <c r="T24" s="241"/>
      <c r="U24" s="241"/>
      <c r="V24" s="241"/>
      <c r="W24" s="241"/>
      <c r="X24" s="242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2"/>
    </row>
    <row r="25" hidden="1">
      <c r="A25" s="241" t="str">
        <f>IFERROR(__xludf.DUMMYFUNCTION("""COMPUTED_VALUE"""),"Canivete Afótico")</f>
        <v>Canivete Afótico</v>
      </c>
      <c r="B25" s="241"/>
      <c r="C25" s="241" t="str">
        <f>IFERROR(__xludf.DUMMYFUNCTION("""COMPUTED_VALUE"""),"Adaga Primordial")</f>
        <v>Adaga Primordial</v>
      </c>
      <c r="D25" s="241"/>
      <c r="E25" s="241" t="str">
        <f>IFERROR(__xludf.DUMMYFUNCTION("""COMPUTED_VALUE"""),"Estrela D'alva")</f>
        <v>Estrela D'alva</v>
      </c>
      <c r="F25" s="241"/>
      <c r="G25" s="241" t="str">
        <f>IFERROR(__xludf.DUMMYFUNCTION("""COMPUTED_VALUE"""),"Perfurador Abrasador")</f>
        <v>Perfurador Abrasador</v>
      </c>
      <c r="H25" s="241"/>
      <c r="I25" s="241" t="str">
        <f>IFERROR(__xludf.DUMMYFUNCTION("""COMPUTED_VALUE"""),"Guardião das almas")</f>
        <v>Guardião das almas</v>
      </c>
      <c r="J25" s="241"/>
      <c r="K25" s="241"/>
      <c r="L25" s="242"/>
      <c r="M25" s="241"/>
      <c r="N25" s="241"/>
      <c r="O25" s="241"/>
      <c r="P25" s="241"/>
      <c r="Q25" s="241" t="str">
        <f>IFERROR(__xludf.DUMMYFUNCTION("""COMPUTED_VALUE"""),"Couraça Real")</f>
        <v>Couraça Real</v>
      </c>
      <c r="R25" s="241"/>
      <c r="S25" s="241" t="str">
        <f>IFERROR(__xludf.DUMMYFUNCTION("""COMPUTED_VALUE"""),"Couraça Real")</f>
        <v>Couraça Real</v>
      </c>
      <c r="T25" s="241"/>
      <c r="U25" s="241"/>
      <c r="V25" s="241"/>
      <c r="W25" s="241"/>
      <c r="X25" s="242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2"/>
    </row>
    <row r="26" hidden="1">
      <c r="A26" s="241" t="str">
        <f>IFERROR(__xludf.DUMMYFUNCTION("""COMPUTED_VALUE"""),"Adaga Primordial")</f>
        <v>Adaga Primordial</v>
      </c>
      <c r="B26" s="241"/>
      <c r="C26" s="241" t="str">
        <f>IFERROR(__xludf.DUMMYFUNCTION("""COMPUTED_VALUE"""),"Mistilteinn")</f>
        <v>Mistilteinn</v>
      </c>
      <c r="D26" s="241"/>
      <c r="E26" s="241" t="str">
        <f>IFERROR(__xludf.DUMMYFUNCTION("""COMPUTED_VALUE"""),"Tronco de árvore")</f>
        <v>Tronco de árvore</v>
      </c>
      <c r="F26" s="241"/>
      <c r="G26" s="241" t="str">
        <f>IFERROR(__xludf.DUMMYFUNCTION("""COMPUTED_VALUE"""),"Rebelião")</f>
        <v>Rebelião</v>
      </c>
      <c r="H26" s="241"/>
      <c r="I26" s="241" t="str">
        <f>IFERROR(__xludf.DUMMYFUNCTION("""COMPUTED_VALUE"""),"Varinha estilhaçada")</f>
        <v>Varinha estilhaçada</v>
      </c>
      <c r="J26" s="241"/>
      <c r="K26" s="241"/>
      <c r="L26" s="242"/>
      <c r="M26" s="241"/>
      <c r="N26" s="241"/>
      <c r="O26" s="241"/>
      <c r="P26" s="241"/>
      <c r="Q26" s="241" t="str">
        <f>IFERROR(__xludf.DUMMYFUNCTION("""COMPUTED_VALUE"""),"Invincible Scales")</f>
        <v>Invincible Scales</v>
      </c>
      <c r="R26" s="241"/>
      <c r="S26" s="241" t="str">
        <f>IFERROR(__xludf.DUMMYFUNCTION("""COMPUTED_VALUE"""),"Invincible Scales")</f>
        <v>Invincible Scales</v>
      </c>
      <c r="T26" s="241"/>
      <c r="U26" s="241"/>
      <c r="V26" s="241"/>
      <c r="W26" s="241"/>
      <c r="X26" s="242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2"/>
    </row>
    <row r="27" hidden="1">
      <c r="A27" s="241" t="str">
        <f>IFERROR(__xludf.DUMMYFUNCTION("""COMPUTED_VALUE"""),"Mistilteinn")</f>
        <v>Mistilteinn</v>
      </c>
      <c r="B27" s="241"/>
      <c r="C27" s="241" t="str">
        <f>IFERROR(__xludf.DUMMYFUNCTION("""COMPUTED_VALUE"""),"Ponta Perseguidora")</f>
        <v>Ponta Perseguidora</v>
      </c>
      <c r="D27" s="241"/>
      <c r="E27" s="241" t="str">
        <f>IFERROR(__xludf.DUMMYFUNCTION("""COMPUTED_VALUE"""),"Martelo-Punho")</f>
        <v>Martelo-Punho</v>
      </c>
      <c r="F27" s="241"/>
      <c r="G27" s="241" t="str">
        <f>IFERROR(__xludf.DUMMYFUNCTION("""COMPUTED_VALUE"""),"Scorpion Tail")</f>
        <v>Scorpion Tail</v>
      </c>
      <c r="H27" s="241"/>
      <c r="I27" s="241" t="str">
        <f>IFERROR(__xludf.DUMMYFUNCTION("""COMPUTED_VALUE"""),"Cajado necormante")</f>
        <v>Cajado necormante</v>
      </c>
      <c r="J27" s="241"/>
      <c r="K27" s="241"/>
      <c r="L27" s="242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2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2"/>
    </row>
    <row r="28" hidden="1">
      <c r="A28" s="241" t="str">
        <f>IFERROR(__xludf.DUMMYFUNCTION("""COMPUTED_VALUE"""),"Estrela D'alva")</f>
        <v>Estrela D'alva</v>
      </c>
      <c r="B28" s="241"/>
      <c r="C28" s="241" t="str">
        <f>IFERROR(__xludf.DUMMYFUNCTION("""COMPUTED_VALUE"""),"Ponta de Veneno")</f>
        <v>Ponta de Veneno</v>
      </c>
      <c r="D28" s="241"/>
      <c r="E28" s="241" t="str">
        <f>IFERROR(__xludf.DUMMYFUNCTION("""COMPUTED_VALUE"""),"Cetro Real")</f>
        <v>Cetro Real</v>
      </c>
      <c r="F28" s="241"/>
      <c r="G28" s="241" t="str">
        <f>IFERROR(__xludf.DUMMYFUNCTION("""COMPUTED_VALUE"""),"Tiamat")</f>
        <v>Tiamat</v>
      </c>
      <c r="H28" s="241"/>
      <c r="I28" s="241" t="str">
        <f>IFERROR(__xludf.DUMMYFUNCTION("""COMPUTED_VALUE"""),"Luna")</f>
        <v>Luna</v>
      </c>
      <c r="J28" s="241"/>
      <c r="K28" s="241"/>
      <c r="L28" s="242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2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2"/>
    </row>
    <row r="29" hidden="1">
      <c r="A29" s="241" t="str">
        <f>IFERROR(__xludf.DUMMYFUNCTION("""COMPUTED_VALUE"""),"Tronco de árvore")</f>
        <v>Tronco de árvore</v>
      </c>
      <c r="B29" s="241"/>
      <c r="C29" s="241" t="str">
        <f>IFERROR(__xludf.DUMMYFUNCTION("""COMPUTED_VALUE"""),"Lança Pesca")</f>
        <v>Lança Pesca</v>
      </c>
      <c r="D29" s="241"/>
      <c r="E29" s="241" t="str">
        <f>IFERROR(__xludf.DUMMYFUNCTION("""COMPUTED_VALUE"""),"Martelo Relíquia")</f>
        <v>Martelo Relíquia</v>
      </c>
      <c r="F29" s="241"/>
      <c r="G29" s="241" t="str">
        <f>IFERROR(__xludf.DUMMYFUNCTION("""COMPUTED_VALUE"""),"Machado de Berserker")</f>
        <v>Machado de Berserker</v>
      </c>
      <c r="H29" s="241"/>
      <c r="I29" s="241" t="str">
        <f>IFERROR(__xludf.DUMMYFUNCTION("""COMPUTED_VALUE"""),"Cetro da Pixie")</f>
        <v>Cetro da Pixie</v>
      </c>
      <c r="J29" s="241"/>
      <c r="K29" s="241"/>
      <c r="L29" s="242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2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2"/>
    </row>
    <row r="30" hidden="1">
      <c r="A30" s="241" t="str">
        <f>IFERROR(__xludf.DUMMYFUNCTION("""COMPUTED_VALUE"""),"Martelo-Punho")</f>
        <v>Martelo-Punho</v>
      </c>
      <c r="B30" s="241"/>
      <c r="C30" s="241" t="str">
        <f>IFERROR(__xludf.DUMMYFUNCTION("""COMPUTED_VALUE"""),"Garfo de prata")</f>
        <v>Garfo de prata</v>
      </c>
      <c r="D30" s="241"/>
      <c r="E30" s="241" t="str">
        <f>IFERROR(__xludf.DUMMYFUNCTION("""COMPUTED_VALUE"""),"Apocalipto")</f>
        <v>Apocalipto</v>
      </c>
      <c r="F30" s="241"/>
      <c r="G30" s="241" t="str">
        <f>IFERROR(__xludf.DUMMYFUNCTION("""COMPUTED_VALUE"""),"Presa Afiada")</f>
        <v>Presa Afiada</v>
      </c>
      <c r="H30" s="241"/>
      <c r="I30" s="241" t="str">
        <f>IFERROR(__xludf.DUMMYFUNCTION("""COMPUTED_VALUE"""),"Adaga Branca")</f>
        <v>Adaga Branca</v>
      </c>
      <c r="J30" s="241"/>
      <c r="K30" s="241"/>
      <c r="L30" s="242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2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2"/>
    </row>
    <row r="31" hidden="1">
      <c r="A31" s="241" t="str">
        <f>IFERROR(__xludf.DUMMYFUNCTION("""COMPUTED_VALUE"""),"Cetro Real")</f>
        <v>Cetro Real</v>
      </c>
      <c r="B31" s="241"/>
      <c r="C31" s="241" t="str">
        <f>IFERROR(__xludf.DUMMYFUNCTION("""COMPUTED_VALUE"""),"Voulgue da Lua")</f>
        <v>Voulgue da Lua</v>
      </c>
      <c r="D31" s="241"/>
      <c r="E31" s="241" t="str">
        <f>IFERROR(__xludf.DUMMYFUNCTION("""COMPUTED_VALUE"""),"Estrela Noturna")</f>
        <v>Estrela Noturna</v>
      </c>
      <c r="F31" s="241"/>
      <c r="G31" s="241" t="str">
        <f>IFERROR(__xludf.DUMMYFUNCTION("""COMPUTED_VALUE"""),"Faz Viúva")</f>
        <v>Faz Viúva</v>
      </c>
      <c r="H31" s="241"/>
      <c r="I31" s="241" t="str">
        <f>IFERROR(__xludf.DUMMYFUNCTION("""COMPUTED_VALUE"""),"Coração Rubro")</f>
        <v>Coração Rubro</v>
      </c>
      <c r="J31" s="241"/>
      <c r="K31" s="241"/>
      <c r="L31" s="242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2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2"/>
    </row>
    <row r="32" hidden="1">
      <c r="A32" s="241" t="str">
        <f>IFERROR(__xludf.DUMMYFUNCTION("""COMPUTED_VALUE"""),"Martelo Relíquia")</f>
        <v>Martelo Relíquia</v>
      </c>
      <c r="B32" s="241"/>
      <c r="C32" s="241" t="str">
        <f>IFERROR(__xludf.DUMMYFUNCTION("""COMPUTED_VALUE"""),"Espeto da Noite")</f>
        <v>Espeto da Noite</v>
      </c>
      <c r="D32" s="241"/>
      <c r="E32" s="241" t="str">
        <f>IFERROR(__xludf.DUMMYFUNCTION("""COMPUTED_VALUE"""),"Cem-Toneladas")</f>
        <v>Cem-Toneladas</v>
      </c>
      <c r="F32" s="241"/>
      <c r="G32" s="241" t="str">
        <f>IFERROR(__xludf.DUMMYFUNCTION("""COMPUTED_VALUE"""),"Ira infernal")</f>
        <v>Ira infernal</v>
      </c>
      <c r="H32" s="241"/>
      <c r="I32" s="241" t="str">
        <f>IFERROR(__xludf.DUMMYFUNCTION("""COMPUTED_VALUE"""),"Katar Fantasma")</f>
        <v>Katar Fantasma</v>
      </c>
      <c r="J32" s="241"/>
      <c r="K32" s="241"/>
      <c r="L32" s="242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2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2"/>
    </row>
    <row r="33" hidden="1">
      <c r="A33" s="241" t="str">
        <f>IFERROR(__xludf.DUMMYFUNCTION("""COMPUTED_VALUE"""),"Apocalipto")</f>
        <v>Apocalipto</v>
      </c>
      <c r="B33" s="241"/>
      <c r="C33" s="241" t="str">
        <f>IFERROR(__xludf.DUMMYFUNCTION("""COMPUTED_VALUE"""),"Raio Divino")</f>
        <v>Raio Divino</v>
      </c>
      <c r="D33" s="241"/>
      <c r="E33" s="241" t="str">
        <f>IFERROR(__xludf.DUMMYFUNCTION("""COMPUTED_VALUE"""),"Esmagador")</f>
        <v>Esmagador</v>
      </c>
      <c r="F33" s="241"/>
      <c r="G33" s="241" t="str">
        <f>IFERROR(__xludf.DUMMYFUNCTION("""COMPUTED_VALUE"""),"Lâmina do Ragnarok")</f>
        <v>Lâmina do Ragnarok</v>
      </c>
      <c r="H33" s="241"/>
      <c r="I33" s="241" t="str">
        <f>IFERROR(__xludf.DUMMYFUNCTION("""COMPUTED_VALUE"""),"Sweet Surprise")</f>
        <v>Sweet Surprise</v>
      </c>
      <c r="J33" s="241"/>
      <c r="K33" s="241"/>
      <c r="L33" s="242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2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2"/>
    </row>
    <row r="34" hidden="1">
      <c r="A34" s="241" t="str">
        <f>IFERROR(__xludf.DUMMYFUNCTION("""COMPUTED_VALUE"""),"Estrela Noturna")</f>
        <v>Estrela Noturna</v>
      </c>
      <c r="B34" s="241"/>
      <c r="C34" s="241" t="str">
        <f>IFERROR(__xludf.DUMMYFUNCTION("""COMPUTED_VALUE"""),"Pique Fangtiano")</f>
        <v>Pique Fangtiano</v>
      </c>
      <c r="D34" s="241"/>
      <c r="E34" s="241" t="str">
        <f>IFERROR(__xludf.DUMMYFUNCTION("""COMPUTED_VALUE"""),"Amaciador")</f>
        <v>Amaciador</v>
      </c>
      <c r="F34" s="241"/>
      <c r="G34" s="241" t="str">
        <f>IFERROR(__xludf.DUMMYFUNCTION("""COMPUTED_VALUE"""),"Machado Irado")</f>
        <v>Machado Irado</v>
      </c>
      <c r="H34" s="241"/>
      <c r="I34" s="241" t="str">
        <f>IFERROR(__xludf.DUMMYFUNCTION("""COMPUTED_VALUE"""),"Traidora")</f>
        <v>Traidora</v>
      </c>
      <c r="J34" s="241"/>
      <c r="K34" s="241"/>
      <c r="L34" s="242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2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2"/>
    </row>
    <row r="35" hidden="1">
      <c r="A35" s="241" t="str">
        <f>IFERROR(__xludf.DUMMYFUNCTION("""COMPUTED_VALUE"""),"Cem-Toneladas")</f>
        <v>Cem-Toneladas</v>
      </c>
      <c r="B35" s="241"/>
      <c r="C35" s="241" t="str">
        <f>IFERROR(__xludf.DUMMYFUNCTION("""COMPUTED_VALUE"""),"Alabarda de Obsidiana")</f>
        <v>Alabarda de Obsidiana</v>
      </c>
      <c r="D35" s="241"/>
      <c r="E35" s="241" t="str">
        <f>IFERROR(__xludf.DUMMYFUNCTION("""COMPUTED_VALUE"""),"Rainmakers")</f>
        <v>Rainmakers</v>
      </c>
      <c r="F35" s="241"/>
      <c r="G35" s="241" t="str">
        <f>IFERROR(__xludf.DUMMYFUNCTION("""COMPUTED_VALUE"""),"Machado da Sombra")</f>
        <v>Machado da Sombra</v>
      </c>
      <c r="H35" s="241"/>
      <c r="I35" s="241" t="str">
        <f>IFERROR(__xludf.DUMMYFUNCTION("""COMPUTED_VALUE"""),"Sete Estrelas")</f>
        <v>Sete Estrelas</v>
      </c>
      <c r="J35" s="241"/>
      <c r="K35" s="241"/>
      <c r="L35" s="242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2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2"/>
    </row>
    <row r="36" hidden="1">
      <c r="A36" s="241" t="str">
        <f>IFERROR(__xludf.DUMMYFUNCTION("""COMPUTED_VALUE"""),"Esmagador")</f>
        <v>Esmagador</v>
      </c>
      <c r="B36" s="241"/>
      <c r="C36" s="241" t="str">
        <f>IFERROR(__xludf.DUMMYFUNCTION("""COMPUTED_VALUE"""),"Tridente Primordial")</f>
        <v>Tridente Primordial</v>
      </c>
      <c r="D36" s="241"/>
      <c r="E36" s="241" t="str">
        <f>IFERROR(__xludf.DUMMYFUNCTION("""COMPUTED_VALUE"""),"Shattering Core")</f>
        <v>Shattering Core</v>
      </c>
      <c r="F36" s="241"/>
      <c r="G36" s="241" t="str">
        <f>IFERROR(__xludf.DUMMYFUNCTION("""COMPUTED_VALUE"""),"Labrys de Hefesto")</f>
        <v>Labrys de Hefesto</v>
      </c>
      <c r="H36" s="241"/>
      <c r="I36" s="241" t="str">
        <f>IFERROR(__xludf.DUMMYFUNCTION("""COMPUTED_VALUE"""),"Presa de Dragão")</f>
        <v>Presa de Dragão</v>
      </c>
      <c r="J36" s="241"/>
      <c r="K36" s="241"/>
      <c r="L36" s="242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2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2"/>
    </row>
    <row r="37" hidden="1">
      <c r="A37" s="241" t="str">
        <f>IFERROR(__xludf.DUMMYFUNCTION("""COMPUTED_VALUE"""),"Amaciador")</f>
        <v>Amaciador</v>
      </c>
      <c r="B37" s="241"/>
      <c r="C37" s="241" t="str">
        <f>IFERROR(__xludf.DUMMYFUNCTION("""COMPUTED_VALUE"""),"Gungnir")</f>
        <v>Gungnir</v>
      </c>
      <c r="D37" s="241"/>
      <c r="E37" s="241" t="str">
        <f>IFERROR(__xludf.DUMMYFUNCTION("""COMPUTED_VALUE"""),"Pharaoh Flail")</f>
        <v>Pharaoh Flail</v>
      </c>
      <c r="F37" s="241"/>
      <c r="G37" s="241" t="str">
        <f>IFERROR(__xludf.DUMMYFUNCTION("""COMPUTED_VALUE"""),"Forseti's Axe")</f>
        <v>Forseti's Axe</v>
      </c>
      <c r="H37" s="241"/>
      <c r="I37" s="241" t="str">
        <f>IFERROR(__xludf.DUMMYFUNCTION("""COMPUTED_VALUE"""),"Punhal Indiano")</f>
        <v>Punhal Indiano</v>
      </c>
      <c r="J37" s="241"/>
      <c r="K37" s="241"/>
      <c r="L37" s="242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2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2"/>
    </row>
    <row r="38" hidden="1">
      <c r="A38" s="241" t="str">
        <f>IFERROR(__xludf.DUMMYFUNCTION("""COMPUTED_VALUE"""),"Rainmakers")</f>
        <v>Rainmakers</v>
      </c>
      <c r="B38" s="241"/>
      <c r="C38" s="241" t="str">
        <f>IFERROR(__xludf.DUMMYFUNCTION("""COMPUTED_VALUE"""),"Perfurador Abrasador")</f>
        <v>Perfurador Abrasador</v>
      </c>
      <c r="D38" s="241"/>
      <c r="E38" s="241"/>
      <c r="F38" s="241"/>
      <c r="G38" s="241" t="str">
        <f>IFERROR(__xludf.DUMMYFUNCTION("""COMPUTED_VALUE"""),"Estrela D'alva")</f>
        <v>Estrela D'alva</v>
      </c>
      <c r="H38" s="241"/>
      <c r="I38" s="241" t="str">
        <f>IFERROR(__xludf.DUMMYFUNCTION("""COMPUTED_VALUE"""),"Adaga de Obsidiana")</f>
        <v>Adaga de Obsidiana</v>
      </c>
      <c r="J38" s="241"/>
      <c r="K38" s="241"/>
      <c r="L38" s="242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2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2"/>
    </row>
    <row r="39" hidden="1">
      <c r="A39" s="241" t="str">
        <f>IFERROR(__xludf.DUMMYFUNCTION("""COMPUTED_VALUE"""),"Shattering Core")</f>
        <v>Shattering Core</v>
      </c>
      <c r="B39" s="241"/>
      <c r="C39" s="241" t="str">
        <f>IFERROR(__xludf.DUMMYFUNCTION("""COMPUTED_VALUE"""),"Rebelião")</f>
        <v>Rebelião</v>
      </c>
      <c r="D39" s="241"/>
      <c r="E39" s="241"/>
      <c r="F39" s="241"/>
      <c r="G39" s="241" t="str">
        <f>IFERROR(__xludf.DUMMYFUNCTION("""COMPUTED_VALUE"""),"Tronco de árvore")</f>
        <v>Tronco de árvore</v>
      </c>
      <c r="H39" s="241"/>
      <c r="I39" s="241" t="str">
        <f>IFERROR(__xludf.DUMMYFUNCTION("""COMPUTED_VALUE"""),"Canivete Afótico")</f>
        <v>Canivete Afótico</v>
      </c>
      <c r="J39" s="241"/>
      <c r="K39" s="241"/>
      <c r="L39" s="242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2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2"/>
    </row>
    <row r="40" hidden="1">
      <c r="A40" s="241" t="str">
        <f>IFERROR(__xludf.DUMMYFUNCTION("""COMPUTED_VALUE"""),"Pharaoh Flail")</f>
        <v>Pharaoh Flail</v>
      </c>
      <c r="B40" s="241"/>
      <c r="C40" s="241" t="str">
        <f>IFERROR(__xludf.DUMMYFUNCTION("""COMPUTED_VALUE"""),"Scorpion Tail")</f>
        <v>Scorpion Tail</v>
      </c>
      <c r="D40" s="241"/>
      <c r="E40" s="241"/>
      <c r="F40" s="241"/>
      <c r="G40" s="241" t="str">
        <f>IFERROR(__xludf.DUMMYFUNCTION("""COMPUTED_VALUE"""),"Martelo-Punho")</f>
        <v>Martelo-Punho</v>
      </c>
      <c r="H40" s="241"/>
      <c r="I40" s="241" t="str">
        <f>IFERROR(__xludf.DUMMYFUNCTION("""COMPUTED_VALUE"""),"Adaga Primordial")</f>
        <v>Adaga Primordial</v>
      </c>
      <c r="J40" s="241"/>
      <c r="K40" s="241"/>
      <c r="L40" s="242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2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2"/>
    </row>
    <row r="41" hidden="1">
      <c r="A41" s="241"/>
      <c r="B41" s="241"/>
      <c r="C41" s="241"/>
      <c r="D41" s="241"/>
      <c r="E41" s="241"/>
      <c r="F41" s="241"/>
      <c r="G41" s="241" t="str">
        <f>IFERROR(__xludf.DUMMYFUNCTION("""COMPUTED_VALUE"""),"Cetro Real")</f>
        <v>Cetro Real</v>
      </c>
      <c r="H41" s="241"/>
      <c r="I41" s="241" t="str">
        <f>IFERROR(__xludf.DUMMYFUNCTION("""COMPUTED_VALUE"""),"Mistilteinn")</f>
        <v>Mistilteinn</v>
      </c>
      <c r="J41" s="241"/>
      <c r="K41" s="241"/>
      <c r="L41" s="242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2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</row>
    <row r="42" hidden="1">
      <c r="A42" s="241"/>
      <c r="B42" s="241"/>
      <c r="C42" s="241"/>
      <c r="D42" s="241"/>
      <c r="E42" s="241"/>
      <c r="F42" s="241"/>
      <c r="G42" s="241" t="str">
        <f>IFERROR(__xludf.DUMMYFUNCTION("""COMPUTED_VALUE"""),"Martelo Relíquia")</f>
        <v>Martelo Relíquia</v>
      </c>
      <c r="H42" s="241"/>
      <c r="I42" s="241"/>
      <c r="J42" s="241"/>
      <c r="K42" s="241"/>
      <c r="L42" s="242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2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2"/>
    </row>
    <row r="43" hidden="1">
      <c r="A43" s="241"/>
      <c r="B43" s="241"/>
      <c r="C43" s="241"/>
      <c r="D43" s="241"/>
      <c r="E43" s="241"/>
      <c r="F43" s="241"/>
      <c r="G43" s="241" t="str">
        <f>IFERROR(__xludf.DUMMYFUNCTION("""COMPUTED_VALUE"""),"Apocalipto")</f>
        <v>Apocalipto</v>
      </c>
      <c r="H43" s="241"/>
      <c r="I43" s="241"/>
      <c r="J43" s="241"/>
      <c r="K43" s="241"/>
      <c r="L43" s="242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2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2"/>
    </row>
    <row r="44" hidden="1">
      <c r="A44" s="241"/>
      <c r="B44" s="241"/>
      <c r="C44" s="241"/>
      <c r="D44" s="241"/>
      <c r="E44" s="241"/>
      <c r="F44" s="241"/>
      <c r="G44" s="241" t="str">
        <f>IFERROR(__xludf.DUMMYFUNCTION("""COMPUTED_VALUE"""),"Estrela Noturna")</f>
        <v>Estrela Noturna</v>
      </c>
      <c r="H44" s="241"/>
      <c r="I44" s="241"/>
      <c r="J44" s="241"/>
      <c r="K44" s="241"/>
      <c r="L44" s="242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2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2"/>
    </row>
    <row r="45" hidden="1">
      <c r="A45" s="241"/>
      <c r="B45" s="241"/>
      <c r="C45" s="241"/>
      <c r="D45" s="241"/>
      <c r="E45" s="241"/>
      <c r="F45" s="241"/>
      <c r="G45" s="241" t="str">
        <f>IFERROR(__xludf.DUMMYFUNCTION("""COMPUTED_VALUE"""),"Cem-Toneladas")</f>
        <v>Cem-Toneladas</v>
      </c>
      <c r="H45" s="241"/>
      <c r="I45" s="241"/>
      <c r="J45" s="241"/>
      <c r="K45" s="241"/>
      <c r="L45" s="242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2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2"/>
    </row>
    <row r="46" hidden="1">
      <c r="A46" s="241"/>
      <c r="B46" s="241"/>
      <c r="C46" s="241"/>
      <c r="D46" s="241"/>
      <c r="E46" s="241"/>
      <c r="F46" s="241"/>
      <c r="G46" s="241" t="str">
        <f>IFERROR(__xludf.DUMMYFUNCTION("""COMPUTED_VALUE"""),"Esmagador")</f>
        <v>Esmagador</v>
      </c>
      <c r="H46" s="241"/>
      <c r="I46" s="241"/>
      <c r="J46" s="241"/>
      <c r="K46" s="241"/>
      <c r="L46" s="242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2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2"/>
    </row>
    <row r="47" hidden="1">
      <c r="A47" s="241"/>
      <c r="B47" s="241"/>
      <c r="C47" s="241"/>
      <c r="D47" s="241"/>
      <c r="E47" s="241"/>
      <c r="F47" s="241"/>
      <c r="G47" s="241" t="str">
        <f>IFERROR(__xludf.DUMMYFUNCTION("""COMPUTED_VALUE"""),"Amaciador")</f>
        <v>Amaciador</v>
      </c>
      <c r="H47" s="241"/>
      <c r="I47" s="241"/>
      <c r="J47" s="241"/>
      <c r="K47" s="241"/>
      <c r="L47" s="242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2"/>
    </row>
    <row r="48" hidden="1">
      <c r="A48" s="241"/>
      <c r="B48" s="241"/>
      <c r="C48" s="241"/>
      <c r="D48" s="241"/>
      <c r="E48" s="241"/>
      <c r="F48" s="241"/>
      <c r="G48" s="241" t="str">
        <f>IFERROR(__xludf.DUMMYFUNCTION("""COMPUTED_VALUE"""),"Rainmakers")</f>
        <v>Rainmakers</v>
      </c>
      <c r="H48" s="241"/>
      <c r="I48" s="241"/>
      <c r="J48" s="241"/>
      <c r="K48" s="241"/>
      <c r="L48" s="242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2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2"/>
    </row>
    <row r="49" hidden="1">
      <c r="A49" s="241"/>
      <c r="B49" s="241"/>
      <c r="C49" s="241"/>
      <c r="D49" s="241"/>
      <c r="E49" s="241"/>
      <c r="F49" s="241"/>
      <c r="G49" s="241" t="str">
        <f>IFERROR(__xludf.DUMMYFUNCTION("""COMPUTED_VALUE"""),"Shattering Core")</f>
        <v>Shattering Core</v>
      </c>
      <c r="H49" s="241"/>
      <c r="I49" s="241"/>
      <c r="J49" s="241"/>
      <c r="K49" s="241"/>
      <c r="L49" s="242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2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2"/>
    </row>
    <row r="50" hidden="1">
      <c r="A50" s="241"/>
      <c r="B50" s="241"/>
      <c r="C50" s="241"/>
      <c r="D50" s="241"/>
      <c r="E50" s="241"/>
      <c r="F50" s="241"/>
      <c r="G50" s="241" t="str">
        <f>IFERROR(__xludf.DUMMYFUNCTION("""COMPUTED_VALUE"""),"Pharaoh Flail")</f>
        <v>Pharaoh Flail</v>
      </c>
      <c r="H50" s="241"/>
      <c r="I50" s="241"/>
      <c r="J50" s="241"/>
      <c r="K50" s="241"/>
      <c r="L50" s="242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2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2"/>
    </row>
    <row r="51" hidden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2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2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2"/>
    </row>
    <row r="52" hidden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2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2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2"/>
    </row>
    <row r="53" hidden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2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2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2"/>
    </row>
    <row r="54" hidden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2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2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2"/>
    </row>
    <row r="55" hidden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2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2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2"/>
    </row>
    <row r="56" hidden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2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2"/>
    </row>
    <row r="57" hidden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2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2"/>
    </row>
    <row r="58" hidden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2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2"/>
    </row>
    <row r="59" hidden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2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2"/>
    </row>
    <row r="60" hidden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2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2"/>
    </row>
    <row r="61" hidden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2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2"/>
    </row>
    <row r="62" hidden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2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2"/>
    </row>
    <row r="63" hidden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2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2"/>
    </row>
    <row r="64" hidden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2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2"/>
    </row>
    <row r="65" hidden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2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2"/>
    </row>
    <row r="66" hidden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2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2"/>
    </row>
    <row r="67" hidden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2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2"/>
    </row>
    <row r="68" hidden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2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2"/>
    </row>
    <row r="69" hidden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2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2"/>
    </row>
    <row r="70" hidden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2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2"/>
    </row>
    <row r="71" hidden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2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2"/>
    </row>
    <row r="72" hidden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2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2"/>
    </row>
    <row r="73" hidden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2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2"/>
    </row>
    <row r="74" hidden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2"/>
    </row>
    <row r="75" hidden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2"/>
    </row>
    <row r="76" hidden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2"/>
    </row>
    <row r="77" hidden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2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2"/>
    </row>
    <row r="78" hidden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2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2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2"/>
    </row>
    <row r="79" hidden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2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2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2"/>
    </row>
    <row r="80" hidden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2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2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2"/>
    </row>
    <row r="81" hidden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2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2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2"/>
    </row>
    <row r="82" hidden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2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2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2"/>
    </row>
    <row r="83" hidden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2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2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2"/>
    </row>
    <row r="84" hidden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2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2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2"/>
    </row>
    <row r="85" hidden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2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2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2"/>
    </row>
    <row r="86" hidden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2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2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2"/>
    </row>
    <row r="87" hidden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2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2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2"/>
    </row>
    <row r="88" hidden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2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2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2"/>
    </row>
    <row r="89" hidden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2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2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2"/>
    </row>
    <row r="90" hidden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2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2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2"/>
    </row>
    <row r="91" hidden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2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2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2"/>
    </row>
    <row r="92" hidden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2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2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2"/>
    </row>
    <row r="93" hidden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2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2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2"/>
    </row>
    <row r="94" hidden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2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2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2"/>
    </row>
    <row r="95" hidden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2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2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2"/>
    </row>
    <row r="96" hidden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2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2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2"/>
    </row>
    <row r="97" hidden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2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2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2"/>
    </row>
    <row r="98" hidden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2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2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2"/>
    </row>
    <row r="99" hidden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2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2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2"/>
    </row>
    <row r="100" hidden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2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2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2"/>
    </row>
    <row r="101" hidden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2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2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2"/>
    </row>
    <row r="102" hidden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2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2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2"/>
    </row>
    <row r="103" hidden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2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2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2"/>
    </row>
    <row r="104" hidden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2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2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2"/>
    </row>
    <row r="105" hidden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2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2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2"/>
    </row>
    <row r="106" hidden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2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2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2"/>
    </row>
    <row r="107" hidden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2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2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2"/>
    </row>
    <row r="108" hidden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2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2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2"/>
    </row>
    <row r="109" hidden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2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2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2"/>
    </row>
    <row r="110" hidden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2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2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2"/>
    </row>
    <row r="111" hidden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2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2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2"/>
    </row>
    <row r="112" hidden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2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2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2"/>
    </row>
    <row r="113" hidden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2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2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2"/>
    </row>
    <row r="114" hidden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2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2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2"/>
    </row>
    <row r="115" hidden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2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2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2"/>
    </row>
    <row r="116" hidden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2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2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2"/>
    </row>
    <row r="117" hidden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2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2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2"/>
    </row>
    <row r="118" hidden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2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2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2"/>
    </row>
    <row r="119" hidden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2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2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2"/>
    </row>
    <row r="120" hidden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2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2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2"/>
    </row>
    <row r="121" hidden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2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2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2"/>
    </row>
    <row r="122" hidden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2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2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2"/>
    </row>
    <row r="123" hidden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2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2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2"/>
    </row>
    <row r="124" hidden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2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2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2"/>
    </row>
    <row r="125" hidden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2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2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2"/>
    </row>
    <row r="126" hidden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2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2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2"/>
    </row>
    <row r="127" hidden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2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2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2"/>
    </row>
    <row r="128" hidden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2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2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2"/>
    </row>
    <row r="129" hidden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2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2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2"/>
    </row>
    <row r="130" hidden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2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2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2"/>
    </row>
    <row r="131" hidden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2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2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2"/>
    </row>
    <row r="132" hidden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2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2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2"/>
    </row>
    <row r="133" hidden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2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2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2"/>
    </row>
    <row r="134" hidden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2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2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2"/>
    </row>
    <row r="135" hidden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2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2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2"/>
    </row>
    <row r="136" hidden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2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2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2"/>
    </row>
    <row r="137" hidden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2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2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2"/>
    </row>
    <row r="138" hidden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2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2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2"/>
    </row>
    <row r="139" hidden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2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2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2"/>
    </row>
    <row r="140" hidden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2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2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2"/>
    </row>
    <row r="141" hidden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2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2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2"/>
    </row>
    <row r="142" hidden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2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2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2"/>
    </row>
    <row r="143" hidden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2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2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2"/>
    </row>
    <row r="144" hidden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2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2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2"/>
    </row>
    <row r="145" hidden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2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2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</row>
    <row r="146" hidden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2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2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2"/>
    </row>
    <row r="147" hidden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2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2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2"/>
    </row>
    <row r="148" hidden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2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2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2"/>
    </row>
    <row r="149" hidden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2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2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2"/>
    </row>
    <row r="150" hidden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2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2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2"/>
    </row>
    <row r="151" hidden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2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2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2"/>
    </row>
    <row r="152" hidden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2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2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2"/>
    </row>
    <row r="153" hidden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2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2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2"/>
    </row>
    <row r="154" hidden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2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2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2"/>
    </row>
    <row r="155" hidden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2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2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2"/>
    </row>
    <row r="156" hidden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2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2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2"/>
    </row>
    <row r="157" hidden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2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2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2"/>
    </row>
    <row r="158" hidden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2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2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2"/>
    </row>
    <row r="159" hidden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2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2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2"/>
    </row>
    <row r="160" hidden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2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2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2"/>
    </row>
    <row r="161" hidden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2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2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2"/>
    </row>
    <row r="162" hidden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2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2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2"/>
    </row>
    <row r="163" hidden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2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2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2"/>
    </row>
    <row r="164" hidden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2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2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2"/>
    </row>
    <row r="165" hidden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2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2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2"/>
    </row>
    <row r="166" hidden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2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2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2"/>
    </row>
    <row r="167" hidden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2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2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2"/>
    </row>
    <row r="168" hidden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2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2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2"/>
    </row>
    <row r="169" hidden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2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2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2"/>
    </row>
    <row r="170" hidden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2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2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2"/>
    </row>
    <row r="171" hidden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2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2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2"/>
    </row>
    <row r="172" hidden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2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2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2"/>
    </row>
    <row r="173" hidden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2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2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2"/>
    </row>
    <row r="174" hidden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2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2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2"/>
    </row>
    <row r="175" hidden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2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2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2"/>
    </row>
    <row r="176" hidden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2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2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2"/>
    </row>
    <row r="177" hidden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2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2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2"/>
    </row>
    <row r="178" hidden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2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2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2"/>
    </row>
    <row r="179" hidden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2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2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2"/>
    </row>
    <row r="180" hidden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2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2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2"/>
    </row>
    <row r="181" hidden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2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2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2"/>
    </row>
    <row r="182" hidden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2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2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2"/>
    </row>
    <row r="183" hidden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2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2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2"/>
    </row>
    <row r="184" hidden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2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2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2"/>
    </row>
    <row r="185" hidden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2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2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2"/>
    </row>
    <row r="186" hidden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2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2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2"/>
    </row>
    <row r="187" hidden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2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2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2"/>
    </row>
    <row r="188" hidden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2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2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2"/>
    </row>
    <row r="189" hidden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2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2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2"/>
    </row>
    <row r="190" hidden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2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2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2"/>
    </row>
    <row r="191" hidden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2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2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2"/>
    </row>
    <row r="192" hidden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2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2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2"/>
    </row>
    <row r="193" hidden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2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2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2"/>
    </row>
    <row r="194" hidden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2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2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2"/>
    </row>
    <row r="195" hidden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2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2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2"/>
    </row>
    <row r="196" hidden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2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2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2"/>
    </row>
    <row r="197" hidden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2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2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2"/>
    </row>
    <row r="198" hidden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2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2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2"/>
    </row>
    <row r="199" hidden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2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2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2"/>
    </row>
    <row r="200" hidden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2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2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2"/>
    </row>
    <row r="201" hidden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2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2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2"/>
    </row>
    <row r="202" hidden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2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2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2"/>
    </row>
    <row r="203" hidden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2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2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2"/>
    </row>
    <row r="204" hidden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2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2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2"/>
    </row>
    <row r="205" hidden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2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2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2"/>
    </row>
    <row r="206" hidden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2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2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2"/>
    </row>
    <row r="207" hidden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2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2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2"/>
    </row>
    <row r="208" hidden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2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2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2"/>
    </row>
    <row r="209" hidden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2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2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2"/>
    </row>
    <row r="210" hidden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2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2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2"/>
    </row>
    <row r="211" hidden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2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2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2"/>
    </row>
    <row r="212" hidden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2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2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2"/>
    </row>
    <row r="213" hidden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2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2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2"/>
    </row>
    <row r="214" hidden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2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2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2"/>
    </row>
    <row r="215" hidden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2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2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2"/>
    </row>
    <row r="216" hidden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2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2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2"/>
    </row>
    <row r="217" hidden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2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2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2"/>
    </row>
    <row r="218" hidden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2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2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2"/>
    </row>
    <row r="219" hidden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2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2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2"/>
    </row>
    <row r="220" hidden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2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2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2"/>
    </row>
    <row r="221" hidden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2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2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2"/>
    </row>
    <row r="222" hidden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2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2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2"/>
    </row>
    <row r="223" hidden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2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2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2"/>
    </row>
    <row r="224" hidden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2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2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2"/>
    </row>
    <row r="225" hidden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2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2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2"/>
    </row>
    <row r="226" hidden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2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2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2"/>
    </row>
    <row r="227" hidden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2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2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2"/>
    </row>
    <row r="228" hidden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2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2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2"/>
    </row>
    <row r="229" hidden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2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2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2"/>
    </row>
    <row r="230" hidden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2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2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2"/>
    </row>
    <row r="231" hidden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2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2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2"/>
    </row>
    <row r="232" hidden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2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2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2"/>
    </row>
    <row r="233" hidden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2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2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2"/>
    </row>
    <row r="234" hidden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2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2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2"/>
    </row>
    <row r="235" hidden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2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2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2"/>
    </row>
    <row r="236" hidden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2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2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2"/>
    </row>
    <row r="237" hidden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2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2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2"/>
    </row>
    <row r="238" hidden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2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2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2"/>
    </row>
    <row r="239" hidden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2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2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2"/>
    </row>
    <row r="240" hidden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2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2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2"/>
    </row>
    <row r="241" hidden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2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2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2"/>
    </row>
    <row r="242" hidden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2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2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2"/>
    </row>
    <row r="243" hidden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2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2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2"/>
    </row>
    <row r="244" hidden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2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2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2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2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2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2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2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2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2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2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2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2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2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2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2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2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2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2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2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2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2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2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2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2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2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2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2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2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2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2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2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2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2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2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2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2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2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2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2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2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2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2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2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2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2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2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2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2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2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2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2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2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2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2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2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2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2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2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2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2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2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2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2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2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2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2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2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2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2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2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2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2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2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2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2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2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2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2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2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2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2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2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2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2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2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2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2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2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2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2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2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2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2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2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2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2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2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2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2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2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2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2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2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2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2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2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2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2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2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2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2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2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2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2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2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2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2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2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2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2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2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2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2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2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2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2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2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2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2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2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2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2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2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2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2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2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2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2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2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2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2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2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2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2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2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2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2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2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2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2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2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2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2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2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2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2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2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2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2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2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2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2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2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2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2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2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2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2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2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2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2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2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2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2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2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2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2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2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2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2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2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2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2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2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2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2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2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2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2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2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2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2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2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2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2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2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2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2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2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2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2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2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2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2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2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2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2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2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2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2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2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2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2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2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2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2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2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2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2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2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2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2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2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2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2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2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2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2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2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2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2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2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2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2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2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2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2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2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2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2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2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2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2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2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2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2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2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2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2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2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2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2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2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2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2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2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2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2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2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2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2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2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2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2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2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2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2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2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2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2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2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2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2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2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2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2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2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2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2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2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2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2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2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2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2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2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2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2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2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2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2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2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2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2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2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2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2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2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2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2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2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2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2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2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2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2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2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2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2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2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2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2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2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2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2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2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2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2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2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2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2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2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2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2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2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2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2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2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2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2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2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2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2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2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2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2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2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2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2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2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2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2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2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2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2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2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2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2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2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2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2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2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2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2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2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2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2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2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2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2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2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2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2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2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2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2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2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2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2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2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2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2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2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2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2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2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2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2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2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2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2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2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2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2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2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2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2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2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2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2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2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2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2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2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2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2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2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2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2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2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2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2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2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2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2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2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2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2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2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2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2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2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2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2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2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2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2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2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2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2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2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2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2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2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2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2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2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2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2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2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2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2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2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2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2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2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2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2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2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2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2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2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2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2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2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2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2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2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2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2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2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2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2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2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2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2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2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2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2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2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2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2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2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2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2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2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2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2"/>
    </row>
    <row r="401" hidden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2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2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2"/>
    </row>
    <row r="402" hidden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2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2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2"/>
    </row>
    <row r="403" hidden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2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2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2"/>
    </row>
    <row r="404" hidden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2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2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2"/>
    </row>
    <row r="405" hidden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2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2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2"/>
    </row>
    <row r="406" hidden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2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2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2"/>
    </row>
    <row r="407" hidden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2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2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2"/>
    </row>
    <row r="408" hidden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2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2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2"/>
    </row>
    <row r="409" hidden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2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2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2"/>
    </row>
    <row r="410" hidden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2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2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2"/>
    </row>
    <row r="411" hidden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2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2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2"/>
    </row>
    <row r="412" hidden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2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2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2"/>
    </row>
    <row r="413" hidden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2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2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2"/>
    </row>
    <row r="414" hidden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2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2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2"/>
    </row>
    <row r="415" hidden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2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2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2"/>
    </row>
    <row r="416" hidden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2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2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2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2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2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2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2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2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2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2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2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2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2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2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2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2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2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2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2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2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2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2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2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2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2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2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2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2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2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2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2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2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2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2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2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2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2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2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2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2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2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2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2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2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2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2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2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2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2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2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2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2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2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2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2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2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2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2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2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2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2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2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2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2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2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2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2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2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2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2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2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2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2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2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2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2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2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2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2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2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2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2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2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2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2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2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2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2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2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2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2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2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2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2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2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2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2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2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2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2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2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2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2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2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2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2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2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2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2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2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2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2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2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2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2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2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2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2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2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2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2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2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2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2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2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2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2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2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2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2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2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2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2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2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2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2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2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2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2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2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2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2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2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2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2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2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2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2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2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2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2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2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2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2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2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2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2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2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2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2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2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2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2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2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2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2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2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2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2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2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2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2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2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2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2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2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2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2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2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2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2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2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2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2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2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2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2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2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2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2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2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2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2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2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2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2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2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2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2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2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2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2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2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2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2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2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2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2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2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2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2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2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2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2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2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2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2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2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2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2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2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2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2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2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2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2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2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2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2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2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2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2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2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2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2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2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2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2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2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2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2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2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2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2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2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2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2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2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2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2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2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2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2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2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2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2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2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2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2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2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2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2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2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2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2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2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2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2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2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2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2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2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2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2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2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2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2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2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2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2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2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2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2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2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2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2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2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2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2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2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2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2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2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2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2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2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2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2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2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2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2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2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2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2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2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2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2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2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2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2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2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2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2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2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2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2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2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2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2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2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2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2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2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2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2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2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2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2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2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2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2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2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2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2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2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2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2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2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2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2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2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2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2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2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2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2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2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2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2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2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2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2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2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2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2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2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2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2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2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2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2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2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2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2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2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2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2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2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2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2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2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2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2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2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2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2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2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2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2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2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2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2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2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2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2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2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2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2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2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2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2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2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2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2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2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2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2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2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2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2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2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2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2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2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2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2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2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2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2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2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2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2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2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2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2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2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2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2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2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2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2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2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2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2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2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2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2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2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2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2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2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2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2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2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2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2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2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2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2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2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2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2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2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2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2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2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2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2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2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2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2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2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2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2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2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2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2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2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2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2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2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2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2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2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2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2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2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2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2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2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2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2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2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2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2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2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2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2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2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2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2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2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2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2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2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2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2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2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2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2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2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2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2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2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2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2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2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2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2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2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2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2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2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2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2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2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2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2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2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2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2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2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2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2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2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2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2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2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2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2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2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2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2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2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2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2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2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2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2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2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2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2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2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2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2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2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2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2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2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2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  <c r="AA597" s="242"/>
      <c r="AB597" s="242"/>
      <c r="AC597" s="242"/>
      <c r="AD597" s="242"/>
      <c r="AE597" s="242"/>
      <c r="AF597" s="242"/>
      <c r="AG597" s="242"/>
      <c r="AH597" s="242"/>
      <c r="AI597" s="242"/>
      <c r="AJ597" s="242"/>
    </row>
    <row r="598">
      <c r="A598" s="241" t="str">
        <f>IFERROR(__xludf.DUMMYFUNCTION("if('Time 5'!C3 = ""Albert"", query(IMPORTRANGE(cd_planilha, ""Armas!B3:G""), ""Select Col1 Where Col2 = '""&amp;Personagem!$B$10&amp;""' or Col2 = '""&amp;Personagem!$B$11&amp;""'""),     
if('Time 5'!C3 = ""Alicia"", query(IMPORTRANGE(cd_planilha, ""Armas!B3:G""), ""Sel"&amp;"ect Col1 Where Col2 = '""&amp;Personagem!$C$10&amp;""' or Col2 = '""&amp;Personagem!$C$11&amp;""'""),
if('Time 5'!C3 = ""Azula"", query(IMPORTRANGE(cd_planilha, ""Armas!B3:G""), ""Select Col1 Where Col2 = '""&amp;Personagem!$D$10&amp;""' or Col2 = '""&amp;Personagem!$D$11&amp;""' ""),
i"&amp;"f('Time 5'!C3 = ""Charles"", query(IMPORTRANGE(cd_planilha, ""Armas!B3:G""), ""Select Col1 Where Col2 = '""&amp;Personagem!$E$10&amp;""' or Col2 = '""&amp;Personagem!$E$11&amp;""'""),
if('Time 5'!C3 = ""Clovis"", query(IMPORTRANGE(cd_planilha, ""Armas!B3:G""), ""Select C"&amp;"ol1 Where Col2 = '""&amp;Personagem!$F$10&amp;""' or Col2 = '""&amp;Personagem!$F$11&amp;""' ""),
if('Time 5'!C3 = ""Darthos"", query(IMPORTRANGE(cd_planilha, ""Armas!B3:G""), ""Select Col1 Where Col2 = '""&amp;Personagem!$G$10&amp;""' or Col2 = '""&amp;Personagem!$G$11&amp;""'""),
if('"&amp;"Time 5'!C3 = ""Edward"", query(IMPORTRANGE(cd_planilha, ""Armas!B3:G""), ""Select Col1 Where Col2 = '""&amp;Personagem!$H$10&amp;""' or Col2 = '""&amp;Personagem!$H$11&amp;""' ""),
if('Time 5'!C3 = ""Fiora"", query(IMPORTRANGE(cd_planilha, ""Armas!B3:G""), ""Select Col1 "&amp;"Where Col2 = '""&amp;Personagem!$I$10&amp;""' or Col2 = '""&amp;Personagem!$I$11&amp;""' ""),
if('Time 5'!C3 = ""Francesca"", query(IMPORTRANGE(cd_planilha, ""Armas!B3:G""), ""Select Col1 Where Col2 = '""&amp;Personagem!$J$10&amp;""' or Col2 = '""&amp;Personagem!$J$11&amp;""'""),
if('Ti"&amp;"me 5'!C3 = ""Garreth"", query(IMPORTRANGE(cd_planilha, ""Armas!B3:G""), ""Select Col1 Where Col2 = '""&amp;Personagem!$K$10&amp;""' or Col2 = '""&amp;Personagem!$K$11&amp;""'""),
if('Time 5'!C3 = ""Gauvin"", query(IMPORTRANGE(cd_planilha, ""Armas!B3:G""), ""Select Col1 W"&amp;"here Col2 = '""&amp;Personagem!$L$10&amp;""' or Col2 = '""&amp;Personagem!$L$11&amp;""' ""),
if('Time 5'!C3 = ""Irene"", query(IMPORTRANGE(cd_planilha, ""Armas!B3:G""), ""Select Col1 Where Col2 = '""&amp;Personagem!$M$10&amp;""' or Col2 = '""&amp;Personagem!$M$11&amp;""' ""),
if('Time 5"&amp;"'!C3 = ""Karal"", query(IMPORTRANGE(cd_planilha, ""Armas!B3:G""), ""Select Col1 Where Col2 = '""&amp;Personagem!$N$10&amp;""' or Col2 = '""&amp;Personagem!$N$11&amp;""' ""),
if('Time 5'!C3 = ""Kuro Shobi"", query(IMPORTRANGE(cd_planilha, ""Armas!B3:G""), ""Select Col1 Wh"&amp;"ere Col2 = '""&amp;Personagem!$O$10&amp;""' or Col2 = '""&amp;Personagem!$O$11&amp;""'""),
if('Time 5'!C3 = ""Kurul"", query(IMPORTRANGE(cd_planilha, ""Armas!B3:G""), ""Select Col1 Where Col2 = '""&amp;Personagem!$P$10&amp;""' or Col2 = '""&amp;Personagem!$P$11&amp;""' ""),
if('Time 5'!"&amp;"C3 = ""Lancaster"", query(IMPORTRANGE(cd_planilha, ""Armas!B3:G""), ""Select Col1 Where Col2 = '""&amp;Personagem!$Q$10&amp;""' or Col2 = '""&amp;Personagem!$Q$11&amp;""'""),
if('Time 5'!C3 = ""Lorelei"", query(IMPORTRANGE(cd_planilha, ""Armas!B3:G""), ""Select Col1 Wher"&amp;"e Col2 = '""&amp;Personagem!$R$10&amp;""' or Col2 = '""&amp;Personagem!$R$11&amp;""' ""),
if('Time 5'!C3 = ""Louca"", query(IMPORTRANGE(cd_planilha, ""Armas!B3:G""), ""Select Col1 Where Col2 = '""&amp;Personagem!$S$10&amp;""' or Col2 = '""&amp;Personagem!$S$11&amp;""' ""),
if('Time 5'!C"&amp;"3 = ""Melina"", query(IMPORTRANGE(cd_planilha, ""Armas!B3:G""), ""Select Col1 Where Col2 = '""&amp;Personagem!$T$10&amp;""' or Col2 = '""&amp;Personagem!$T$11&amp;""'""),
if('Time 5'!C3 = ""Mila"", query(IMPORTRANGE(cd_planilha, ""Armas!B3:G""), ""Select Col1 Where Col2 "&amp;"= '""&amp;Personagem!$U$10&amp;""' or Col2 = '""&amp;Personagem!$U$11&amp;""' ""),
if('Time 5'!C3 = ""Minh"", query(IMPORTRANGE(cd_planilha, ""Armas!B3:G""), ""Select Col1 Where Col2 = '""&amp;Personagem!$V$10&amp;""' or Col2 = '""&amp;Personagem!$V$11&amp;""' ""),
if('Time 5'!C3 = ""Mo"&amp;"jian"", query(IMPORTRANGE(cd_planilha, ""Armas!B3:G""), ""Select Col1 Where Col2 = '""&amp;Personagem!$W$10&amp;""' or Col2 = '""&amp;Personagem!$W$11&amp;""'""),
if('Time 5'!C3 = ""Nya"", query(IMPORTRANGE(cd_planilha, ""Armas!B3:G""), ""Select Col1 Where Col2 = '""&amp;Per"&amp;"sonagem!$X$10&amp;""' or Col2 = '""&amp;Personagem!$X$11&amp;""' ""),
if('Time 5'!C3 = ""Odette"", query(IMPORTRANGE(cd_planilha, ""Armas!B3:G""), ""Select Col1 Where Col2 = '""&amp;Personagem!$Y$10&amp;""' or Col2 = '""&amp;Personagem!$Y$11&amp;""'""),
if('Time 5'!C3 = ""Oneira"", "&amp;"query(IMPORTRANGE(cd_planilha, ""Armas!B3:G""), ""Select Col1 Where Col2 = '""&amp;Personagem!$Z$10&amp;""' or Col2 = '""&amp;Personagem!$Z$11&amp;""' ""),
if('Time 5'!C3 = ""Palash"", query(IMPORTRANGE(cd_planilha, ""Armas!B3:G""), ""Select Col1 Where Col2 = '""&amp;Persona"&amp;"gem!$AA$10&amp;""' or Col2 = '""&amp;Personagem!$AA$11&amp;""'""),
if('Time 5'!C3 = ""Theor"", query(IMPORTRANGE(cd_planilha, ""Armas!B3:G""), ""Select Col1 Where Col2 = '""&amp;Personagem!$AB$10&amp;""' or Col2 = '""&amp;Personagem!$AB$11&amp;""' ""),
if('Time 5'!C3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B598" s="241"/>
      <c r="C598" s="241" t="str">
        <f>IFERROR(__xludf.DUMMYFUNCTION("if('Time 5'!C4 = ""Albert"", query(IMPORTRANGE(cd_planilha, ""Armas!B3:G""), ""Select Col1 Where Col2 = '""&amp;Personagem!$B$10&amp;""' or Col2 = '""&amp;Personagem!$B$11&amp;""'""),     
if('Time 5'!C4 = ""Alicia"", query(IMPORTRANGE(cd_planilha, ""Armas!B3:G""), ""Sel"&amp;"ect Col1 Where Col2 = '""&amp;Personagem!$C$10&amp;""' or Col2 = '""&amp;Personagem!$C$11&amp;""'""),
if('Time 5'!C4 = ""Azula"", query(IMPORTRANGE(cd_planilha, ""Armas!B3:G""), ""Select Col1 Where Col2 = '""&amp;Personagem!$D$10&amp;""' or Col2 = '""&amp;Personagem!$D$11&amp;""' ""),
i"&amp;"f('Time 5'!C4 = ""Charles"", query(IMPORTRANGE(cd_planilha, ""Armas!B3:G""), ""Select Col1 Where Col2 = '""&amp;Personagem!$E$10&amp;""' or Col2 = '""&amp;Personagem!$E$11&amp;""'""),
if('Time 5'!C4 = ""Clovis"", query(IMPORTRANGE(cd_planilha, ""Armas!B3:G""), ""Select C"&amp;"ol1 Where Col2 = '""&amp;Personagem!$F$10&amp;""' or Col2 = '""&amp;Personagem!$F$11&amp;""' ""),
if('Time 5'!C4 = ""Darthos"", query(IMPORTRANGE(cd_planilha, ""Armas!B3:G""), ""Select Col1 Where Col2 = '""&amp;Personagem!$G$10&amp;""' or Col2 = '""&amp;Personagem!$G$11&amp;""'""),
if('"&amp;"Time 5'!C4 = ""Edward"", query(IMPORTRANGE(cd_planilha, ""Armas!B3:G""), ""Select Col1 Where Col2 = '""&amp;Personagem!$H$10&amp;""' or Col2 = '""&amp;Personagem!$H$11&amp;""' ""),
if('Time 5'!C4 = ""Fiora"", query(IMPORTRANGE(cd_planilha, ""Armas!B3:G""), ""Select Col1 "&amp;"Where Col2 = '""&amp;Personagem!$I$10&amp;""' or Col2 = '""&amp;Personagem!$I$11&amp;""' ""),
if('Time 5'!C4 = ""Francesca"", query(IMPORTRANGE(cd_planilha, ""Armas!B3:G""), ""Select Col1 Where Col2 = '""&amp;Personagem!$J$10&amp;""' or Col2 = '""&amp;Personagem!$J$11&amp;""'""),
if('Ti"&amp;"me 5'!C4 = ""Garreth"", query(IMPORTRANGE(cd_planilha, ""Armas!B3:G""), ""Select Col1 Where Col2 = '""&amp;Personagem!$K$10&amp;""' or Col2 = '""&amp;Personagem!$K$11&amp;""'""),
if('Time 5'!C4 = ""Gauvin"", query(IMPORTRANGE(cd_planilha, ""Armas!B3:G""), ""Select Col1 W"&amp;"here Col2 = '""&amp;Personagem!$L$10&amp;""' or Col2 = '""&amp;Personagem!$L$11&amp;""' ""),
if('Time 5'!C4 = ""Irene"", query(IMPORTRANGE(cd_planilha, ""Armas!B3:G""), ""Select Col1 Where Col2 = '""&amp;Personagem!$M$10&amp;""' or Col2 = '""&amp;Personagem!$M$11&amp;""' ""),
if('Time 5"&amp;"'!C4 = ""Karal"", query(IMPORTRANGE(cd_planilha, ""Armas!B3:G""), ""Select Col1 Where Col2 = '""&amp;Personagem!$N$10&amp;""' or Col2 = '""&amp;Personagem!$N$11&amp;""' ""),
if('Time 5'!C4 = ""Kuro Shobi"", query(IMPORTRANGE(cd_planilha, ""Armas!B3:G""), ""Select Col1 Wh"&amp;"ere Col2 = '""&amp;Personagem!$O$10&amp;""' or Col2 = '""&amp;Personagem!$O$11&amp;""'""),
if('Time 5'!C4 = ""Kurul"", query(IMPORTRANGE(cd_planilha, ""Armas!B3:G""), ""Select Col1 Where Col2 = '""&amp;Personagem!$P$10&amp;""' or Col2 = '""&amp;Personagem!$P$11&amp;""' ""),
if('Time 5'!"&amp;"C4 = ""Lancaster"", query(IMPORTRANGE(cd_planilha, ""Armas!B3:G""), ""Select Col1 Where Col2 = '""&amp;Personagem!$Q$10&amp;""' or Col2 = '""&amp;Personagem!$Q$11&amp;""'""),
if('Time 5'!C4 = ""Lorelei"", query(IMPORTRANGE(cd_planilha, ""Armas!B3:G""), ""Select Col1 Wher"&amp;"e Col2 = '""&amp;Personagem!$R$10&amp;""' or Col2 = '""&amp;Personagem!$R$11&amp;""' ""),
if('Time 5'!C4 = ""Louca"", query(IMPORTRANGE(cd_planilha, ""Armas!B3:G""), ""Select Col1 Where Col2 = '""&amp;Personagem!$S$10&amp;""' or Col2 = '""&amp;Personagem!$S$11&amp;""' ""),
if('Time 5'!C"&amp;"4 = ""Melina"", query(IMPORTRANGE(cd_planilha, ""Armas!B3:G""), ""Select Col1 Where Col2 = '""&amp;Personagem!$T$10&amp;""' or Col2 = '""&amp;Personagem!$T$11&amp;""'""),
if('Time 5'!C4 = ""Mila"", query(IMPORTRANGE(cd_planilha, ""Armas!B3:G""), ""Select Col1 Where Col2 "&amp;"= '""&amp;Personagem!$U$10&amp;""' or Col2 = '""&amp;Personagem!$U$11&amp;""' ""),
if('Time 5'!C4 = ""Minh"", query(IMPORTRANGE(cd_planilha, ""Armas!B3:G""), ""Select Col1 Where Col2 = '""&amp;Personagem!$V$10&amp;""' or Col2 = '""&amp;Personagem!$V$11&amp;""' ""),
if('Time 5'!C4 = ""Mo"&amp;"jian"", query(IMPORTRANGE(cd_planilha, ""Armas!B3:G""), ""Select Col1 Where Col2 = '""&amp;Personagem!$W$10&amp;""' or Col2 = '""&amp;Personagem!$W$11&amp;""'""),
if('Time 5'!C4 = ""Nya"", query(IMPORTRANGE(cd_planilha, ""Armas!B3:G""), ""Select Col1 Where Col2 = '""&amp;Per"&amp;"sonagem!$X$10&amp;""' or Col2 = '""&amp;Personagem!$X$11&amp;""' ""),
if('Time 5'!C4 = ""Odette"", query(IMPORTRANGE(cd_planilha, ""Armas!B3:G""), ""Select Col1 Where Col2 = '""&amp;Personagem!$Y$10&amp;""' or Col2 = '""&amp;Personagem!$Y$11&amp;""'""),
if('Time 5'!C4 = ""Oneira"", "&amp;"query(IMPORTRANGE(cd_planilha, ""Armas!B3:G""), ""Select Col1 Where Col2 = '""&amp;Personagem!$Z$10&amp;""' or Col2 = '""&amp;Personagem!$Z$11&amp;""' ""),
if('Time 5'!C4 = ""Palash"", query(IMPORTRANGE(cd_planilha, ""Armas!B3:G""), ""Select Col1 Where Col2 = '""&amp;Persona"&amp;"gem!$AA$10&amp;""' or Col2 = '""&amp;Personagem!$AA$11&amp;""'""),
if('Time 5'!C4 = ""Theor"", query(IMPORTRANGE(cd_planilha, ""Armas!B3:G""), ""Select Col1 Where Col2 = '""&amp;Personagem!$AB$10&amp;""' or Col2 = '""&amp;Personagem!$AB$11&amp;""' ""),
if('Time 5'!C4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D598" s="241"/>
      <c r="E598" s="241" t="str">
        <f>IFERROR(__xludf.DUMMYFUNCTION("if('Time 5'!C5 = ""Albert"", query(IMPORTRANGE(cd_planilha, ""Armas!B3:G""), ""Select Col1 Where Col2 = '""&amp;Personagem!$B$10&amp;""' or Col2 = '""&amp;Personagem!$B$11&amp;""'""),     
if('Time 5'!C5 = ""Alicia"", query(IMPORTRANGE(cd_planilha, ""Armas!B3:G""), ""Sel"&amp;"ect Col1 Where Col2 = '""&amp;Personagem!$C$10&amp;""' or Col2 = '""&amp;Personagem!$C$11&amp;""'""),
if('Time 5'!C5 = ""Azula"", query(IMPORTRANGE(cd_planilha, ""Armas!B3:G""), ""Select Col1 Where Col2 = '""&amp;Personagem!$D$10&amp;""' or Col2 = '""&amp;Personagem!$D$11&amp;""' ""),
i"&amp;"f('Time 5'!C5 = ""Charles"", query(IMPORTRANGE(cd_planilha, ""Armas!B3:G""), ""Select Col1 Where Col2 = '""&amp;Personagem!$E$10&amp;""' or Col2 = '""&amp;Personagem!$E$11&amp;""'""),
if('Time 5'!C5 = ""Clovis"", query(IMPORTRANGE(cd_planilha, ""Armas!B3:G""), ""Select C"&amp;"ol1 Where Col2 = '""&amp;Personagem!$F$10&amp;""' or Col2 = '""&amp;Personagem!$F$11&amp;""' ""),
if('Time 5'!C5 = ""Darthos"", query(IMPORTRANGE(cd_planilha, ""Armas!B3:G""), ""Select Col1 Where Col2 = '""&amp;Personagem!$G$10&amp;""' or Col2 = '""&amp;Personagem!$G$11&amp;""'""),
if('"&amp;"Time 5'!C5 = ""Edward"", query(IMPORTRANGE(cd_planilha, ""Armas!B3:G""), ""Select Col1 Where Col2 = '""&amp;Personagem!$H$10&amp;""' or Col2 = '""&amp;Personagem!$H$11&amp;""' ""),
if('Time 5'!C5 = ""Fiora"", query(IMPORTRANGE(cd_planilha, ""Armas!B3:G""), ""Select Col1 "&amp;"Where Col2 = '""&amp;Personagem!$I$10&amp;""' or Col2 = '""&amp;Personagem!$I$11&amp;""' ""),
if('Time 5'!C5 = ""Francesca"", query(IMPORTRANGE(cd_planilha, ""Armas!B3:G""), ""Select Col1 Where Col2 = '""&amp;Personagem!$J$10&amp;""' or Col2 = '""&amp;Personagem!$J$11&amp;""'""),
if('Ti"&amp;"me 5'!C5 = ""Garreth"", query(IMPORTRANGE(cd_planilha, ""Armas!B3:G""), ""Select Col1 Where Col2 = '""&amp;Personagem!$K$10&amp;""' or Col2 = '""&amp;Personagem!$K$11&amp;""'""),
if('Time 5'!C5 = ""Gauvin"", query(IMPORTRANGE(cd_planilha, ""Armas!B3:G""), ""Select Col1 W"&amp;"here Col2 = '""&amp;Personagem!$L$10&amp;""' or Col2 = '""&amp;Personagem!$L$11&amp;""' ""),
if('Time 5'!C5 = ""Irene"", query(IMPORTRANGE(cd_planilha, ""Armas!B3:G""), ""Select Col1 Where Col2 = '""&amp;Personagem!$M$10&amp;""' or Col2 = '""&amp;Personagem!$M$11&amp;""' ""),
if('Time 5"&amp;"'!C5 = ""Karal"", query(IMPORTRANGE(cd_planilha, ""Armas!B3:G""), ""Select Col1 Where Col2 = '""&amp;Personagem!$N$10&amp;""' or Col2 = '""&amp;Personagem!$N$11&amp;""' ""),
if('Time 5'!C5 = ""Kuro Shobi"", query(IMPORTRANGE(cd_planilha, ""Armas!B3:G""), ""Select Col1 Wh"&amp;"ere Col2 = '""&amp;Personagem!$O$10&amp;""' or Col2 = '""&amp;Personagem!$O$11&amp;""'""),
if('Time 5'!C5 = ""Kurul"", query(IMPORTRANGE(cd_planilha, ""Armas!B3:G""), ""Select Col1 Where Col2 = '""&amp;Personagem!$P$10&amp;""' or Col2 = '""&amp;Personagem!$P$11&amp;""' ""),
if('Time 5'!"&amp;"C5 = ""Lancaster"", query(IMPORTRANGE(cd_planilha, ""Armas!B3:G""), ""Select Col1 Where Col2 = '""&amp;Personagem!$Q$10&amp;""' or Col2 = '""&amp;Personagem!$Q$11&amp;""'""),
if('Time 5'!C5 = ""Lorelei"", query(IMPORTRANGE(cd_planilha, ""Armas!B3:G""), ""Select Col1 Wher"&amp;"e Col2 = '""&amp;Personagem!$R$10&amp;""' or Col2 = '""&amp;Personagem!$R$11&amp;""' ""),
if('Time 5'!C5 = ""Louca"", query(IMPORTRANGE(cd_planilha, ""Armas!B3:G""), ""Select Col1 Where Col2 = '""&amp;Personagem!$S$10&amp;""' or Col2 = '""&amp;Personagem!$S$11&amp;""' ""),
if('Time 5'!C"&amp;"5 = ""Melina"", query(IMPORTRANGE(cd_planilha, ""Armas!B3:G""), ""Select Col1 Where Col2 = '""&amp;Personagem!$T$10&amp;""' or Col2 = '""&amp;Personagem!$T$11&amp;""'""),
if('Time 5'!C5 = ""Mila"", query(IMPORTRANGE(cd_planilha, ""Armas!B3:G""), ""Select Col1 Where Col2 "&amp;"= '""&amp;Personagem!$U$10&amp;""' or Col2 = '""&amp;Personagem!$U$11&amp;""' ""),
if('Time 5'!C5 = ""Minh"", query(IMPORTRANGE(cd_planilha, ""Armas!B3:G""), ""Select Col1 Where Col2 = '""&amp;Personagem!$V$10&amp;""' or Col2 = '""&amp;Personagem!$V$11&amp;""' ""),
if('Time 5'!C5 = ""Mo"&amp;"jian"", query(IMPORTRANGE(cd_planilha, ""Armas!B3:G""), ""Select Col1 Where Col2 = '""&amp;Personagem!$W$10&amp;""' or Col2 = '""&amp;Personagem!$W$11&amp;""'""),
if('Time 5'!C5 = ""Nya"", query(IMPORTRANGE(cd_planilha, ""Armas!B3:G""), ""Select Col1 Where Col2 = '""&amp;Per"&amp;"sonagem!$X$10&amp;""' or Col2 = '""&amp;Personagem!$X$11&amp;""' ""),
if('Time 5'!C5 = ""Odette"", query(IMPORTRANGE(cd_planilha, ""Armas!B3:G""), ""Select Col1 Where Col2 = '""&amp;Personagem!$Y$10&amp;""' or Col2 = '""&amp;Personagem!$Y$11&amp;""'""),
if('Time 5'!C5 = ""Oneira"", "&amp;"query(IMPORTRANGE(cd_planilha, ""Armas!B3:G""), ""Select Col1 Where Col2 = '""&amp;Personagem!$Z$10&amp;""' or Col2 = '""&amp;Personagem!$Z$11&amp;""' ""),
if('Time 5'!C5 = ""Palash"", query(IMPORTRANGE(cd_planilha, ""Armas!B3:G""), ""Select Col1 Where Col2 = '""&amp;Persona"&amp;"gem!$AA$10&amp;""' or Col2 = '""&amp;Personagem!$AA$11&amp;""'""),
if('Time 5'!C5 = ""Theor"", query(IMPORTRANGE(cd_planilha, ""Armas!B3:G""), ""Select Col1 Where Col2 = '""&amp;Personagem!$AB$10&amp;""' or Col2 = '""&amp;Personagem!$AB$11&amp;""' ""),
if('Time 5'!C5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F598" s="241"/>
      <c r="G598" s="241" t="str">
        <f>IFERROR(__xludf.DUMMYFUNCTION("if('Time 5'!C6 = ""Albert"", query(IMPORTRANGE(cd_planilha, ""Armas!B3:G""), ""Select Col1 Where Col2 = '""&amp;Personagem!$B$10&amp;""' or Col2 = '""&amp;Personagem!$B$11&amp;""'""),     
if('Time 5'!C6 = ""Alicia"", query(IMPORTRANGE(cd_planilha, ""Armas!B3:G""), ""Sel"&amp;"ect Col1 Where Col2 = '""&amp;Personagem!$C$10&amp;""' or Col2 = '""&amp;Personagem!$C$11&amp;""'""),
if('Time 5'!C6 = ""Azula"", query(IMPORTRANGE(cd_planilha, ""Armas!B3:G""), ""Select Col1 Where Col2 = '""&amp;Personagem!$D$10&amp;""' or Col2 = '""&amp;Personagem!$D$11&amp;""' ""),
i"&amp;"f('Time 5'!C6 = ""Charles"", query(IMPORTRANGE(cd_planilha, ""Armas!B3:G""), ""Select Col1 Where Col2 = '""&amp;Personagem!$E$10&amp;""' or Col2 = '""&amp;Personagem!$E$11&amp;""'""),
if('Time 5'!C6 = ""Clovis"", query(IMPORTRANGE(cd_planilha, ""Armas!B3:G""), ""Select C"&amp;"ol1 Where Col2 = '""&amp;Personagem!$F$10&amp;""' or Col2 = '""&amp;Personagem!$F$11&amp;""' ""),
if('Time 5'!C6 = ""Darthos"", query(IMPORTRANGE(cd_planilha, ""Armas!B3:G""), ""Select Col1 Where Col2 = '""&amp;Personagem!$G$10&amp;""' or Col2 = '""&amp;Personagem!$G$11&amp;""'""),
if('"&amp;"Time 5'!C6 = ""Edward"", query(IMPORTRANGE(cd_planilha, ""Armas!B3:G""), ""Select Col1 Where Col2 = '""&amp;Personagem!$H$10&amp;""' or Col2 = '""&amp;Personagem!$H$11&amp;""' ""),
if('Time 5'!C6 = ""Fiora"", query(IMPORTRANGE(cd_planilha, ""Armas!B3:G""), ""Select Col1 "&amp;"Where Col2 = '""&amp;Personagem!$I$10&amp;""' or Col2 = '""&amp;Personagem!$I$11&amp;""' ""),
if('Time 5'!C6 = ""Francesca"", query(IMPORTRANGE(cd_planilha, ""Armas!B3:G""), ""Select Col1 Where Col2 = '""&amp;Personagem!$J$10&amp;""' or Col2 = '""&amp;Personagem!$J$11&amp;""'""),
if('Ti"&amp;"me 5'!C6 = ""Garreth"", query(IMPORTRANGE(cd_planilha, ""Armas!B3:G""), ""Select Col1 Where Col2 = '""&amp;Personagem!$K$10&amp;""' or Col2 = '""&amp;Personagem!$K$11&amp;""'""),
if('Time 5'!C6 = ""Gauvin"", query(IMPORTRANGE(cd_planilha, ""Armas!B3:G""), ""Select Col1 W"&amp;"here Col2 = '""&amp;Personagem!$L$10&amp;""' or Col2 = '""&amp;Personagem!$L$11&amp;""' ""),
if('Time 5'!C6 = ""Irene"", query(IMPORTRANGE(cd_planilha, ""Armas!B3:G""), ""Select Col1 Where Col2 = '""&amp;Personagem!$M$10&amp;""' or Col2 = '""&amp;Personagem!$M$11&amp;""' ""),
if('Time 5"&amp;"'!C6 = ""Karal"", query(IMPORTRANGE(cd_planilha, ""Armas!B3:G""), ""Select Col1 Where Col2 = '""&amp;Personagem!$N$10&amp;""' or Col2 = '""&amp;Personagem!$N$11&amp;""' ""),
if('Time 5'!C6 = ""Kuro Shobi"", query(IMPORTRANGE(cd_planilha, ""Armas!B3:G""), ""Select Col1 Wh"&amp;"ere Col2 = '""&amp;Personagem!$O$10&amp;""' or Col2 = '""&amp;Personagem!$O$11&amp;""'""),
if('Time 5'!C6 = ""Kurul"", query(IMPORTRANGE(cd_planilha, ""Armas!B3:G""), ""Select Col1 Where Col2 = '""&amp;Personagem!$P$10&amp;""' or Col2 = '""&amp;Personagem!$P$11&amp;""' ""),
if('Time 5'!"&amp;"C6 = ""Lancaster"", query(IMPORTRANGE(cd_planilha, ""Armas!B3:G""), ""Select Col1 Where Col2 = '""&amp;Personagem!$Q$10&amp;""' or Col2 = '""&amp;Personagem!$Q$11&amp;""'""),
if('Time 5'!C6 = ""Lorelei"", query(IMPORTRANGE(cd_planilha, ""Armas!B3:G""), ""Select Col1 Wher"&amp;"e Col2 = '""&amp;Personagem!$R$10&amp;""' or Col2 = '""&amp;Personagem!$R$11&amp;""' ""),
if('Time 5'!C6 = ""Louca"", query(IMPORTRANGE(cd_planilha, ""Armas!B3:G""), ""Select Col1 Where Col2 = '""&amp;Personagem!$S$10&amp;""' or Col2 = '""&amp;Personagem!$S$11&amp;""' ""),
if('Time 5'!C"&amp;"6 = ""Melina"", query(IMPORTRANGE(cd_planilha, ""Armas!B3:G""), ""Select Col1 Where Col2 = '""&amp;Personagem!$T$10&amp;""' or Col2 = '""&amp;Personagem!$T$11&amp;""'""),
if('Time 5'!C6 = ""Mila"", query(IMPORTRANGE(cd_planilha, ""Armas!B3:G""), ""Select Col1 Where Col2 "&amp;"= '""&amp;Personagem!$U$10&amp;""' or Col2 = '""&amp;Personagem!$U$11&amp;""' ""),
if('Time 5'!C6 = ""Minh"", query(IMPORTRANGE(cd_planilha, ""Armas!B3:G""), ""Select Col1 Where Col2 = '""&amp;Personagem!$V$10&amp;""' or Col2 = '""&amp;Personagem!$V$11&amp;""' ""),
if('Time 5'!C6 = ""Mo"&amp;"jian"", query(IMPORTRANGE(cd_planilha, ""Armas!B3:G""), ""Select Col1 Where Col2 = '""&amp;Personagem!$W$10&amp;""' or Col2 = '""&amp;Personagem!$W$11&amp;""'""),
if('Time 5'!C6 = ""Nya"", query(IMPORTRANGE(cd_planilha, ""Armas!B3:G""), ""Select Col1 Where Col2 = '""&amp;Per"&amp;"sonagem!$X$10&amp;""' or Col2 = '""&amp;Personagem!$X$11&amp;""' ""),
if('Time 5'!C6 = ""Odette"", query(IMPORTRANGE(cd_planilha, ""Armas!B3:G""), ""Select Col1 Where Col2 = '""&amp;Personagem!$Y$10&amp;""' or Col2 = '""&amp;Personagem!$Y$11&amp;""'""),
if('Time 5'!C6 = ""Oneira"", "&amp;"query(IMPORTRANGE(cd_planilha, ""Armas!B3:G""), ""Select Col1 Where Col2 = '""&amp;Personagem!$Z$10&amp;""' or Col2 = '""&amp;Personagem!$Z$11&amp;""' ""),
if('Time 5'!C6 = ""Palash"", query(IMPORTRANGE(cd_planilha, ""Armas!B3:G""), ""Select Col1 Where Col2 = '""&amp;Persona"&amp;"gem!$AA$10&amp;""' or Col2 = '""&amp;Personagem!$AA$11&amp;""'""),
if('Time 5'!C6 = ""Theor"", query(IMPORTRANGE(cd_planilha, ""Armas!B3:G""), ""Select Col1 Where Col2 = '""&amp;Personagem!$AB$10&amp;""' or Col2 = '""&amp;Personagem!$AB$11&amp;""' ""),
if('Time 5'!C6 = ""Yue"", quer"&amp;"y(IMPORTRANGE(cd_planilha, ""Armas!B3:G""), ""Select Col1 Where Col2 = '""&amp;Personagem!$AC$10&amp;""' or Col2 = '""&amp;Personagem!$AC$11&amp;""'""
)))))))))))))))))))))))))))))"),"Manoplas Lunares")</f>
        <v>Manoplas Lunares</v>
      </c>
      <c r="H598" s="241"/>
      <c r="I598" s="241" t="str">
        <f>IFERROR(__xludf.DUMMYFUNCTION("if('Time 5'!C7 = ""Albert"", query(IMPORTRANGE(cd_planilha, ""Armas!B3:G""), ""Select Col1 Where Col2 = '""&amp;Personagem!$B$10&amp;""' or Col2 = '""&amp;Personagem!$B$11&amp;""'""),     
if('Time 5'!C7 = ""Alicia"", query(IMPORTRANGE(cd_planilha, ""Armas!B3:G""), ""Sel"&amp;"ect Col1 Where Col2 = '""&amp;Personagem!$C$10&amp;""' or Col2 = '""&amp;Personagem!$C$11&amp;""'""),
if('Time 5'!C7 = ""Azula"", query(IMPORTRANGE(cd_planilha, ""Armas!B3:G""), ""Select Col1 Where Col2 = '""&amp;Personagem!$D$10&amp;""' or Col2 = '""&amp;Personagem!$D$11&amp;""' ""),
i"&amp;"f('Time 5'!C7 = ""Charles"", query(IMPORTRANGE(cd_planilha, ""Armas!B3:G""), ""Select Col1 Where Col2 = '""&amp;Personagem!$E$10&amp;""' or Col2 = '""&amp;Personagem!$E$11&amp;""'""),
if('Time 5'!C7 = ""Clovis"", query(IMPORTRANGE(cd_planilha, ""Armas!B3:G""), ""Select C"&amp;"ol1 Where Col2 = '""&amp;Personagem!$F$10&amp;""' or Col2 = '""&amp;Personagem!$F$11&amp;""' ""),
if('Time 5'!C7 = ""Darthos"", query(IMPORTRANGE(cd_planilha, ""Armas!B3:G""), ""Select Col1 Where Col2 = '""&amp;Personagem!$G$10&amp;""' or Col2 = '""&amp;Personagem!$G$11&amp;""'""),
if('"&amp;"Time 5'!C7 = ""Edward"", query(IMPORTRANGE(cd_planilha, ""Armas!B3:G""), ""Select Col1 Where Col2 = '""&amp;Personagem!$H$10&amp;""' or Col2 = '""&amp;Personagem!$H$11&amp;""' ""),
if('Time 5'!C7 = ""Fiora"", query(IMPORTRANGE(cd_planilha, ""Armas!B3:G""), ""Select Col1 "&amp;"Where Col2 = '""&amp;Personagem!$I$10&amp;""' or Col2 = '""&amp;Personagem!$I$11&amp;""' ""),
if('Time 5'!C7 = ""Francesca"", query(IMPORTRANGE(cd_planilha, ""Armas!B3:G""), ""Select Col1 Where Col2 = '""&amp;Personagem!$J$10&amp;""' or Col2 = '""&amp;Personagem!$J$11&amp;""'""),
if('Ti"&amp;"me 5'!C7 = ""Garreth"", query(IMPORTRANGE(cd_planilha, ""Armas!B3:G""), ""Select Col1 Where Col2 = '""&amp;Personagem!$K$10&amp;""' or Col2 = '""&amp;Personagem!$K$11&amp;""'""),
if('Time 5'!C7 = ""Gauvin"", query(IMPORTRANGE(cd_planilha, ""Armas!B3:G""), ""Select Col1 W"&amp;"here Col2 = '""&amp;Personagem!$L$10&amp;""' or Col2 = '""&amp;Personagem!$L$11&amp;""' ""),
if('Time 5'!C7 = ""Irene"", query(IMPORTRANGE(cd_planilha, ""Armas!B3:G""), ""Select Col1 Where Col2 = '""&amp;Personagem!$M$10&amp;""' or Col2 = '""&amp;Personagem!$M$11&amp;""' ""),
if('Time 5"&amp;"'!C7 = ""Karal"", query(IMPORTRANGE(cd_planilha, ""Armas!B3:G""), ""Select Col1 Where Col2 = '""&amp;Personagem!$N$10&amp;""' or Col2 = '""&amp;Personagem!$N$11&amp;""' ""),
if('Time 5'!C7 = ""Kuro Shobi"", query(IMPORTRANGE(cd_planilha, ""Armas!B3:G""), ""Select Col1 Wh"&amp;"ere Col2 = '""&amp;Personagem!$O$10&amp;""' or Col2 = '""&amp;Personagem!$O$11&amp;""'""),
if('Time 5'!C7 = ""Kurul"", query(IMPORTRANGE(cd_planilha, ""Armas!B3:G""), ""Select Col1 Where Col2 = '""&amp;Personagem!$P$10&amp;""' or Col2 = '""&amp;Personagem!$P$11&amp;""' ""),
if('Time 5'!"&amp;"C7 = ""Lancaster"", query(IMPORTRANGE(cd_planilha, ""Armas!B3:G""), ""Select Col1 Where Col2 = '""&amp;Personagem!$Q$10&amp;""' or Col2 = '""&amp;Personagem!$Q$11&amp;""'""),
if('Time 5'!C7 = ""Lorelei"", query(IMPORTRANGE(cd_planilha, ""Armas!B3:G""), ""Select Col1 Wher"&amp;"e Col2 = '""&amp;Personagem!$R$10&amp;""' or Col2 = '""&amp;Personagem!$R$11&amp;""' ""),
if('Time 5'!C7 = ""Louca"", query(IMPORTRANGE(cd_planilha, ""Armas!B3:G""), ""Select Col1 Where Col2 = '""&amp;Personagem!$S$10&amp;""' or Col2 = '""&amp;Personagem!$S$11&amp;""' ""),
if('Time 5'!C"&amp;"7 = ""Melina"", query(IMPORTRANGE(cd_planilha, ""Armas!B3:G""), ""Select Col1 Where Col2 = '""&amp;Personagem!$T$10&amp;""' or Col2 = '""&amp;Personagem!$T$11&amp;""'""),
if('Time 5'!C7 = ""Mila"", query(IMPORTRANGE(cd_planilha, ""Armas!B3:G""), ""Select Col1 Where Col2 "&amp;"= '""&amp;Personagem!$U$10&amp;""' or Col2 = '""&amp;Personagem!$U$11&amp;""' ""),
if('Time 5'!C7 = ""Minh"", query(IMPORTRANGE(cd_planilha, ""Armas!B3:G""), ""Select Col1 Where Col2 = '""&amp;Personagem!$V$10&amp;""' or Col2 = '""&amp;Personagem!$V$11&amp;""' ""),
if('Time 5'!C7 = ""Mo"&amp;"jian"", query(IMPORTRANGE(cd_planilha, ""Armas!B3:G""), ""Select Col1 Where Col2 = '""&amp;Personagem!$W$10&amp;""' or Col2 = '""&amp;Personagem!$W$11&amp;""'""),
if('Time 5'!C7 = ""Nya"", query(IMPORTRANGE(cd_planilha, ""Armas!B3:G""), ""Select Col1 Where Col2 = '""&amp;Per"&amp;"sonagem!$X$10&amp;""' or Col2 = '""&amp;Personagem!$X$11&amp;""' ""),
if('Time 5'!C7 = ""Odette"", query(IMPORTRANGE(cd_planilha, ""Armas!B3:G""), ""Select Col1 Where Col2 = '""&amp;Personagem!$Y$10&amp;""' or Col2 = '""&amp;Personagem!$Y$11&amp;""'""),
if('Time 5'!C7 = ""Oneira"", "&amp;"query(IMPORTRANGE(cd_planilha, ""Armas!B3:G""), ""Select Col1 Where Col2 = '""&amp;Personagem!$Z$10&amp;""' or Col2 = '""&amp;Personagem!$Z$11&amp;""' ""),
if('Time 5'!C7 = ""Palash"", query(IMPORTRANGE(cd_planilha, ""Armas!B3:G""), ""Select Col1 Where Col2 = '""&amp;Persona"&amp;"gem!$AA$10&amp;""' or Col2 = '""&amp;Personagem!$AA$11&amp;""'""),
if('Time 5'!C7 = ""Theor"", query(IMPORTRANGE(cd_planilha, ""Armas!B3:G""), ""Select Col1 Where Col2 = '""&amp;Personagem!$AB$10&amp;""' or Col2 = '""&amp;Personagem!$AB$11&amp;""' ""),
if('Time 5'!C7 = ""Yue"", quer"&amp;"y(IMPORTRANGE(cd_planilha, ""Armas!B3:G""), ""Select Col1 Where Col2 = '""&amp;Personagem!$AC$10&amp;""' or Col2 = '""&amp;Personagem!$AC$11&amp;""'""
)))))))))))))))))))))))))))))"),"Mãos Venenosas")</f>
        <v>Mãos Venenosas</v>
      </c>
      <c r="J598" s="241"/>
      <c r="K598" s="241" t="b">
        <f>IFERROR(__xludf.DUMMYFUNCTION("if('Time 5'!C8 = ""Albert"", query(IMPORTRANGE(cd_planilha, ""Armas!B3:G""), ""Select Col1 Where Col2 = '""&amp;Personagem!$B$10&amp;""' or Col2 = '""&amp;Personagem!$B$11&amp;""'""),     
if('Time 5'!C8 = ""Alicia"", query(IMPORTRANGE(cd_planilha, ""Armas!B3:G""), ""Sel"&amp;"ect Col1 Where Col2 = '""&amp;Personagem!$C$10&amp;""' or Col2 = '""&amp;Personagem!$C$11&amp;""'""),
if('Time 5'!C8 = ""Azula"", query(IMPORTRANGE(cd_planilha, ""Armas!B3:G""), ""Select Col1 Where Col2 = '""&amp;Personagem!$D$10&amp;""' or Col2 = '""&amp;Personagem!$D$11&amp;""' ""),
i"&amp;"f('Time 5'!C8 = ""Charles"", query(IMPORTRANGE(cd_planilha, ""Armas!B3:G""), ""Select Col1 Where Col2 = '""&amp;Personagem!$E$10&amp;""' or Col2 = '""&amp;Personagem!$E$11&amp;""'""),
if('Time 5'!C8 = ""Clovis"", query(IMPORTRANGE(cd_planilha, ""Armas!B3:G""), ""Select C"&amp;"ol1 Where Col2 = '""&amp;Personagem!$F$10&amp;""' or Col2 = '""&amp;Personagem!$F$11&amp;""' ""),
if('Time 5'!C8 = ""Darthos"", query(IMPORTRANGE(cd_planilha, ""Armas!B3:G""), ""Select Col1 Where Col2 = '""&amp;Personagem!$G$10&amp;""' or Col2 = '""&amp;Personagem!$G$11&amp;""'""),
if('"&amp;"Time 5'!C8 = ""Edward"", query(IMPORTRANGE(cd_planilha, ""Armas!B3:G""), ""Select Col1 Where Col2 = '""&amp;Personagem!$H$10&amp;""' or Col2 = '""&amp;Personagem!$H$11&amp;""' ""),
if('Time 5'!C8 = ""Fiora"", query(IMPORTRANGE(cd_planilha, ""Armas!B3:G""), ""Select Col1 "&amp;"Where Col2 = '""&amp;Personagem!$I$10&amp;""' or Col2 = '""&amp;Personagem!$I$11&amp;""' ""),
if('Time 5'!C8 = ""Francesca"", query(IMPORTRANGE(cd_planilha, ""Armas!B3:G""), ""Select Col1 Where Col2 = '""&amp;Personagem!$J$10&amp;""' or Col2 = '""&amp;Personagem!$J$11&amp;""'""),
if('Ti"&amp;"me 5'!C8 = ""Garreth"", query(IMPORTRANGE(cd_planilha, ""Armas!B3:G""), ""Select Col1 Where Col2 = '""&amp;Personagem!$K$10&amp;""' or Col2 = '""&amp;Personagem!$K$11&amp;""'""),
if('Time 5'!C8 = ""Gauvin"", query(IMPORTRANGE(cd_planilha, ""Armas!B3:G""), ""Select Col1 W"&amp;"here Col2 = '""&amp;Personagem!$L$10&amp;""' or Col2 = '""&amp;Personagem!$L$11&amp;""' ""),
if('Time 5'!C8 = ""Irene"", query(IMPORTRANGE(cd_planilha, ""Armas!B3:G""), ""Select Col1 Where Col2 = '""&amp;Personagem!$M$10&amp;""' or Col2 = '""&amp;Personagem!$M$11&amp;""' ""),
if('Time 5"&amp;"'!C8 = ""Karal"", query(IMPORTRANGE(cd_planilha, ""Armas!B3:G""), ""Select Col1 Where Col2 = '""&amp;Personagem!$N$10&amp;""' or Col2 = '""&amp;Personagem!$N$11&amp;""' ""),
if('Time 5'!C8 = ""Kuro Shobi"", query(IMPORTRANGE(cd_planilha, ""Armas!B3:G""), ""Select Col1 Wh"&amp;"ere Col2 = '""&amp;Personagem!$O$10&amp;""' or Col2 = '""&amp;Personagem!$O$11&amp;""'""),
if('Time 5'!C8 = ""Kurul"", query(IMPORTRANGE(cd_planilha, ""Armas!B3:G""), ""Select Col1 Where Col2 = '""&amp;Personagem!$P$10&amp;""' or Col2 = '""&amp;Personagem!$P$11&amp;""' ""),
if('Time 5'!"&amp;"C8 = ""Lancaster"", query(IMPORTRANGE(cd_planilha, ""Armas!B3:G""), ""Select Col1 Where Col2 = '""&amp;Personagem!$Q$10&amp;""' or Col2 = '""&amp;Personagem!$Q$11&amp;""'""),
if('Time 5'!C8 = ""Lorelei"", query(IMPORTRANGE(cd_planilha, ""Armas!B3:G""), ""Select Col1 Wher"&amp;"e Col2 = '""&amp;Personagem!$R$10&amp;""' or Col2 = '""&amp;Personagem!$R$11&amp;""' ""),
if('Time 5'!C8 = ""Louca"", query(IMPORTRANGE(cd_planilha, ""Armas!B3:G""), ""Select Col1 Where Col2 = '""&amp;Personagem!$S$10&amp;""' or Col2 = '""&amp;Personagem!$S$11&amp;""' ""),
if('Time 5'!C"&amp;"8 = ""Melina"", query(IMPORTRANGE(cd_planilha, ""Armas!B3:G""), ""Select Col1 Where Col2 = '""&amp;Personagem!$T$10&amp;""' or Col2 = '""&amp;Personagem!$T$11&amp;""'""),
if('Time 5'!C8 = ""Mila"", query(IMPORTRANGE(cd_planilha, ""Armas!B3:G""), ""Select Col1 Where Col2 "&amp;"= '""&amp;Personagem!$U$10&amp;""' or Col2 = '""&amp;Personagem!$U$11&amp;""' ""),
if('Time 5'!C8 = ""Minh"", query(IMPORTRANGE(cd_planilha, ""Armas!B3:G""), ""Select Col1 Where Col2 = '""&amp;Personagem!$V$10&amp;""' or Col2 = '""&amp;Personagem!$V$11&amp;""' ""),
if('Time 5'!C8 = ""Mo"&amp;"jian"", query(IMPORTRANGE(cd_planilha, ""Armas!B3:G""), ""Select Col1 Where Col2 = '""&amp;Personagem!$W$10&amp;""' or Col2 = '""&amp;Personagem!$W$11&amp;""'""),
if('Time 5'!C8 = ""Nya"", query(IMPORTRANGE(cd_planilha, ""Armas!B3:G""), ""Select Col1 Where Col2 = '""&amp;Per"&amp;"sonagem!$X$10&amp;""' or Col2 = '""&amp;Personagem!$X$11&amp;""' ""),
if('Time 5'!C8 = ""Odette"", query(IMPORTRANGE(cd_planilha, ""Armas!B3:G""), ""Select Col1 Where Col2 = '""&amp;Personagem!$Y$10&amp;""' or Col2 = '""&amp;Personagem!$Y$11&amp;""'""),
if('Time 5'!C8 = ""Oneira"", "&amp;"query(IMPORTRANGE(cd_planilha, ""Armas!B3:G""), ""Select Col1 Where Col2 = '""&amp;Personagem!$Z$10&amp;""' or Col2 = '""&amp;Personagem!$Z$11&amp;""' ""),
if('Time 5'!C8 = ""Palash"", query(IMPORTRANGE(cd_planilha, ""Armas!B3:G""), ""Select Col1 Where Col2 = '""&amp;Persona"&amp;"gem!$AA$10&amp;""' or Col2 = '""&amp;Personagem!$AA$11&amp;""'""),
if('Time 5'!C8 = ""Theor"", query(IMPORTRANGE(cd_planilha, ""Armas!B3:G""), ""Select Col1 Where Col2 = '""&amp;Personagem!$AB$10&amp;""' or Col2 = '""&amp;Personagem!$AB$11&amp;""' ""),
if('Time 5'!C8 = ""Yue"", quer"&amp;"y(IMPORTRANGE(cd_planilha, ""Armas!B3:G""), ""Select Col1 Where Col2 = '""&amp;Personagem!$AC$10&amp;""' or Col2 = '""&amp;Personagem!$AC$11&amp;""'""
)))))))))))))))))))))))))))))"),FALSE)</f>
        <v>0</v>
      </c>
      <c r="L598" s="242"/>
      <c r="M598" s="241" t="str">
        <f>IFERROR(__xludf.DUMMYFUNCTION("if('Time 5'!C3 = ""Albert"", query(IMPORTRANGE(cd_planilha, ""Armas!B3:G""), ""Select Col1 Where Col2 = '""&amp;Personagem!$B$12&amp;""' or Col2 = '""&amp;Personagem!$B$13&amp;""'""),     
if('Time 5'!C3 = ""Alicia"", query(IMPORTRANGE(cd_planilha, ""Armas!B3:G""), ""Sel"&amp;"ect Col1 Where Col2 = '""&amp;Personagem!$C$12&amp;""' or Col2 = '""&amp;Personagem!$C$13&amp;""'""),
if('Time 5'!C3 = ""Azula"", query(IMPORTRANGE(cd_planilha, ""Armas!B3:G""), ""Select Col1 Where Col2 = '""&amp;Personagem!$D$12&amp;""' or Col2 = '""&amp;Personagem!$D$13&amp;""' ""),
i"&amp;"f('Time 5'!C3 = ""Charles"", query(IMPORTRANGE(cd_planilha, ""Armas!B3:G""), ""Select Col1 Where Col2 = '""&amp;Personagem!$E$12&amp;""' or Col2 = '""&amp;Personagem!$E$13&amp;""'""),
if('Time 5'!C3 = ""Clovis"", query(IMPORTRANGE(cd_planilha, ""Armas!B3:G""), ""Select C"&amp;"ol1 Where Col2 = '""&amp;Personagem!$F$12&amp;""' or Col2 = '""&amp;Personagem!$F$13&amp;""' ""),
if('Time 5'!C3 = ""Darthos"", query(IMPORTRANGE(cd_planilha, ""Armas!B3:G""), ""Select Col1 Where Col2 = '""&amp;Personagem!$G$12&amp;""' or Col2 = '""&amp;Personagem!$G$13&amp;""'""),
if('"&amp;"Time 5'!C3 = ""Edward"", query(IMPORTRANGE(cd_planilha, ""Armas!B3:G""), ""Select Col1 Where Col2 = '""&amp;Personagem!$H$12&amp;""' or Col2 = '""&amp;Personagem!$H$13&amp;""' ""),
if('Time 5'!C3 = ""Fiora"", query(IMPORTRANGE(cd_planilha, ""Armas!B3:G""), ""Select Col1 "&amp;"Where Col2 = '""&amp;Personagem!$I$12&amp;""' or Col2 = '""&amp;Personagem!$I$13&amp;""' ""),
if('Time 5'!C3 = ""Francesca"", query(IMPORTRANGE(cd_planilha, ""Armas!B3:G""), ""Select Col1 Where Col2 = '""&amp;Personagem!$J$12&amp;""' or Col2 = '""&amp;Personagem!$J$13&amp;""'""),
if('Ti"&amp;"me 5'!C3 = ""Garreth"", query(IMPORTRANGE(cd_planilha, ""Armas!B3:G""), ""Select Col1 Where Col2 = '""&amp;Personagem!$K$12&amp;""' or Col2 = '""&amp;Personagem!$K$13&amp;""'""),
if('Time 5'!C3 = ""Gauvin"", query(IMPORTRANGE(cd_planilha, ""Armas!B3:G""), ""Select Col1 W"&amp;"here Col2 = '""&amp;Personagem!$L$12&amp;""' or Col2 = '""&amp;Personagem!$L$13&amp;""' ""),
if('Time 5'!C3 = ""Irene"", query(IMPORTRANGE(cd_planilha, ""Armas!B3:G""), ""Select Col1 Where Col2 = '""&amp;Personagem!$M$12&amp;""' or Col2 = '""&amp;Personagem!$M$13&amp;""' ""),
if('Time 5"&amp;"'!C3 = ""Karal"", query(IMPORTRANGE(cd_planilha, ""Armas!B3:G""), ""Select Col1 Where Col2 = '""&amp;Personagem!$N$12&amp;""' or Col2 = '""&amp;Personagem!$N$13&amp;""' ""),
if('Time 5'!C3 = ""Kuro Shobi"", query(IMPORTRANGE(cd_planilha, ""Armas!B3:G""), ""Select Col1 Wh"&amp;"ere Col2 = '""&amp;Personagem!$O$12&amp;""' or Col2 = '""&amp;Personagem!$O$13&amp;""'""),
if('Time 5'!C3 = ""Kurul"", query(IMPORTRANGE(cd_planilha, ""Armas!B3:G""), ""Select Col1 Where Col2 = '""&amp;Personagem!$P$12&amp;""' or Col2 = '""&amp;Personagem!$P$13&amp;""' ""),
if('Time 5'!"&amp;"C3 = ""Lancaster"", query(IMPORTRANGE(cd_planilha, ""Armas!B3:G""), ""Select Col1 Where Col2 = '""&amp;Personagem!$Q$12&amp;""' or Col2 = '""&amp;Personagem!$Q$13&amp;""'""),
if('Time 5'!C3 = ""Lorelei"", query(IMPORTRANGE(cd_planilha, ""Armas!B3:G""), ""Select Col1 Wher"&amp;"e Col2 = '""&amp;Personagem!$R$12&amp;""' or Col2 = '""&amp;Personagem!$R$13&amp;""' ""),
if('Time 5'!C3 = ""Louca"", query(IMPORTRANGE(cd_planilha, ""Armas!B3:G""), ""Select Col1 Where Col2 = '""&amp;Personagem!$S$12&amp;""' or Col2 = '""&amp;Personagem!$S$13&amp;""' ""),
if('Time 5'!C"&amp;"3 = ""Melina"", query(IMPORTRANGE(cd_planilha, ""Armas!B3:G""), ""Select Col1 Where Col2 = '""&amp;Personagem!$T$12&amp;""' or Col2 = '""&amp;Personagem!$T$13&amp;""'""),
if('Time 5'!C3 = ""Mila"", query(IMPORTRANGE(cd_planilha, ""Armas!B3:G""), ""Select Col1 Where Col2 "&amp;"= '""&amp;Personagem!$U$12&amp;""' or Col2 = '""&amp;Personagem!$U$13&amp;""' ""),
if('Time 5'!C3 = ""Minh"", query(IMPORTRANGE(cd_planilha, ""Armas!B3:G""), ""Select Col1 Where Col2 = '""&amp;Personagem!$V$12&amp;""' or Col2 = '""&amp;Personagem!$V$13&amp;""' ""),
if('Time 5'!C3 = ""Mo"&amp;"jian"", query(IMPORTRANGE(cd_planilha, ""Armas!B3:G""), ""Select Col1 Where Col2 = '""&amp;Personagem!$W$12&amp;""' or Col2 = '""&amp;Personagem!$W$13&amp;""'""),
if('Time 5'!C3 = ""Nya"", query(IMPORTRANGE(cd_planilha, ""Armas!B3:G""), ""Select Col1 Where Col2 = '""&amp;Per"&amp;"sonagem!$X$12&amp;""' or Col2 = '""&amp;Personagem!$X$13&amp;""' ""),
if('Time 5'!C3 = ""Odette"", query(IMPORTRANGE(cd_planilha, ""Armas!B3:G""), ""Select Col1 Where Col2 = '""&amp;Personagem!$Y$12&amp;""' or Col2 = '""&amp;Personagem!$Y$13&amp;""'""),
if('Time 5'!C3 = ""Oneira"", "&amp;"query(IMPORTRANGE(cd_planilha, ""Armas!B3:G""), ""Select Col1 Where Col2 = '""&amp;Personagem!$Z$12&amp;""' or Col2 = '""&amp;Personagem!$Z$13&amp;""' ""),
if('Time 5'!C3 = ""Palash"", query(IMPORTRANGE(cd_planilha, ""Armas!B3:G""), ""Select Col1 Where Col2 = '""&amp;Persona"&amp;"gem!$AA$12&amp;""' or Col2 = '""&amp;Personagem!$AA$13&amp;""'""),
if('Time 5'!C3 = ""Theor"", query(IMPORTRANGE(cd_planilha, ""Armas!B3:G""), ""Select Col1 Where Col2 = '""&amp;Personagem!$AB$12&amp;""' or Col2 = '""&amp;Personagem!$AB$13&amp;""' ""),
if('Time 5'!C3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N598" s="241"/>
      <c r="O598" s="241" t="str">
        <f>IFERROR(__xludf.DUMMYFUNCTION("if('Time 5'!C4 = ""Albert"", query(IMPORTRANGE(cd_planilha, ""Armas!B3:G""), ""Select Col1 Where Col2 = '""&amp;Personagem!$B$12&amp;""' or Col2 = '""&amp;Personagem!$B$13&amp;""'""),     
if('Time 5'!C4 = ""Alicia"", query(IMPORTRANGE(cd_planilha, ""Armas!B3:G""), ""Sel"&amp;"ect Col1 Where Col2 = '""&amp;Personagem!$C$12&amp;""' or Col2 = '""&amp;Personagem!$C$13&amp;""'""),
if('Time 5'!C4 = ""Azula"", query(IMPORTRANGE(cd_planilha, ""Armas!B3:G""), ""Select Col1 Where Col2 = '""&amp;Personagem!$D$12&amp;""' or Col2 = '""&amp;Personagem!$D$13&amp;""' ""),
i"&amp;"f('Time 5'!C4 = ""Charles"", query(IMPORTRANGE(cd_planilha, ""Armas!B3:G""), ""Select Col1 Where Col2 = '""&amp;Personagem!$E$12&amp;""' or Col2 = '""&amp;Personagem!$E$13&amp;""'""),
if('Time 5'!C4 = ""Clovis"", query(IMPORTRANGE(cd_planilha, ""Armas!B3:G""), ""Select C"&amp;"ol1 Where Col2 = '""&amp;Personagem!$F$12&amp;""' or Col2 = '""&amp;Personagem!$F$13&amp;""' ""),
if('Time 5'!C4 = ""Darthos"", query(IMPORTRANGE(cd_planilha, ""Armas!B3:G""), ""Select Col1 Where Col2 = '""&amp;Personagem!$G$12&amp;""' or Col2 = '""&amp;Personagem!$G$13&amp;""'""),
if('"&amp;"Time 5'!C4 = ""Edward"", query(IMPORTRANGE(cd_planilha, ""Armas!B3:G""), ""Select Col1 Where Col2 = '""&amp;Personagem!$H$12&amp;""' or Col2 = '""&amp;Personagem!$H$13&amp;""' ""),
if('Time 5'!C4 = ""Fiora"", query(IMPORTRANGE(cd_planilha, ""Armas!B3:G""), ""Select Col1 "&amp;"Where Col2 = '""&amp;Personagem!$I$12&amp;""' or Col2 = '""&amp;Personagem!$I$13&amp;""' ""),
if('Time 5'!C4 = ""Francesca"", query(IMPORTRANGE(cd_planilha, ""Armas!B3:G""), ""Select Col1 Where Col2 = '""&amp;Personagem!$J$12&amp;""' or Col2 = '""&amp;Personagem!$J$13&amp;""'""),
if('Ti"&amp;"me 5'!C4 = ""Garreth"", query(IMPORTRANGE(cd_planilha, ""Armas!B3:G""), ""Select Col1 Where Col2 = '""&amp;Personagem!$K$12&amp;""' or Col2 = '""&amp;Personagem!$K$13&amp;""'""),
if('Time 5'!C4 = ""Gauvin"", query(IMPORTRANGE(cd_planilha, ""Armas!B3:G""), ""Select Col1 W"&amp;"here Col2 = '""&amp;Personagem!$L$12&amp;""' or Col2 = '""&amp;Personagem!$L$13&amp;""' ""),
if('Time 5'!C4 = ""Irene"", query(IMPORTRANGE(cd_planilha, ""Armas!B3:G""), ""Select Col1 Where Col2 = '""&amp;Personagem!$M$12&amp;""' or Col2 = '""&amp;Personagem!$M$13&amp;""' ""),
if('Time 5"&amp;"'!C4 = ""Karal"", query(IMPORTRANGE(cd_planilha, ""Armas!B3:G""), ""Select Col1 Where Col2 = '""&amp;Personagem!$N$12&amp;""' or Col2 = '""&amp;Personagem!$N$13&amp;""' ""),
if('Time 5'!C4 = ""Kuro Shobi"", query(IMPORTRANGE(cd_planilha, ""Armas!B3:G""), ""Select Col1 Wh"&amp;"ere Col2 = '""&amp;Personagem!$O$12&amp;""' or Col2 = '""&amp;Personagem!$O$13&amp;""'""),
if('Time 5'!C4 = ""Kurul"", query(IMPORTRANGE(cd_planilha, ""Armas!B3:G""), ""Select Col1 Where Col2 = '""&amp;Personagem!$P$12&amp;""' or Col2 = '""&amp;Personagem!$P$13&amp;""' ""),
if('Time 5'!"&amp;"C4 = ""Lancaster"", query(IMPORTRANGE(cd_planilha, ""Armas!B3:G""), ""Select Col1 Where Col2 = '""&amp;Personagem!$Q$12&amp;""' or Col2 = '""&amp;Personagem!$Q$13&amp;""'""),
if('Time 5'!C4 = ""Lorelei"", query(IMPORTRANGE(cd_planilha, ""Armas!B3:G""), ""Select Col1 Wher"&amp;"e Col2 = '""&amp;Personagem!$R$12&amp;""' or Col2 = '""&amp;Personagem!$R$13&amp;""' ""),
if('Time 5'!C4 = ""Louca"", query(IMPORTRANGE(cd_planilha, ""Armas!B3:G""), ""Select Col1 Where Col2 = '""&amp;Personagem!$S$12&amp;""' or Col2 = '""&amp;Personagem!$S$13&amp;""' ""),
if('Time 5'!C"&amp;"4 = ""Melina"", query(IMPORTRANGE(cd_planilha, ""Armas!B3:G""), ""Select Col1 Where Col2 = '""&amp;Personagem!$T$12&amp;""' or Col2 = '""&amp;Personagem!$T$13&amp;""'""),
if('Time 5'!C4 = ""Mila"", query(IMPORTRANGE(cd_planilha, ""Armas!B3:G""), ""Select Col1 Where Col2 "&amp;"= '""&amp;Personagem!$U$12&amp;""' or Col2 = '""&amp;Personagem!$U$13&amp;""' ""),
if('Time 5'!C4 = ""Minh"", query(IMPORTRANGE(cd_planilha, ""Armas!B3:G""), ""Select Col1 Where Col2 = '""&amp;Personagem!$V$12&amp;""' or Col2 = '""&amp;Personagem!$V$13&amp;""' ""),
if('Time 5'!C4 = ""Mo"&amp;"jian"", query(IMPORTRANGE(cd_planilha, ""Armas!B3:G""), ""Select Col1 Where Col2 = '""&amp;Personagem!$W$12&amp;""' or Col2 = '""&amp;Personagem!$W$13&amp;""'""),
if('Time 5'!C4 = ""Nya"", query(IMPORTRANGE(cd_planilha, ""Armas!B3:G""), ""Select Col1 Where Col2 = '""&amp;Per"&amp;"sonagem!$X$12&amp;""' or Col2 = '""&amp;Personagem!$X$13&amp;""' ""),
if('Time 5'!C4 = ""Odette"", query(IMPORTRANGE(cd_planilha, ""Armas!B3:G""), ""Select Col1 Where Col2 = '""&amp;Personagem!$Y$12&amp;""' or Col2 = '""&amp;Personagem!$Y$13&amp;""'""),
if('Time 5'!C4 = ""Oneira"", "&amp;"query(IMPORTRANGE(cd_planilha, ""Armas!B3:G""), ""Select Col1 Where Col2 = '""&amp;Personagem!$Z$12&amp;""' or Col2 = '""&amp;Personagem!$Z$13&amp;""' ""),
if('Time 5'!C4 = ""Palash"", query(IMPORTRANGE(cd_planilha, ""Armas!B3:G""), ""Select Col1 Where Col2 = '""&amp;Persona"&amp;"gem!$AA$12&amp;""' or Col2 = '""&amp;Personagem!$AA$13&amp;""'""),
if('Time 5'!C4 = ""Theor"", query(IMPORTRANGE(cd_planilha, ""Armas!B3:G""), ""Select Col1 Where Col2 = '""&amp;Personagem!$AB$12&amp;""' or Col2 = '""&amp;Personagem!$AB$13&amp;""' ""),
if('Time 5'!C4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P598" s="241"/>
      <c r="Q598" s="241" t="str">
        <f>IFERROR(__xludf.DUMMYFUNCTION("if('Time 5'!C5 = ""Albert"", query(IMPORTRANGE(cd_planilha, ""Armas!B3:G""), ""Select Col1 Where Col2 = '""&amp;Personagem!$B$12&amp;""' or Col2 = '""&amp;Personagem!$B$13&amp;""'""),     
if('Time 5'!C5 = ""Alicia"", query(IMPORTRANGE(cd_planilha, ""Armas!B3:G""), ""Sel"&amp;"ect Col1 Where Col2 = '""&amp;Personagem!$C$12&amp;""' or Col2 = '""&amp;Personagem!$C$13&amp;""'""),
if('Time 5'!C5 = ""Azula"", query(IMPORTRANGE(cd_planilha, ""Armas!B3:G""), ""Select Col1 Where Col2 = '""&amp;Personagem!$D$12&amp;""' or Col2 = '""&amp;Personagem!$D$13&amp;""' ""),
i"&amp;"f('Time 5'!C5 = ""Charles"", query(IMPORTRANGE(cd_planilha, ""Armas!B3:G""), ""Select Col1 Where Col2 = '""&amp;Personagem!$E$12&amp;""' or Col2 = '""&amp;Personagem!$E$13&amp;""'""),
if('Time 5'!C5 = ""Clovis"", query(IMPORTRANGE(cd_planilha, ""Armas!B3:G""), ""Select C"&amp;"ol1 Where Col2 = '""&amp;Personagem!$F$12&amp;""' or Col2 = '""&amp;Personagem!$F$13&amp;""' ""),
if('Time 5'!C5 = ""Darthos"", query(IMPORTRANGE(cd_planilha, ""Armas!B3:G""), ""Select Col1 Where Col2 = '""&amp;Personagem!$G$12&amp;""' or Col2 = '""&amp;Personagem!$G$13&amp;""'""),
if('"&amp;"Time 5'!C5 = ""Edward"", query(IMPORTRANGE(cd_planilha, ""Armas!B3:G""), ""Select Col1 Where Col2 = '""&amp;Personagem!$H$12&amp;""' or Col2 = '""&amp;Personagem!$H$13&amp;""' ""),
if('Time 5'!C5 = ""Fiora"", query(IMPORTRANGE(cd_planilha, ""Armas!B3:G""), ""Select Col1 "&amp;"Where Col2 = '""&amp;Personagem!$I$12&amp;""' or Col2 = '""&amp;Personagem!$I$13&amp;""' ""),
if('Time 5'!C5 = ""Francesca"", query(IMPORTRANGE(cd_planilha, ""Armas!B3:G""), ""Select Col1 Where Col2 = '""&amp;Personagem!$J$12&amp;""' or Col2 = '""&amp;Personagem!$J$13&amp;""'""),
if('Ti"&amp;"me 5'!C5 = ""Garreth"", query(IMPORTRANGE(cd_planilha, ""Armas!B3:G""), ""Select Col1 Where Col2 = '""&amp;Personagem!$K$12&amp;""' or Col2 = '""&amp;Personagem!$K$13&amp;""'""),
if('Time 5'!C5 = ""Gauvin"", query(IMPORTRANGE(cd_planilha, ""Armas!B3:G""), ""Select Col1 W"&amp;"here Col2 = '""&amp;Personagem!$L$12&amp;""' or Col2 = '""&amp;Personagem!$L$13&amp;""' ""),
if('Time 5'!C5 = ""Irene"", query(IMPORTRANGE(cd_planilha, ""Armas!B3:G""), ""Select Col1 Where Col2 = '""&amp;Personagem!$M$12&amp;""' or Col2 = '""&amp;Personagem!$M$13&amp;""' ""),
if('Time 5"&amp;"'!C5 = ""Karal"", query(IMPORTRANGE(cd_planilha, ""Armas!B3:G""), ""Select Col1 Where Col2 = '""&amp;Personagem!$N$12&amp;""' or Col2 = '""&amp;Personagem!$N$13&amp;""' ""),
if('Time 5'!C5 = ""Kuro Shobi"", query(IMPORTRANGE(cd_planilha, ""Armas!B3:G""), ""Select Col1 Wh"&amp;"ere Col2 = '""&amp;Personagem!$O$12&amp;""' or Col2 = '""&amp;Personagem!$O$13&amp;""'""),
if('Time 5'!C5 = ""Kurul"", query(IMPORTRANGE(cd_planilha, ""Armas!B3:G""), ""Select Col1 Where Col2 = '""&amp;Personagem!$P$12&amp;""' or Col2 = '""&amp;Personagem!$P$13&amp;""' ""),
if('Time 5'!"&amp;"C5 = ""Lancaster"", query(IMPORTRANGE(cd_planilha, ""Armas!B3:G""), ""Select Col1 Where Col2 = '""&amp;Personagem!$Q$12&amp;""' or Col2 = '""&amp;Personagem!$Q$13&amp;""'""),
if('Time 5'!C5 = ""Lorelei"", query(IMPORTRANGE(cd_planilha, ""Armas!B3:G""), ""Select Col1 Wher"&amp;"e Col2 = '""&amp;Personagem!$R$12&amp;""' or Col2 = '""&amp;Personagem!$R$13&amp;""' ""),
if('Time 5'!C5 = ""Louca"", query(IMPORTRANGE(cd_planilha, ""Armas!B3:G""), ""Select Col1 Where Col2 = '""&amp;Personagem!$S$12&amp;""' or Col2 = '""&amp;Personagem!$S$13&amp;""' ""),
if('Time 5'!C"&amp;"5 = ""Melina"", query(IMPORTRANGE(cd_planilha, ""Armas!B3:G""), ""Select Col1 Where Col2 = '""&amp;Personagem!$T$12&amp;""' or Col2 = '""&amp;Personagem!$T$13&amp;""'""),
if('Time 5'!C5 = ""Mila"", query(IMPORTRANGE(cd_planilha, ""Armas!B3:G""), ""Select Col1 Where Col2 "&amp;"= '""&amp;Personagem!$U$12&amp;""' or Col2 = '""&amp;Personagem!$U$13&amp;""' ""),
if('Time 5'!C5 = ""Minh"", query(IMPORTRANGE(cd_planilha, ""Armas!B3:G""), ""Select Col1 Where Col2 = '""&amp;Personagem!$V$12&amp;""' or Col2 = '""&amp;Personagem!$V$13&amp;""' ""),
if('Time 5'!C5 = ""Mo"&amp;"jian"", query(IMPORTRANGE(cd_planilha, ""Armas!B3:G""), ""Select Col1 Where Col2 = '""&amp;Personagem!$W$12&amp;""' or Col2 = '""&amp;Personagem!$W$13&amp;""'""),
if('Time 5'!C5 = ""Nya"", query(IMPORTRANGE(cd_planilha, ""Armas!B3:G""), ""Select Col1 Where Col2 = '""&amp;Per"&amp;"sonagem!$X$12&amp;""' or Col2 = '""&amp;Personagem!$X$13&amp;""' ""),
if('Time 5'!C5 = ""Odette"", query(IMPORTRANGE(cd_planilha, ""Armas!B3:G""), ""Select Col1 Where Col2 = '""&amp;Personagem!$Y$12&amp;""' or Col2 = '""&amp;Personagem!$Y$13&amp;""'""),
if('Time 5'!C5 = ""Oneira"", "&amp;"query(IMPORTRANGE(cd_planilha, ""Armas!B3:G""), ""Select Col1 Where Col2 = '""&amp;Personagem!$Z$12&amp;""' or Col2 = '""&amp;Personagem!$Z$13&amp;""' ""),
if('Time 5'!C5 = ""Palash"", query(IMPORTRANGE(cd_planilha, ""Armas!B3:G""), ""Select Col1 Where Col2 = '""&amp;Persona"&amp;"gem!$AA$12&amp;""' or Col2 = '""&amp;Personagem!$AA$13&amp;""'""),
if('Time 5'!C5 = ""Theor"", query(IMPORTRANGE(cd_planilha, ""Armas!B3:G""), ""Select Col1 Where Col2 = '""&amp;Personagem!$AB$12&amp;""' or Col2 = '""&amp;Personagem!$AB$13&amp;""' ""),
if('Time 5'!C5 = ""Yue"", quer"&amp;"y(IMPORTRANGE(cd_planilha, ""Armas!B3:G""), ""Select Col1 Where Col2 = '""&amp;Personagem!$AC$12&amp;""' or Col2 = '""&amp;Personagem!$AC$13&amp;""'""
)))))))))))))))))))))))))))))"),"Botas da Lua")</f>
        <v>Botas da Lua</v>
      </c>
      <c r="R598" s="241"/>
      <c r="S598" s="241" t="str">
        <f>IFERROR(__xludf.DUMMYFUNCTION("if('Time 5'!C6 = ""Albert"", query(IMPORTRANGE(cd_planilha, ""Armas!B3:G""), ""Select Col1 Where Col2 = '""&amp;Personagem!$B$12&amp;""' or Col2 = '""&amp;Personagem!$B$13&amp;""'""),     
if('Time 5'!C6 = ""Alicia"", query(IMPORTRANGE(cd_planilha, ""Armas!B3:G""), ""Sel"&amp;"ect Col1 Where Col2 = '""&amp;Personagem!$C$12&amp;""' or Col2 = '""&amp;Personagem!$C$13&amp;""'""),
if('Time 5'!C6 = ""Azula"", query(IMPORTRANGE(cd_planilha, ""Armas!B3:G""), ""Select Col1 Where Col2 = '""&amp;Personagem!$D$12&amp;""' or Col2 = '""&amp;Personagem!$D$13&amp;""' ""),
i"&amp;"f('Time 5'!C6 = ""Charles"", query(IMPORTRANGE(cd_planilha, ""Armas!B3:G""), ""Select Col1 Where Col2 = '""&amp;Personagem!$E$12&amp;""' or Col2 = '""&amp;Personagem!$E$13&amp;""'""),
if('Time 5'!C6 = ""Clovis"", query(IMPORTRANGE(cd_planilha, ""Armas!B3:G""), ""Select C"&amp;"ol1 Where Col2 = '""&amp;Personagem!$F$12&amp;""' or Col2 = '""&amp;Personagem!$F$13&amp;""' ""),
if('Time 5'!C6 = ""Darthos"", query(IMPORTRANGE(cd_planilha, ""Armas!B3:G""), ""Select Col1 Where Col2 = '""&amp;Personagem!$G$12&amp;""' or Col2 = '""&amp;Personagem!$G$13&amp;""'""),
if('"&amp;"Time 5'!C6 = ""Edward"", query(IMPORTRANGE(cd_planilha, ""Armas!B3:G""), ""Select Col1 Where Col2 = '""&amp;Personagem!$H$12&amp;""' or Col2 = '""&amp;Personagem!$H$13&amp;""' ""),
if('Time 5'!C6 = ""Fiora"", query(IMPORTRANGE(cd_planilha, ""Armas!B3:G""), ""Select Col1 "&amp;"Where Col2 = '""&amp;Personagem!$I$12&amp;""' or Col2 = '""&amp;Personagem!$I$13&amp;""' ""),
if('Time 5'!C6 = ""Francesca"", query(IMPORTRANGE(cd_planilha, ""Armas!B3:G""), ""Select Col1 Where Col2 = '""&amp;Personagem!$J$12&amp;""' or Col2 = '""&amp;Personagem!$J$13&amp;""'""),
if('Ti"&amp;"me 5'!C6 = ""Garreth"", query(IMPORTRANGE(cd_planilha, ""Armas!B3:G""), ""Select Col1 Where Col2 = '""&amp;Personagem!$K$12&amp;""' or Col2 = '""&amp;Personagem!$K$13&amp;""'""),
if('Time 5'!C6 = ""Gauvin"", query(IMPORTRANGE(cd_planilha, ""Armas!B3:G""), ""Select Col1 W"&amp;"here Col2 = '""&amp;Personagem!$L$12&amp;""' or Col2 = '""&amp;Personagem!$L$13&amp;""' ""),
if('Time 5'!C6 = ""Irene"", query(IMPORTRANGE(cd_planilha, ""Armas!B3:G""), ""Select Col1 Where Col2 = '""&amp;Personagem!$M$12&amp;""' or Col2 = '""&amp;Personagem!$M$13&amp;""' ""),
if('Time 5"&amp;"'!C6 = ""Karal"", query(IMPORTRANGE(cd_planilha, ""Armas!B3:G""), ""Select Col1 Where Col2 = '""&amp;Personagem!$N$12&amp;""' or Col2 = '""&amp;Personagem!$N$13&amp;""' ""),
if('Time 5'!C6 = ""Kuro Shobi"", query(IMPORTRANGE(cd_planilha, ""Armas!B3:G""), ""Select Col1 Wh"&amp;"ere Col2 = '""&amp;Personagem!$O$12&amp;""' or Col2 = '""&amp;Personagem!$O$13&amp;""'""),
if('Time 5'!C6 = ""Kurul"", query(IMPORTRANGE(cd_planilha, ""Armas!B3:G""), ""Select Col1 Where Col2 = '""&amp;Personagem!$P$12&amp;""' or Col2 = '""&amp;Personagem!$P$13&amp;""' ""),
if('Time 5'!"&amp;"C6 = ""Lancaster"", query(IMPORTRANGE(cd_planilha, ""Armas!B3:G""), ""Select Col1 Where Col2 = '""&amp;Personagem!$Q$12&amp;""' or Col2 = '""&amp;Personagem!$Q$13&amp;""'""),
if('Time 5'!C6 = ""Lorelei"", query(IMPORTRANGE(cd_planilha, ""Armas!B3:G""), ""Select Col1 Wher"&amp;"e Col2 = '""&amp;Personagem!$R$12&amp;""' or Col2 = '""&amp;Personagem!$R$13&amp;""' ""),
if('Time 5'!C6 = ""Louca"", query(IMPORTRANGE(cd_planilha, ""Armas!B3:G""), ""Select Col1 Where Col2 = '""&amp;Personagem!$S$12&amp;""' or Col2 = '""&amp;Personagem!$S$13&amp;""' ""),
if('Time 5'!C"&amp;"6 = ""Melina"", query(IMPORTRANGE(cd_planilha, ""Armas!B3:G""), ""Select Col1 Where Col2 = '""&amp;Personagem!$T$12&amp;""' or Col2 = '""&amp;Personagem!$T$13&amp;""'""),
if('Time 5'!C6 = ""Mila"", query(IMPORTRANGE(cd_planilha, ""Armas!B3:G""), ""Select Col1 Where Col2 "&amp;"= '""&amp;Personagem!$U$12&amp;""' or Col2 = '""&amp;Personagem!$U$13&amp;""' ""),
if('Time 5'!C6 = ""Minh"", query(IMPORTRANGE(cd_planilha, ""Armas!B3:G""), ""Select Col1 Where Col2 = '""&amp;Personagem!$V$12&amp;""' or Col2 = '""&amp;Personagem!$V$13&amp;""' ""),
if('Time 5'!C6 = ""Mo"&amp;"jian"", query(IMPORTRANGE(cd_planilha, ""Armas!B3:G""), ""Select Col1 Where Col2 = '""&amp;Personagem!$W$12&amp;""' or Col2 = '""&amp;Personagem!$W$13&amp;""'""),
if('Time 5'!C6 = ""Nya"", query(IMPORTRANGE(cd_planilha, ""Armas!B3:G""), ""Select Col1 Where Col2 = '""&amp;Per"&amp;"sonagem!$X$12&amp;""' or Col2 = '""&amp;Personagem!$X$13&amp;""' ""),
if('Time 5'!C6 = ""Odette"", query(IMPORTRANGE(cd_planilha, ""Armas!B3:G""), ""Select Col1 Where Col2 = '""&amp;Personagem!$Y$12&amp;""' or Col2 = '""&amp;Personagem!$Y$13&amp;""'""),
if('Time 5'!C6 = ""Oneira"", "&amp;"query(IMPORTRANGE(cd_planilha, ""Armas!B3:G""), ""Select Col1 Where Col2 = '""&amp;Personagem!$Z$12&amp;""' or Col2 = '""&amp;Personagem!$Z$13&amp;""' ""),
if('Time 5'!C6 = ""Palash"", query(IMPORTRANGE(cd_planilha, ""Armas!B3:G""), ""Select Col1 Where Col2 = '""&amp;Persona"&amp;"gem!$AA$12&amp;""' or Col2 = '""&amp;Personagem!$AA$13&amp;""'""),
if('Time 5'!C6 = ""Theor"", query(IMPORTRANGE(cd_planilha, ""Armas!B3:G""), ""Select Col1 Where Col2 = '""&amp;Personagem!$AB$12&amp;""' or Col2 = '""&amp;Personagem!$AB$13&amp;""' ""),
if('Time 5'!C6 = ""Yue"", quer"&amp;"y(IMPORTRANGE(cd_planilha, ""Armas!B3:G""), ""Select Col1 Where Col2 = '""&amp;Personagem!$AC$12&amp;""' or Col2 = '""&amp;Personagem!$AC$13&amp;""'""
)))))))))))))))))))))))))))))"),"Botas da Lua")</f>
        <v>Botas da Lua</v>
      </c>
      <c r="T598" s="241"/>
      <c r="U598" s="241" t="str">
        <f>IFERROR(__xludf.DUMMYFUNCTION("if('Time 5'!C7 = ""Albert"", query(IMPORTRANGE(cd_planilha, ""Armas!B3:G""), ""Select Col1 Where Col2 = '""&amp;Personagem!$B$12&amp;""' or Col2 = '""&amp;Personagem!$B$13&amp;""'""),     
if('Time 5'!C7 = ""Alicia"", query(IMPORTRANGE(cd_planilha, ""Armas!B3:G""), ""Sel"&amp;"ect Col1 Where Col2 = '""&amp;Personagem!$C$12&amp;""' or Col2 = '""&amp;Personagem!$C$13&amp;""'""),
if('Time 5'!C7 = ""Azula"", query(IMPORTRANGE(cd_planilha, ""Armas!B3:G""), ""Select Col1 Where Col2 = '""&amp;Personagem!$D$12&amp;""' or Col2 = '""&amp;Personagem!$D$13&amp;""' ""),
i"&amp;"f('Time 5'!C7 = ""Charles"", query(IMPORTRANGE(cd_planilha, ""Armas!B3:G""), ""Select Col1 Where Col2 = '""&amp;Personagem!$E$12&amp;""' or Col2 = '""&amp;Personagem!$E$13&amp;""'""),
if('Time 5'!C7 = ""Clovis"", query(IMPORTRANGE(cd_planilha, ""Armas!B3:G""), ""Select C"&amp;"ol1 Where Col2 = '""&amp;Personagem!$F$12&amp;""' or Col2 = '""&amp;Personagem!$F$13&amp;""' ""),
if('Time 5'!C7 = ""Darthos"", query(IMPORTRANGE(cd_planilha, ""Armas!B3:G""), ""Select Col1 Where Col2 = '""&amp;Personagem!$G$12&amp;""' or Col2 = '""&amp;Personagem!$G$13&amp;""'""),
if('"&amp;"Time 5'!C7 = ""Edward"", query(IMPORTRANGE(cd_planilha, ""Armas!B3:G""), ""Select Col1 Where Col2 = '""&amp;Personagem!$H$12&amp;""' or Col2 = '""&amp;Personagem!$H$13&amp;""' ""),
if('Time 5'!C7 = ""Fiora"", query(IMPORTRANGE(cd_planilha, ""Armas!B3:G""), ""Select Col1 "&amp;"Where Col2 = '""&amp;Personagem!$I$12&amp;""' or Col2 = '""&amp;Personagem!$I$13&amp;""' ""),
if('Time 5'!C7 = ""Francesca"", query(IMPORTRANGE(cd_planilha, ""Armas!B3:G""), ""Select Col1 Where Col2 = '""&amp;Personagem!$J$12&amp;""' or Col2 = '""&amp;Personagem!$J$13&amp;""'""),
if('Ti"&amp;"me 5'!C7 = ""Garreth"", query(IMPORTRANGE(cd_planilha, ""Armas!B3:G""), ""Select Col1 Where Col2 = '""&amp;Personagem!$K$12&amp;""' or Col2 = '""&amp;Personagem!$K$13&amp;""'""),
if('Time 5'!C7 = ""Gauvin"", query(IMPORTRANGE(cd_planilha, ""Armas!B3:G""), ""Select Col1 W"&amp;"here Col2 = '""&amp;Personagem!$L$12&amp;""' or Col2 = '""&amp;Personagem!$L$13&amp;""' ""),
if('Time 5'!C7 = ""Irene"", query(IMPORTRANGE(cd_planilha, ""Armas!B3:G""), ""Select Col1 Where Col2 = '""&amp;Personagem!$M$12&amp;""' or Col2 = '""&amp;Personagem!$M$13&amp;""' ""),
if('Time 5"&amp;"'!C7 = ""Karal"", query(IMPORTRANGE(cd_planilha, ""Armas!B3:G""), ""Select Col1 Where Col2 = '""&amp;Personagem!$N$12&amp;""' or Col2 = '""&amp;Personagem!$N$13&amp;""' ""),
if('Time 5'!C7 = ""Kuro Shobi"", query(IMPORTRANGE(cd_planilha, ""Armas!B3:G""), ""Select Col1 Wh"&amp;"ere Col2 = '""&amp;Personagem!$O$12&amp;""' or Col2 = '""&amp;Personagem!$O$13&amp;""'""),
if('Time 5'!C7 = ""Kurul"", query(IMPORTRANGE(cd_planilha, ""Armas!B3:G""), ""Select Col1 Where Col2 = '""&amp;Personagem!$P$12&amp;""' or Col2 = '""&amp;Personagem!$P$13&amp;""' ""),
if('Time 5'!"&amp;"C7 = ""Lancaster"", query(IMPORTRANGE(cd_planilha, ""Armas!B3:G""), ""Select Col1 Where Col2 = '""&amp;Personagem!$Q$12&amp;""' or Col2 = '""&amp;Personagem!$Q$13&amp;""'""),
if('Time 5'!C7 = ""Lorelei"", query(IMPORTRANGE(cd_planilha, ""Armas!B3:G""), ""Select Col1 Wher"&amp;"e Col2 = '""&amp;Personagem!$R$12&amp;""' or Col2 = '""&amp;Personagem!$R$13&amp;""' ""),
if('Time 5'!C7 = ""Louca"", query(IMPORTRANGE(cd_planilha, ""Armas!B3:G""), ""Select Col1 Where Col2 = '""&amp;Personagem!$S$12&amp;""' or Col2 = '""&amp;Personagem!$S$13&amp;""' ""),
if('Time 5'!C"&amp;"7 = ""Melina"", query(IMPORTRANGE(cd_planilha, ""Armas!B3:G""), ""Select Col1 Where Col2 = '""&amp;Personagem!$T$12&amp;""' or Col2 = '""&amp;Personagem!$T$13&amp;""'""),
if('Time 5'!C7 = ""Mila"", query(IMPORTRANGE(cd_planilha, ""Armas!B3:G""), ""Select Col1 Where Col2 "&amp;"= '""&amp;Personagem!$U$12&amp;""' or Col2 = '""&amp;Personagem!$U$13&amp;""' ""),
if('Time 5'!C7 = ""Minh"", query(IMPORTRANGE(cd_planilha, ""Armas!B3:G""), ""Select Col1 Where Col2 = '""&amp;Personagem!$V$12&amp;""' or Col2 = '""&amp;Personagem!$V$13&amp;""' ""),
if('Time 5'!C7 = ""Mo"&amp;"jian"", query(IMPORTRANGE(cd_planilha, ""Armas!B3:G""), ""Select Col1 Where Col2 = '""&amp;Personagem!$W$12&amp;""' or Col2 = '""&amp;Personagem!$W$13&amp;""'""),
if('Time 5'!C7 = ""Nya"", query(IMPORTRANGE(cd_planilha, ""Armas!B3:G""), ""Select Col1 Where Col2 = '""&amp;Per"&amp;"sonagem!$X$12&amp;""' or Col2 = '""&amp;Personagem!$X$13&amp;""' ""),
if('Time 5'!C7 = ""Odette"", query(IMPORTRANGE(cd_planilha, ""Armas!B3:G""), ""Select Col1 Where Col2 = '""&amp;Personagem!$Y$12&amp;""' or Col2 = '""&amp;Personagem!$Y$13&amp;""'""),
if('Time 5'!C7 = ""Oneira"", "&amp;"query(IMPORTRANGE(cd_planilha, ""Armas!B3:G""), ""Select Col1 Where Col2 = '""&amp;Personagem!$Z$12&amp;""' or Col2 = '""&amp;Personagem!$Z$13&amp;""' ""),
if('Time 5'!C7 = ""Palash"", query(IMPORTRANGE(cd_planilha, ""Armas!B3:G""), ""Select Col1 Where Col2 = '""&amp;Persona"&amp;"gem!$AA$12&amp;""' or Col2 = '""&amp;Personagem!$AA$13&amp;""'""),
if('Time 5'!C7 = ""Theor"", query(IMPORTRANGE(cd_planilha, ""Armas!B3:G""), ""Select Col1 Where Col2 = '""&amp;Personagem!$AB$12&amp;""' or Col2 = '""&amp;Personagem!$AB$13&amp;""' ""),
if('Time 5'!C7 = ""Yue"", quer"&amp;"y(IMPORTRANGE(cd_planilha, ""Armas!B3:G""), ""Select Col1 Where Col2 = '""&amp;Personagem!$AC$12&amp;""' or Col2 = '""&amp;Personagem!$AC$13&amp;""'""
)))))))))))))))))))))))))))))"),"Bota dos Elfos")</f>
        <v>Bota dos Elfos</v>
      </c>
      <c r="V598" s="241"/>
      <c r="W598" s="241" t="b">
        <f>IFERROR(__xludf.DUMMYFUNCTION("if('Time 5'!C8 = ""Albert"", query(IMPORTRANGE(cd_planilha, ""Armas!B3:G""), ""Select Col1 Where Col2 = '""&amp;Personagem!$B$12&amp;""' or Col2 = '""&amp;Personagem!$B$13&amp;""'""),     
if('Time 5'!C8 = ""Alicia"", query(IMPORTRANGE(cd_planilha, ""Armas!B3:G""), ""Sel"&amp;"ect Col1 Where Col2 = '""&amp;Personagem!$C$12&amp;""' or Col2 = '""&amp;Personagem!$C$13&amp;""'""),
if('Time 5'!C8 = ""Azula"", query(IMPORTRANGE(cd_planilha, ""Armas!B3:G""), ""Select Col1 Where Col2 = '""&amp;Personagem!$D$12&amp;""' or Col2 = '""&amp;Personagem!$D$13&amp;""' ""),
i"&amp;"f('Time 5'!C8 = ""Charles"", query(IMPORTRANGE(cd_planilha, ""Armas!B3:G""), ""Select Col1 Where Col2 = '""&amp;Personagem!$E$12&amp;""' or Col2 = '""&amp;Personagem!$E$13&amp;""'""),
if('Time 5'!C8 = ""Clovis"", query(IMPORTRANGE(cd_planilha, ""Armas!B3:G""), ""Select C"&amp;"ol1 Where Col2 = '""&amp;Personagem!$F$12&amp;""' or Col2 = '""&amp;Personagem!$F$13&amp;""' ""),
if('Time 5'!C8 = ""Darthos"", query(IMPORTRANGE(cd_planilha, ""Armas!B3:G""), ""Select Col1 Where Col2 = '""&amp;Personagem!$G$12&amp;""' or Col2 = '""&amp;Personagem!$G$13&amp;""'""),
if('"&amp;"Time 5'!C8 = ""Edward"", query(IMPORTRANGE(cd_planilha, ""Armas!B3:G""), ""Select Col1 Where Col2 = '""&amp;Personagem!$H$12&amp;""' or Col2 = '""&amp;Personagem!$H$13&amp;""' ""),
if('Time 5'!C8 = ""Fiora"", query(IMPORTRANGE(cd_planilha, ""Armas!B3:G""), ""Select Col1 "&amp;"Where Col2 = '""&amp;Personagem!$I$12&amp;""' or Col2 = '""&amp;Personagem!$I$13&amp;""' ""),
if('Time 5'!C8 = ""Francesca"", query(IMPORTRANGE(cd_planilha, ""Armas!B3:G""), ""Select Col1 Where Col2 = '""&amp;Personagem!$J$12&amp;""' or Col2 = '""&amp;Personagem!$J$13&amp;""'""),
if('Ti"&amp;"me 5'!C8 = ""Garreth"", query(IMPORTRANGE(cd_planilha, ""Armas!B3:G""), ""Select Col1 Where Col2 = '""&amp;Personagem!$K$12&amp;""' or Col2 = '""&amp;Personagem!$K$13&amp;""'""),
if('Time 5'!C8 = ""Gauvin"", query(IMPORTRANGE(cd_planilha, ""Armas!B3:G""), ""Select Col1 W"&amp;"here Col2 = '""&amp;Personagem!$L$12&amp;""' or Col2 = '""&amp;Personagem!$L$13&amp;""' ""),
if('Time 5'!C8 = ""Irene"", query(IMPORTRANGE(cd_planilha, ""Armas!B3:G""), ""Select Col1 Where Col2 = '""&amp;Personagem!$M$12&amp;""' or Col2 = '""&amp;Personagem!$M$13&amp;""' ""),
if('Time 5"&amp;"'!C8 = ""Karal"", query(IMPORTRANGE(cd_planilha, ""Armas!B3:G""), ""Select Col1 Where Col2 = '""&amp;Personagem!$N$12&amp;""' or Col2 = '""&amp;Personagem!$N$13&amp;""' ""),
if('Time 5'!C8 = ""Kuro Shobi"", query(IMPORTRANGE(cd_planilha, ""Armas!B3:G""), ""Select Col1 Wh"&amp;"ere Col2 = '""&amp;Personagem!$O$12&amp;""' or Col2 = '""&amp;Personagem!$O$13&amp;""'""),
if('Time 5'!C8 = ""Kurul"", query(IMPORTRANGE(cd_planilha, ""Armas!B3:G""), ""Select Col1 Where Col2 = '""&amp;Personagem!$P$12&amp;""' or Col2 = '""&amp;Personagem!$P$13&amp;""' ""),
if('Time 5'!"&amp;"C8 = ""Lancaster"", query(IMPORTRANGE(cd_planilha, ""Armas!B3:G""), ""Select Col1 Where Col2 = '""&amp;Personagem!$Q$12&amp;""' or Col2 = '""&amp;Personagem!$Q$13&amp;""'""),
if('Time 5'!C8 = ""Lorelei"", query(IMPORTRANGE(cd_planilha, ""Armas!B3:G""), ""Select Col1 Wher"&amp;"e Col2 = '""&amp;Personagem!$R$12&amp;""' or Col2 = '""&amp;Personagem!$R$13&amp;""' ""),
if('Time 5'!C8 = ""Louca"", query(IMPORTRANGE(cd_planilha, ""Armas!B3:G""), ""Select Col1 Where Col2 = '""&amp;Personagem!$S$12&amp;""' or Col2 = '""&amp;Personagem!$S$13&amp;""' ""),
if('Time 5'!C"&amp;"8 = ""Melina"", query(IMPORTRANGE(cd_planilha, ""Armas!B3:G""), ""Select Col1 Where Col2 = '""&amp;Personagem!$T$12&amp;""' or Col2 = '""&amp;Personagem!$T$13&amp;""'""),
if('Time 5'!C8 = ""Mila"", query(IMPORTRANGE(cd_planilha, ""Armas!B3:G""), ""Select Col1 Where Col2 "&amp;"= '""&amp;Personagem!$U$12&amp;""' or Col2 = '""&amp;Personagem!$U$13&amp;""' ""),
if('Time 5'!C8 = ""Minh"", query(IMPORTRANGE(cd_planilha, ""Armas!B3:G""), ""Select Col1 Where Col2 = '""&amp;Personagem!$V$12&amp;""' or Col2 = '""&amp;Personagem!$V$13&amp;""' ""),
if('Time 5'!C8 = ""Mo"&amp;"jian"", query(IMPORTRANGE(cd_planilha, ""Armas!B3:G""), ""Select Col1 Where Col2 = '""&amp;Personagem!$W$12&amp;""' or Col2 = '""&amp;Personagem!$W$13&amp;""'""),
if('Time 5'!C8 = ""Nya"", query(IMPORTRANGE(cd_planilha, ""Armas!B3:G""), ""Select Col1 Where Col2 = '""&amp;Per"&amp;"sonagem!$X$12&amp;""' or Col2 = '""&amp;Personagem!$X$13&amp;""' ""),
if('Time 5'!C8 = ""Odette"", query(IMPORTRANGE(cd_planilha, ""Armas!B3:G""), ""Select Col1 Where Col2 = '""&amp;Personagem!$Y$12&amp;""' or Col2 = '""&amp;Personagem!$Y$13&amp;""'""),
if('Time 5'!C8 = ""Oneira"", "&amp;"query(IMPORTRANGE(cd_planilha, ""Armas!B3:G""), ""Select Col1 Where Col2 = '""&amp;Personagem!$Z$12&amp;""' or Col2 = '""&amp;Personagem!$Z$13&amp;""' ""),
if('Time 5'!C8 = ""Palash"", query(IMPORTRANGE(cd_planilha, ""Armas!B3:G""), ""Select Col1 Where Col2 = '""&amp;Persona"&amp;"gem!$AA$12&amp;""' or Col2 = '""&amp;Personagem!$AA$13&amp;""'""),
if('Time 5'!C8 = ""Theor"", query(IMPORTRANGE(cd_planilha, ""Armas!B3:G""), ""Select Col1 Where Col2 = '""&amp;Personagem!$AB$12&amp;""' or Col2 = '""&amp;Personagem!$AB$13&amp;""' ""),
if('Time 5'!C8 = ""Yue"", quer"&amp;"y(IMPORTRANGE(cd_planilha, ""Armas!B3:G""), ""Select Col1 Where Col2 = '""&amp;Personagem!$AC$12&amp;""' or Col2 = '""&amp;Personagem!$AC$13&amp;""'""
)))))))))))))))))))))))))))))"),FALSE)</f>
        <v>0</v>
      </c>
      <c r="X598" s="242"/>
      <c r="Y598" s="241" t="str">
        <f>IFERROR(__xludf.DUMMYFUNCTION("if('Time 5'!C3 = ""Albert"", query(IMPORTRANGE(cd_planilha, ""Armas!B3:G""), ""Select Col1 Where Col2 = '""&amp;Personagem!$B$14&amp;""' or Col2 = '""&amp;Personagem!$B$15&amp;""' or Col2 = '""&amp;Personagem!$B$16&amp;""'""),     
if('Time 5'!C3 = ""Alicia"", query(IMPORTRANGE("&amp;"cd_planilha, ""Armas!B3:G""), ""Select Col1 Where Col2 = '""&amp;Personagem!$C$14&amp;""'  or Col2 = '""&amp;Personagem!$C$16&amp;""'""),     
if('Time 5'!C3 = ""Azula"", query(IMPORTRANGE(cd_planilha, ""Armas!B3:G""), ""Select Col1 Where Col2 = '""&amp;Personagem!$D$14&amp;""' "&amp;"or Col2 = '""&amp;Personagem!$D$15&amp;""' or Col2 = '""&amp;Personagem!$D$16&amp;""'""),
if('Time 5'!C3 = ""Charles"", query(IMPORTRANGE(cd_planilha, ""Armas!B3:G""), ""Select Col1 Where Col2 = '""&amp;Personagem!$E$14&amp;""' or Col2 = '""&amp;Personagem!$E$15&amp;""'or Col2 = '""&amp;Per"&amp;"sonagem!$E$16&amp;""'""),
if('Time 5'!C3 = ""Clovis"", query(IMPORTRANGE(cd_planilha, ""Armas!B3:G""), ""Select Col1 Where Col2 = '""&amp;Personagem!$F$14&amp;""' or Col2 = '""&amp;Personagem!$F$15&amp;""' or Col2 = '""&amp;Personagem!$F$16&amp;""'""),
if('Time 5'!C3 = ""Darthos"", "&amp;"query(IMPORTRANGE(cd_planilha, ""Armas!B3:G""), ""Select Col1 Where Col2 = '""&amp;Personagem!$G$14&amp;""' or Col2 = '""&amp;Personagem!$G$15&amp;""'or Col2 = '""&amp;Personagem!$G$16&amp;""'""),
if('Time 5'!C3 = ""Edward"", query(IMPORTRANGE(cd_planilha, ""Armas!B3:G""), ""Sel"&amp;"ect Col1 Where Col2 = '""&amp;Personagem!$H$14&amp;""' or Col2 = '""&amp;Personagem!$H$15&amp;""' or Col2 = '""&amp;Personagem!$H$16&amp;""'""),
if('Time 5'!C3 = ""Fiora"", query(IMPORTRANGE(cd_planilha, ""Armas!B3:G""), ""Select Col1 Where Col2 = '""&amp;Personagem!$I$14&amp;""' or Col"&amp;"2 = '""&amp;Personagem!$I$15&amp;""' or Col2 = '""&amp;Personagem!$I$16&amp;""'""),
if('Time 5'!C3 = ""Francesca"", query(IMPORTRANGE(cd_planilha, ""Armas!B3:G""), ""Select Col1 Where Col2 = '""&amp;Personagem!$J$14&amp;""' or Col2 = '""&amp;Personagem!$J$15&amp;""'or Col2 = '""&amp;Persona"&amp;"gem!$J$16&amp;""'""),
if('Time 5'!C3 = ""Garreth"", query(IMPORTRANGE(cd_planilha, ""Armas!B3:G""), ""Select Col1 Where Col2 = '""&amp;Personagem!$K$14&amp;""' or Col2 = '""&amp;Personagem!$K$15&amp;""'or Col2 = '""&amp;Personagem!$K$16&amp;""'""),
if('Time 5'!C3 = ""Gauvin"", query"&amp;"(IMPORTRANGE(cd_planilha, ""Armas!B3:G""), ""Select Col1 Where Col2 = '""&amp;Personagem!$L$14&amp;""' or Col2 = '""&amp;Personagem!$L$15&amp;""'or Col2 = '""&amp;Personagem!$L$16&amp;""' ""),
if('Time 5'!C3 = ""Irene"", query(IMPORTRANGE(cd_planilha, ""Armas!B3:G""), ""Select C"&amp;"ol1 Where Col2 = '""&amp;Personagem!$M$14&amp;""' or Col2 = '""&amp;Personagem!$M$15&amp;""'or Col2 = '""&amp;Personagem!$M$16&amp;""' ""),
if('Time 5'!C3 = ""Karal"", query(IMPORTRANGE(cd_planilha, ""Armas!B3:G""), ""Select Col1 Where Col2 = '""&amp;Personagem!$N$14&amp;""' or Col2 = '"&amp;"""&amp;Personagem!$N$15&amp;""' or Col2 = '""&amp;Personagem!$N$16&amp;""'""),
if('Time 5'!C3 = ""Kuro Shobi"", query(IMPORTRANGE(cd_planilha, ""Armas!B3:G""), ""Select Col1 Where Col2 = '""&amp;Personagem!$O$14&amp;""' or Col2 = '""&amp;Personagem!$O$15&amp;""'or Col2 = '""&amp;Personagem!"&amp;"$O$16&amp;""'""),
if('Time 5'!C3 = ""Kurul"", query(IMPORTRANGE(cd_planilha, ""Armas!B3:G""), ""Select Col1 Where Col2 = '""&amp;Personagem!$P$14&amp;""' or Col2 = '""&amp;Personagem!$P$15&amp;""' or Col2 = '""&amp;Personagem!$P$16&amp;""'""),
if('Time 5'!C3 = ""Lancaster"", query(I"&amp;"MPORTRANGE(cd_planilha, ""Armas!B3:G""), ""Select Col1 Where Col2 = '""&amp;Personagem!$Q$14&amp;""' or Col2 = '""&amp;Personagem!$Q$15&amp;""'or Col2 = '""&amp;Personagem!$Q$16&amp;""'""),
if('Time 5'!C3 = ""Lorelei"", query(IMPORTRANGE(cd_planilha, ""Armas!B3:G""), ""Select Co"&amp;"l1 Where Col2 = '""&amp;Personagem!$R$14&amp;""' or Col2 = '""&amp;Personagem!$R$15&amp;""' or Col2 = '""&amp;Personagem!$R$16&amp;""'""),
if('Time 5'!C3 = ""Louca"", query(IMPORTRANGE(cd_planilha, ""Armas!B3:G""), ""Select Col1 Where Col2 = '""&amp;Personagem!$S$14&amp;""' or Col2 = '"&amp;"""&amp;Personagem!$S$15&amp;""'or Col2 = '""&amp;Personagem!$S$16&amp;""' ""),
if('Time 5'!C3 = ""Melina"", query(IMPORTRANGE(cd_planilha, ""Armas!B3:G""), ""Select Col1 Where Col2 = '""&amp;Personagem!$T$14&amp;""' or Col2 = '""&amp;Personagem!$T$15&amp;""'or Col2 = '""&amp;Personagem!$T$1"&amp;"6&amp;""'""),
if('Time 5'!C3 = ""Mila"", query(IMPORTRANGE(cd_planilha, ""Armas!B3:G""), ""Select Col1 Where Col2 = '""&amp;Personagem!$U$14&amp;""' or Col2 = '""&amp;Personagem!$U$15&amp;""' or Col2 = '""&amp;Personagem!$U$16&amp;""'""),
if('Time 5'!C3 = ""Minh"", query(IMPORTRANGE"&amp;"(cd_planilha, ""Armas!B3:G""), ""Select Col1 Where Col2 = '""&amp;Personagem!$V$14&amp;""' or Col2 = '""&amp;Personagem!$V$15&amp;""' or Col2 = '""&amp;Personagem!$V$16&amp;""'""),
if('Time 5'!C3 = ""Mojian"", query(IMPORTRANGE(cd_planilha, ""Armas!B3:G""), ""Select Col1 Where C"&amp;"ol2 = '""&amp;Personagem!$W$14&amp;""' or Col2 = '""&amp;Personagem!$W$15&amp;""'or Col2 = '""&amp;Personagem!$W$16&amp;""'""),
if('Time 5'!C3 = ""Nya"", query(IMPORTRANGE(cd_planilha, ""Armas!B3:G""), ""Select Col1 Where Col2 = '""&amp;Personagem!$X$14&amp;""' or Col2 = '""&amp;Personagem!"&amp;"$X$15&amp;""' or Col2 = '""&amp;Personagem!$X$16&amp;""'""),
if('Time 5'!C3 = ""Odette"", query(IMPORTRANGE(cd_planilha, ""Armas!B3:G""), ""Select Col1 Where Col2 = '""&amp;Personagem!$Y$14&amp;""' or Col2 = '""&amp;Personagem!$Y$15&amp;""'or Col2 = '""&amp;Personagem!$YB$16&amp;""'""),
if("&amp;"'Time 5'!C3 = ""Oneira"", query(IMPORTRANGE(cd_planilha, ""Armas!B3:G""), ""Select Col1 Where Col2 = '""&amp;Personagem!$Z$14&amp;""' or Col2 = '""&amp;Personagem!$Z$15&amp;""' or Col2 = '""&amp;Personagem!$Z$16&amp;""'""),
if('Time 5'!C3 = ""Palash"", query(IMPORTRANGE(cd_plani"&amp;"lha, ""Armas!B3:G""), ""Select Col1 Where Col2 = '""&amp;Personagem!$AA$14&amp;""' or Col2 = '""&amp;Personagem!$AA$15&amp;""'or Col2 = '""&amp;Personagem!$AA$16&amp;""'""),
if('Time 5'!C3 = ""Theor"", query(IMPORTRANGE(cd_planilha, ""Armas!B3:G""), ""Select Col1 Where Col2 = '"&amp;"""&amp;Personagem!$AB$14&amp;""' or Col2 = '""&amp;Personagem!$AB$15&amp;""' or Col2 = '""&amp;Personagem!$AB$16&amp;""'""),
if('Time 5'!C3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Z598" s="241"/>
      <c r="AA598" s="241" t="str">
        <f>IFERROR(__xludf.DUMMYFUNCTION("if('Time 5'!C4 = ""Albert"", query(IMPORTRANGE(cd_planilha, ""Armas!B3:G""), ""Select Col1 Where Col2 = '""&amp;Personagem!$B$14&amp;""' or Col2 = '""&amp;Personagem!$B$15&amp;""' or Col2 = '""&amp;Personagem!$B$16&amp;""'""),     
if('Time 5'!C4 = ""Alicia"", query(IMPORTRANGE("&amp;"cd_planilha, ""Armas!B3:G""), ""Select Col1 Where Col2 = '""&amp;Personagem!$C$14&amp;""'  or Col2 = '""&amp;Personagem!$C$16&amp;""'""),     
if('Time 5'!C4 = ""Azula"", query(IMPORTRANGE(cd_planilha, ""Armas!B3:G""), ""Select Col1 Where Col2 = '""&amp;Personagem!$D$14&amp;""' "&amp;"or Col2 = '""&amp;Personagem!$D$15&amp;""' or Col2 = '""&amp;Personagem!$D$16&amp;""'""),
if('Time 5'!C4 = ""Charles"", query(IMPORTRANGE(cd_planilha, ""Armas!B3:G""), ""Select Col1 Where Col2 = '""&amp;Personagem!$E$14&amp;""' or Col2 = '""&amp;Personagem!$E$15&amp;""'or Col2 = '""&amp;Per"&amp;"sonagem!$E$16&amp;""'""),
if('Time 5'!C4 = ""Clovis"", query(IMPORTRANGE(cd_planilha, ""Armas!B3:G""), ""Select Col1 Where Col2 = '""&amp;Personagem!$F$14&amp;""' or Col2 = '""&amp;Personagem!$F$15&amp;""' or Col2 = '""&amp;Personagem!$F$16&amp;""'""),
if('Time 5'!C4 = ""Darthos"", "&amp;"query(IMPORTRANGE(cd_planilha, ""Armas!B3:G""), ""Select Col1 Where Col2 = '""&amp;Personagem!$G$14&amp;""' or Col2 = '""&amp;Personagem!$G$15&amp;""'or Col2 = '""&amp;Personagem!$G$16&amp;""'""),
if('Time 5'!C4 = ""Edward"", query(IMPORTRANGE(cd_planilha, ""Armas!B3:G""), ""Sel"&amp;"ect Col1 Where Col2 = '""&amp;Personagem!$H$14&amp;""' or Col2 = '""&amp;Personagem!$H$15&amp;""' or Col2 = '""&amp;Personagem!$H$16&amp;""'""),
if('Time 5'!C4 = ""Fiora"", query(IMPORTRANGE(cd_planilha, ""Armas!B3:G""), ""Select Col1 Where Col2 = '""&amp;Personagem!$I$14&amp;""' or Col"&amp;"2 = '""&amp;Personagem!$I$15&amp;""' or Col2 = '""&amp;Personagem!$I$16&amp;""'""),
if('Time 5'!C4 = ""Francesca"", query(IMPORTRANGE(cd_planilha, ""Armas!B3:G""), ""Select Col1 Where Col2 = '""&amp;Personagem!$J$14&amp;""' or Col2 = '""&amp;Personagem!$J$15&amp;""'or Col2 = '""&amp;Persona"&amp;"gem!$J$16&amp;""'""),
if('Time 5'!C4 = ""Garreth"", query(IMPORTRANGE(cd_planilha, ""Armas!B3:G""), ""Select Col1 Where Col2 = '""&amp;Personagem!$K$14&amp;""' or Col2 = '""&amp;Personagem!$K$15&amp;""'or Col2 = '""&amp;Personagem!$K$16&amp;""'""),
if('Time 5'!C4 = ""Gauvin"", query"&amp;"(IMPORTRANGE(cd_planilha, ""Armas!B3:G""), ""Select Col1 Where Col2 = '""&amp;Personagem!$L$14&amp;""' or Col2 = '""&amp;Personagem!$L$15&amp;""'or Col2 = '""&amp;Personagem!$L$16&amp;""' ""),
if('Time 5'!C4 = ""Irene"", query(IMPORTRANGE(cd_planilha, ""Armas!B3:G""), ""Select C"&amp;"ol1 Where Col2 = '""&amp;Personagem!$M$14&amp;""' or Col2 = '""&amp;Personagem!$M$15&amp;""'or Col2 = '""&amp;Personagem!$M$16&amp;""' ""),
if('Time 5'!C4 = ""Karal"", query(IMPORTRANGE(cd_planilha, ""Armas!B3:G""), ""Select Col1 Where Col2 = '""&amp;Personagem!$N$14&amp;""' or Col2 = '"&amp;"""&amp;Personagem!$N$15&amp;""' or Col2 = '""&amp;Personagem!$N$16&amp;""'""),
if('Time 5'!C4 = ""Kuro Shobi"", query(IMPORTRANGE(cd_planilha, ""Armas!B3:G""), ""Select Col1 Where Col2 = '""&amp;Personagem!$O$14&amp;""' or Col2 = '""&amp;Personagem!$O$15&amp;""'or Col2 = '""&amp;Personagem!"&amp;"$O$16&amp;""'""),
if('Time 5'!C4 = ""Kurul"", query(IMPORTRANGE(cd_planilha, ""Armas!B3:G""), ""Select Col1 Where Col2 = '""&amp;Personagem!$P$14&amp;""' or Col2 = '""&amp;Personagem!$P$15&amp;""' or Col2 = '""&amp;Personagem!$P$16&amp;""'""),
if('Time 5'!C4 = ""Lancaster"", query(I"&amp;"MPORTRANGE(cd_planilha, ""Armas!B3:G""), ""Select Col1 Where Col2 = '""&amp;Personagem!$Q$14&amp;""' or Col2 = '""&amp;Personagem!$Q$15&amp;""'or Col2 = '""&amp;Personagem!$Q$16&amp;""'""),
if('Time 5'!C4 = ""Lorelei"", query(IMPORTRANGE(cd_planilha, ""Armas!B3:G""), ""Select Co"&amp;"l1 Where Col2 = '""&amp;Personagem!$R$14&amp;""' or Col2 = '""&amp;Personagem!$R$15&amp;""' or Col2 = '""&amp;Personagem!$R$16&amp;""'""),
if('Time 5'!C4 = ""Louca"", query(IMPORTRANGE(cd_planilha, ""Armas!B3:G""), ""Select Col1 Where Col2 = '""&amp;Personagem!$S$14&amp;""' or Col2 = '"&amp;"""&amp;Personagem!$S$15&amp;""'or Col2 = '""&amp;Personagem!$S$16&amp;""' ""),
if('Time 5'!C4 = ""Melina"", query(IMPORTRANGE(cd_planilha, ""Armas!B3:G""), ""Select Col1 Where Col2 = '""&amp;Personagem!$T$14&amp;""' or Col2 = '""&amp;Personagem!$T$15&amp;""'or Col2 = '""&amp;Personagem!$T$1"&amp;"6&amp;""'""),
if('Time 5'!C4 = ""Mila"", query(IMPORTRANGE(cd_planilha, ""Armas!B3:G""), ""Select Col1 Where Col2 = '""&amp;Personagem!$U$14&amp;""' or Col2 = '""&amp;Personagem!$U$15&amp;""' or Col2 = '""&amp;Personagem!$U$16&amp;""'""),
if('Time 5'!C4 = ""Minh"", query(IMPORTRANGE"&amp;"(cd_planilha, ""Armas!B3:G""), ""Select Col1 Where Col2 = '""&amp;Personagem!$V$14&amp;""' or Col2 = '""&amp;Personagem!$V$15&amp;""' or Col2 = '""&amp;Personagem!$V$16&amp;""'""),
if('Time 5'!C4 = ""Mojian"", query(IMPORTRANGE(cd_planilha, ""Armas!B3:G""), ""Select Col1 Where C"&amp;"ol2 = '""&amp;Personagem!$W$14&amp;""' or Col2 = '""&amp;Personagem!$W$15&amp;""'or Col2 = '""&amp;Personagem!$W$16&amp;""'""),
if('Time 5'!C4 = ""Nya"", query(IMPORTRANGE(cd_planilha, ""Armas!B3:G""), ""Select Col1 Where Col2 = '""&amp;Personagem!$X$14&amp;""' or Col2 = '""&amp;Personagem!"&amp;"$X$15&amp;""' or Col2 = '""&amp;Personagem!$X$16&amp;""'""),
if('Time 5'!C4 = ""Odette"", query(IMPORTRANGE(cd_planilha, ""Armas!B3:G""), ""Select Col1 Where Col2 = '""&amp;Personagem!$Y$14&amp;""' or Col2 = '""&amp;Personagem!$Y$15&amp;""'or Col2 = '""&amp;Personagem!$YB$16&amp;""'""),
if("&amp;"'Time 5'!C4 = ""Oneira"", query(IMPORTRANGE(cd_planilha, ""Armas!B3:G""), ""Select Col1 Where Col2 = '""&amp;Personagem!$Z$14&amp;""' or Col2 = '""&amp;Personagem!$Z$15&amp;""' or Col2 = '""&amp;Personagem!$Z$16&amp;""'""),
if('Time 5'!C4 = ""Palash"", query(IMPORTRANGE(cd_plani"&amp;"lha, ""Armas!B3:G""), ""Select Col1 Where Col2 = '""&amp;Personagem!$AA$14&amp;""' or Col2 = '""&amp;Personagem!$AA$15&amp;""'or Col2 = '""&amp;Personagem!$AA$16&amp;""'""),
if('Time 5'!C4 = ""Theor"", query(IMPORTRANGE(cd_planilha, ""Armas!B3:G""), ""Select Col1 Where Col2 = '"&amp;"""&amp;Personagem!$AB$14&amp;""' or Col2 = '""&amp;Personagem!$AB$15&amp;""' or Col2 = '""&amp;Personagem!$AB$16&amp;""'""),
if('Time 5'!C4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B598" s="241"/>
      <c r="AC598" s="241" t="str">
        <f>IFERROR(__xludf.DUMMYFUNCTION("if('Time 5'!C5 = ""Albert"", query(IMPORTRANGE(cd_planilha, ""Armas!B3:G""), ""Select Col1 Where Col2 = '""&amp;Personagem!$B$14&amp;""' or Col2 = '""&amp;Personagem!$B$15&amp;""' or Col2 = '""&amp;Personagem!$B$16&amp;""'""),     
if('Time 5'!C5 = ""Alicia"", query(IMPORTRANGE("&amp;"cd_planilha, ""Armas!B3:G""), ""Select Col1 Where Col2 = '""&amp;Personagem!$C$14&amp;""'  or Col2 = '""&amp;Personagem!$C$16&amp;""'""),     
if('Time 5'!C5 = ""Azula"", query(IMPORTRANGE(cd_planilha, ""Armas!B3:G""), ""Select Col1 Where Col2 = '""&amp;Personagem!$D$14&amp;""' "&amp;"or Col2 = '""&amp;Personagem!$D$15&amp;""' or Col2 = '""&amp;Personagem!$D$16&amp;""'""),
if('Time 5'!C5 = ""Charles"", query(IMPORTRANGE(cd_planilha, ""Armas!B3:G""), ""Select Col1 Where Col2 = '""&amp;Personagem!$E$14&amp;""' or Col2 = '""&amp;Personagem!$E$15&amp;""'or Col2 = '""&amp;Per"&amp;"sonagem!$E$16&amp;""'""),
if('Time 5'!C5 = ""Clovis"", query(IMPORTRANGE(cd_planilha, ""Armas!B3:G""), ""Select Col1 Where Col2 = '""&amp;Personagem!$F$14&amp;""' or Col2 = '""&amp;Personagem!$F$15&amp;""' or Col2 = '""&amp;Personagem!$F$16&amp;""'""),
if('Time 5'!C5 = ""Darthos"", "&amp;"query(IMPORTRANGE(cd_planilha, ""Armas!B3:G""), ""Select Col1 Where Col2 = '""&amp;Personagem!$G$14&amp;""' or Col2 = '""&amp;Personagem!$G$15&amp;""'or Col2 = '""&amp;Personagem!$G$16&amp;""'""),
if('Time 5'!C5 = ""Edward"", query(IMPORTRANGE(cd_planilha, ""Armas!B3:G""), ""Sel"&amp;"ect Col1 Where Col2 = '""&amp;Personagem!$H$14&amp;""' or Col2 = '""&amp;Personagem!$H$15&amp;""' or Col2 = '""&amp;Personagem!$H$16&amp;""'""),
if('Time 5'!C5 = ""Fiora"", query(IMPORTRANGE(cd_planilha, ""Armas!B3:G""), ""Select Col1 Where Col2 = '""&amp;Personagem!$I$14&amp;""' or Col"&amp;"2 = '""&amp;Personagem!$I$15&amp;""' or Col2 = '""&amp;Personagem!$I$16&amp;""'""),
if('Time 5'!C5 = ""Francesca"", query(IMPORTRANGE(cd_planilha, ""Armas!B3:G""), ""Select Col1 Where Col2 = '""&amp;Personagem!$J$14&amp;""' or Col2 = '""&amp;Personagem!$J$15&amp;""'or Col2 = '""&amp;Persona"&amp;"gem!$J$16&amp;""'""),
if('Time 5'!C5 = ""Garreth"", query(IMPORTRANGE(cd_planilha, ""Armas!B3:G""), ""Select Col1 Where Col2 = '""&amp;Personagem!$K$14&amp;""' or Col2 = '""&amp;Personagem!$K$15&amp;""'or Col2 = '""&amp;Personagem!$K$16&amp;""'""),
if('Time 5'!C5 = ""Gauvin"", query"&amp;"(IMPORTRANGE(cd_planilha, ""Armas!B3:G""), ""Select Col1 Where Col2 = '""&amp;Personagem!$L$14&amp;""' or Col2 = '""&amp;Personagem!$L$15&amp;""'or Col2 = '""&amp;Personagem!$L$16&amp;""' ""),
if('Time 5'!C5 = ""Irene"", query(IMPORTRANGE(cd_planilha, ""Armas!B3:G""), ""Select C"&amp;"ol1 Where Col2 = '""&amp;Personagem!$M$14&amp;""' or Col2 = '""&amp;Personagem!$M$15&amp;""'or Col2 = '""&amp;Personagem!$M$16&amp;""' ""),
if('Time 5'!C5 = ""Karal"", query(IMPORTRANGE(cd_planilha, ""Armas!B3:G""), ""Select Col1 Where Col2 = '""&amp;Personagem!$N$14&amp;""' or Col2 = '"&amp;"""&amp;Personagem!$N$15&amp;""' or Col2 = '""&amp;Personagem!$N$16&amp;""'""),
if('Time 5'!C5 = ""Kuro Shobi"", query(IMPORTRANGE(cd_planilha, ""Armas!B3:G""), ""Select Col1 Where Col2 = '""&amp;Personagem!$O$14&amp;""' or Col2 = '""&amp;Personagem!$O$15&amp;""'or Col2 = '""&amp;Personagem!"&amp;"$O$16&amp;""'""),
if('Time 5'!C5 = ""Kurul"", query(IMPORTRANGE(cd_planilha, ""Armas!B3:G""), ""Select Col1 Where Col2 = '""&amp;Personagem!$P$14&amp;""' or Col2 = '""&amp;Personagem!$P$15&amp;""' or Col2 = '""&amp;Personagem!$P$16&amp;""'""),
if('Time 5'!C5 = ""Lancaster"", query(I"&amp;"MPORTRANGE(cd_planilha, ""Armas!B3:G""), ""Select Col1 Where Col2 = '""&amp;Personagem!$Q$14&amp;""' or Col2 = '""&amp;Personagem!$Q$15&amp;""'or Col2 = '""&amp;Personagem!$Q$16&amp;""'""),
if('Time 5'!C5 = ""Lorelei"", query(IMPORTRANGE(cd_planilha, ""Armas!B3:G""), ""Select Co"&amp;"l1 Where Col2 = '""&amp;Personagem!$R$14&amp;""' or Col2 = '""&amp;Personagem!$R$15&amp;""' or Col2 = '""&amp;Personagem!$R$16&amp;""'""),
if('Time 5'!C5 = ""Louca"", query(IMPORTRANGE(cd_planilha, ""Armas!B3:G""), ""Select Col1 Where Col2 = '""&amp;Personagem!$S$14&amp;""' or Col2 = '"&amp;"""&amp;Personagem!$S$15&amp;""'or Col2 = '""&amp;Personagem!$S$16&amp;""' ""),
if('Time 5'!C5 = ""Melina"", query(IMPORTRANGE(cd_planilha, ""Armas!B3:G""), ""Select Col1 Where Col2 = '""&amp;Personagem!$T$14&amp;""' or Col2 = '""&amp;Personagem!$T$15&amp;""'or Col2 = '""&amp;Personagem!$T$1"&amp;"6&amp;""'""),
if('Time 5'!C5 = ""Mila"", query(IMPORTRANGE(cd_planilha, ""Armas!B3:G""), ""Select Col1 Where Col2 = '""&amp;Personagem!$U$14&amp;""' or Col2 = '""&amp;Personagem!$U$15&amp;""' or Col2 = '""&amp;Personagem!$U$16&amp;""'""),
if('Time 5'!C5 = ""Minh"", query(IMPORTRANGE"&amp;"(cd_planilha, ""Armas!B3:G""), ""Select Col1 Where Col2 = '""&amp;Personagem!$V$14&amp;""' or Col2 = '""&amp;Personagem!$V$15&amp;""' or Col2 = '""&amp;Personagem!$V$16&amp;""'""),
if('Time 5'!C5 = ""Mojian"", query(IMPORTRANGE(cd_planilha, ""Armas!B3:G""), ""Select Col1 Where C"&amp;"ol2 = '""&amp;Personagem!$W$14&amp;""' or Col2 = '""&amp;Personagem!$W$15&amp;""'or Col2 = '""&amp;Personagem!$W$16&amp;""'""),
if('Time 5'!C5 = ""Nya"", query(IMPORTRANGE(cd_planilha, ""Armas!B3:G""), ""Select Col1 Where Col2 = '""&amp;Personagem!$X$14&amp;""' or Col2 = '""&amp;Personagem!"&amp;"$X$15&amp;""' or Col2 = '""&amp;Personagem!$X$16&amp;""'""),
if('Time 5'!C5 = ""Odette"", query(IMPORTRANGE(cd_planilha, ""Armas!B3:G""), ""Select Col1 Where Col2 = '""&amp;Personagem!$Y$14&amp;""' or Col2 = '""&amp;Personagem!$Y$15&amp;""'or Col2 = '""&amp;Personagem!$YB$16&amp;""'""),
if("&amp;"'Time 5'!C5 = ""Oneira"", query(IMPORTRANGE(cd_planilha, ""Armas!B3:G""), ""Select Col1 Where Col2 = '""&amp;Personagem!$Z$14&amp;""' or Col2 = '""&amp;Personagem!$Z$15&amp;""' or Col2 = '""&amp;Personagem!$Z$16&amp;""'""),
if('Time 5'!C5 = ""Palash"", query(IMPORTRANGE(cd_plani"&amp;"lha, ""Armas!B3:G""), ""Select Col1 Where Col2 = '""&amp;Personagem!$AA$14&amp;""' or Col2 = '""&amp;Personagem!$AA$15&amp;""'or Col2 = '""&amp;Personagem!$AA$16&amp;""'""),
if('Time 5'!C5 = ""Theor"", query(IMPORTRANGE(cd_planilha, ""Armas!B3:G""), ""Select Col1 Where Col2 = '"&amp;"""&amp;Personagem!$AB$14&amp;""' or Col2 = '""&amp;Personagem!$AB$15&amp;""' or Col2 = '""&amp;Personagem!$AB$16&amp;""'""),
if('Time 5'!C5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D598" s="241"/>
      <c r="AE598" s="241" t="str">
        <f>IFERROR(__xludf.DUMMYFUNCTION("if('Time 5'!C6 = ""Albert"", query(IMPORTRANGE(cd_planilha, ""Armas!B3:G""), ""Select Col1 Where Col2 = '""&amp;Personagem!$B$14&amp;""' or Col2 = '""&amp;Personagem!$B$15&amp;""' or Col2 = '""&amp;Personagem!$B$16&amp;""'""),     
if('Time 5'!C6 = ""Alicia"", query(IMPORTRANGE("&amp;"cd_planilha, ""Armas!B3:G""), ""Select Col1 Where Col2 = '""&amp;Personagem!$C$14&amp;""'  or Col2 = '""&amp;Personagem!$C$16&amp;""'""),     
if('Time 5'!C6 = ""Azula"", query(IMPORTRANGE(cd_planilha, ""Armas!B3:G""), ""Select Col1 Where Col2 = '""&amp;Personagem!$D$14&amp;""' "&amp;"or Col2 = '""&amp;Personagem!$D$15&amp;""' or Col2 = '""&amp;Personagem!$D$16&amp;""'""),
if('Time 5'!C6 = ""Charles"", query(IMPORTRANGE(cd_planilha, ""Armas!B3:G""), ""Select Col1 Where Col2 = '""&amp;Personagem!$E$14&amp;""' or Col2 = '""&amp;Personagem!$E$15&amp;""'or Col2 = '""&amp;Per"&amp;"sonagem!$E$16&amp;""'""),
if('Time 5'!C6 = ""Clovis"", query(IMPORTRANGE(cd_planilha, ""Armas!B3:G""), ""Select Col1 Where Col2 = '""&amp;Personagem!$F$14&amp;""' or Col2 = '""&amp;Personagem!$F$15&amp;""' or Col2 = '""&amp;Personagem!$F$16&amp;""'""),
if('Time 5'!C6 = ""Darthos"", "&amp;"query(IMPORTRANGE(cd_planilha, ""Armas!B3:G""), ""Select Col1 Where Col2 = '""&amp;Personagem!$G$14&amp;""' or Col2 = '""&amp;Personagem!$G$15&amp;""'or Col2 = '""&amp;Personagem!$G$16&amp;""'""),
if('Time 5'!C6 = ""Edward"", query(IMPORTRANGE(cd_planilha, ""Armas!B3:G""), ""Sel"&amp;"ect Col1 Where Col2 = '""&amp;Personagem!$H$14&amp;""' or Col2 = '""&amp;Personagem!$H$15&amp;""' or Col2 = '""&amp;Personagem!$H$16&amp;""'""),
if('Time 5'!C6 = ""Fiora"", query(IMPORTRANGE(cd_planilha, ""Armas!B3:G""), ""Select Col1 Where Col2 = '""&amp;Personagem!$I$14&amp;""' or Col"&amp;"2 = '""&amp;Personagem!$I$15&amp;""' or Col2 = '""&amp;Personagem!$I$16&amp;""'""),
if('Time 5'!C6 = ""Francesca"", query(IMPORTRANGE(cd_planilha, ""Armas!B3:G""), ""Select Col1 Where Col2 = '""&amp;Personagem!$J$14&amp;""' or Col2 = '""&amp;Personagem!$J$15&amp;""'or Col2 = '""&amp;Persona"&amp;"gem!$J$16&amp;""'""),
if('Time 5'!C6 = ""Garreth"", query(IMPORTRANGE(cd_planilha, ""Armas!B3:G""), ""Select Col1 Where Col2 = '""&amp;Personagem!$K$14&amp;""' or Col2 = '""&amp;Personagem!$K$15&amp;""'or Col2 = '""&amp;Personagem!$K$16&amp;""'""),
if('Time 5'!C6 = ""Gauvin"", query"&amp;"(IMPORTRANGE(cd_planilha, ""Armas!B3:G""), ""Select Col1 Where Col2 = '""&amp;Personagem!$L$14&amp;""' or Col2 = '""&amp;Personagem!$L$15&amp;""'or Col2 = '""&amp;Personagem!$L$16&amp;""' ""),
if('Time 5'!C6 = ""Irene"", query(IMPORTRANGE(cd_planilha, ""Armas!B3:G""), ""Select C"&amp;"ol1 Where Col2 = '""&amp;Personagem!$M$14&amp;""' or Col2 = '""&amp;Personagem!$M$15&amp;""'or Col2 = '""&amp;Personagem!$M$16&amp;""' ""),
if('Time 5'!C6 = ""Karal"", query(IMPORTRANGE(cd_planilha, ""Armas!B3:G""), ""Select Col1 Where Col2 = '""&amp;Personagem!$N$14&amp;""' or Col2 = '"&amp;"""&amp;Personagem!$N$15&amp;""' or Col2 = '""&amp;Personagem!$N$16&amp;""'""),
if('Time 5'!C6 = ""Kuro Shobi"", query(IMPORTRANGE(cd_planilha, ""Armas!B3:G""), ""Select Col1 Where Col2 = '""&amp;Personagem!$O$14&amp;""' or Col2 = '""&amp;Personagem!$O$15&amp;""'or Col2 = '""&amp;Personagem!"&amp;"$O$16&amp;""'""),
if('Time 5'!C6 = ""Kurul"", query(IMPORTRANGE(cd_planilha, ""Armas!B3:G""), ""Select Col1 Where Col2 = '""&amp;Personagem!$P$14&amp;""' or Col2 = '""&amp;Personagem!$P$15&amp;""' or Col2 = '""&amp;Personagem!$P$16&amp;""'""),
if('Time 5'!C6 = ""Lancaster"", query(I"&amp;"MPORTRANGE(cd_planilha, ""Armas!B3:G""), ""Select Col1 Where Col2 = '""&amp;Personagem!$Q$14&amp;""' or Col2 = '""&amp;Personagem!$Q$15&amp;""'or Col2 = '""&amp;Personagem!$Q$16&amp;""'""),
if('Time 5'!C6 = ""Lorelei"", query(IMPORTRANGE(cd_planilha, ""Armas!B3:G""), ""Select Co"&amp;"l1 Where Col2 = '""&amp;Personagem!$R$14&amp;""' or Col2 = '""&amp;Personagem!$R$15&amp;""' or Col2 = '""&amp;Personagem!$R$16&amp;""'""),
if('Time 5'!C6 = ""Louca"", query(IMPORTRANGE(cd_planilha, ""Armas!B3:G""), ""Select Col1 Where Col2 = '""&amp;Personagem!$S$14&amp;""' or Col2 = '"&amp;"""&amp;Personagem!$S$15&amp;""'or Col2 = '""&amp;Personagem!$S$16&amp;""' ""),
if('Time 5'!C6 = ""Melina"", query(IMPORTRANGE(cd_planilha, ""Armas!B3:G""), ""Select Col1 Where Col2 = '""&amp;Personagem!$T$14&amp;""' or Col2 = '""&amp;Personagem!$T$15&amp;""'or Col2 = '""&amp;Personagem!$T$1"&amp;"6&amp;""'""),
if('Time 5'!C6 = ""Mila"", query(IMPORTRANGE(cd_planilha, ""Armas!B3:G""), ""Select Col1 Where Col2 = '""&amp;Personagem!$U$14&amp;""' or Col2 = '""&amp;Personagem!$U$15&amp;""' or Col2 = '""&amp;Personagem!$U$16&amp;""'""),
if('Time 5'!C6 = ""Minh"", query(IMPORTRANGE"&amp;"(cd_planilha, ""Armas!B3:G""), ""Select Col1 Where Col2 = '""&amp;Personagem!$V$14&amp;""' or Col2 = '""&amp;Personagem!$V$15&amp;""' or Col2 = '""&amp;Personagem!$V$16&amp;""'""),
if('Time 5'!C6 = ""Mojian"", query(IMPORTRANGE(cd_planilha, ""Armas!B3:G""), ""Select Col1 Where C"&amp;"ol2 = '""&amp;Personagem!$W$14&amp;""' or Col2 = '""&amp;Personagem!$W$15&amp;""'or Col2 = '""&amp;Personagem!$W$16&amp;""'""),
if('Time 5'!C6 = ""Nya"", query(IMPORTRANGE(cd_planilha, ""Armas!B3:G""), ""Select Col1 Where Col2 = '""&amp;Personagem!$X$14&amp;""' or Col2 = '""&amp;Personagem!"&amp;"$X$15&amp;""' or Col2 = '""&amp;Personagem!$X$16&amp;""'""),
if('Time 5'!C6 = ""Odette"", query(IMPORTRANGE(cd_planilha, ""Armas!B3:G""), ""Select Col1 Where Col2 = '""&amp;Personagem!$Y$14&amp;""' or Col2 = '""&amp;Personagem!$Y$15&amp;""'or Col2 = '""&amp;Personagem!$YB$16&amp;""'""),
if("&amp;"'Time 5'!C6 = ""Oneira"", query(IMPORTRANGE(cd_planilha, ""Armas!B3:G""), ""Select Col1 Where Col2 = '""&amp;Personagem!$Z$14&amp;""' or Col2 = '""&amp;Personagem!$Z$15&amp;""' or Col2 = '""&amp;Personagem!$Z$16&amp;""'""),
if('Time 5'!C6 = ""Palash"", query(IMPORTRANGE(cd_plani"&amp;"lha, ""Armas!B3:G""), ""Select Col1 Where Col2 = '""&amp;Personagem!$AA$14&amp;""' or Col2 = '""&amp;Personagem!$AA$15&amp;""'or Col2 = '""&amp;Personagem!$AA$16&amp;""'""),
if('Time 5'!C6 = ""Theor"", query(IMPORTRANGE(cd_planilha, ""Armas!B3:G""), ""Select Col1 Where Col2 = '"&amp;"""&amp;Personagem!$AB$14&amp;""' or Col2 = '""&amp;Personagem!$AB$15&amp;""' or Col2 = '""&amp;Personagem!$AB$16&amp;""'""),
if('Time 5'!C6 = ""Yue"", query(IMPORTRANGE(cd_planilha, ""Armas!B3:G""), ""Select Col1 Where Col2 = '""&amp;Personagem!$AC$14&amp;""' or Col2 = '""&amp;Personagem!$A"&amp;"C$15&amp;""'or Col2 = '""&amp;Personagem!$AC$16&amp;""'""
)))))))))))))))))))))))))))))"),"Protetor")</f>
        <v>Protetor</v>
      </c>
      <c r="AF598" s="241"/>
      <c r="AG598" s="241" t="str">
        <f>IFERROR(__xludf.DUMMYFUNCTION("if('Time 5'!C7 = ""Albert"", query(IMPORTRANGE(cd_planilha, ""Armas!B3:G""), ""Select Col1 Where Col2 = '""&amp;Personagem!$B$14&amp;""' or Col2 = '""&amp;Personagem!$B$15&amp;""' or Col2 = '""&amp;Personagem!$B$16&amp;""'""),     
if('Time 5'!C7 = ""Alicia"", query(IMPORTRANGE("&amp;"cd_planilha, ""Armas!B3:G""), ""Select Col1 Where Col2 = '""&amp;Personagem!$C$14&amp;""'  or Col2 = '""&amp;Personagem!$C$16&amp;""'""),     
if('Time 5'!C7 = ""Azula"", query(IMPORTRANGE(cd_planilha, ""Armas!B3:G""), ""Select Col1 Where Col2 = '""&amp;Personagem!$D$14&amp;""' "&amp;"or Col2 = '""&amp;Personagem!$D$15&amp;""' or Col2 = '""&amp;Personagem!$D$16&amp;""'""),
if('Time 5'!C7 = ""Charles"", query(IMPORTRANGE(cd_planilha, ""Armas!B3:G""), ""Select Col1 Where Col2 = '""&amp;Personagem!$E$14&amp;""' or Col2 = '""&amp;Personagem!$E$15&amp;""'or Col2 = '""&amp;Per"&amp;"sonagem!$E$16&amp;""'""),
if('Time 5'!C7 = ""Clovis"", query(IMPORTRANGE(cd_planilha, ""Armas!B3:G""), ""Select Col1 Where Col2 = '""&amp;Personagem!$F$14&amp;""' or Col2 = '""&amp;Personagem!$F$15&amp;""' or Col2 = '""&amp;Personagem!$F$16&amp;""'""),
if('Time 5'!C7 = ""Darthos"", "&amp;"query(IMPORTRANGE(cd_planilha, ""Armas!B3:G""), ""Select Col1 Where Col2 = '""&amp;Personagem!$G$14&amp;""' or Col2 = '""&amp;Personagem!$G$15&amp;""'or Col2 = '""&amp;Personagem!$G$16&amp;""'""),
if('Time 5'!C7 = ""Edward"", query(IMPORTRANGE(cd_planilha, ""Armas!B3:G""), ""Sel"&amp;"ect Col1 Where Col2 = '""&amp;Personagem!$H$14&amp;""' or Col2 = '""&amp;Personagem!$H$15&amp;""' or Col2 = '""&amp;Personagem!$H$16&amp;""'""),
if('Time 5'!C7 = ""Fiora"", query(IMPORTRANGE(cd_planilha, ""Armas!B3:G""), ""Select Col1 Where Col2 = '""&amp;Personagem!$I$14&amp;""' or Col"&amp;"2 = '""&amp;Personagem!$I$15&amp;""' or Col2 = '""&amp;Personagem!$I$16&amp;""'""),
if('Time 5'!C7 = ""Francesca"", query(IMPORTRANGE(cd_planilha, ""Armas!B3:G""), ""Select Col1 Where Col2 = '""&amp;Personagem!$J$14&amp;""' or Col2 = '""&amp;Personagem!$J$15&amp;""'or Col2 = '""&amp;Persona"&amp;"gem!$J$16&amp;""'""),
if('Time 5'!C7 = ""Garreth"", query(IMPORTRANGE(cd_planilha, ""Armas!B3:G""), ""Select Col1 Where Col2 = '""&amp;Personagem!$K$14&amp;""' or Col2 = '""&amp;Personagem!$K$15&amp;""'or Col2 = '""&amp;Personagem!$K$16&amp;""'""),
if('Time 5'!C7 = ""Gauvin"", query"&amp;"(IMPORTRANGE(cd_planilha, ""Armas!B3:G""), ""Select Col1 Where Col2 = '""&amp;Personagem!$L$14&amp;""' or Col2 = '""&amp;Personagem!$L$15&amp;""'or Col2 = '""&amp;Personagem!$L$16&amp;""' ""),
if('Time 5'!C7 = ""Irene"", query(IMPORTRANGE(cd_planilha, ""Armas!B3:G""), ""Select C"&amp;"ol1 Where Col2 = '""&amp;Personagem!$M$14&amp;""' or Col2 = '""&amp;Personagem!$M$15&amp;""'or Col2 = '""&amp;Personagem!$M$16&amp;""' ""),
if('Time 5'!C7 = ""Karal"", query(IMPORTRANGE(cd_planilha, ""Armas!B3:G""), ""Select Col1 Where Col2 = '""&amp;Personagem!$N$14&amp;""' or Col2 = '"&amp;"""&amp;Personagem!$N$15&amp;""' or Col2 = '""&amp;Personagem!$N$16&amp;""'""),
if('Time 5'!C7 = ""Kuro Shobi"", query(IMPORTRANGE(cd_planilha, ""Armas!B3:G""), ""Select Col1 Where Col2 = '""&amp;Personagem!$O$14&amp;""' or Col2 = '""&amp;Personagem!$O$15&amp;""'or Col2 = '""&amp;Personagem!"&amp;"$O$16&amp;""'""),
if('Time 5'!C7 = ""Kurul"", query(IMPORTRANGE(cd_planilha, ""Armas!B3:G""), ""Select Col1 Where Col2 = '""&amp;Personagem!$P$14&amp;""' or Col2 = '""&amp;Personagem!$P$15&amp;""' or Col2 = '""&amp;Personagem!$P$16&amp;""'""),
if('Time 5'!C7 = ""Lancaster"", query(I"&amp;"MPORTRANGE(cd_planilha, ""Armas!B3:G""), ""Select Col1 Where Col2 = '""&amp;Personagem!$Q$14&amp;""' or Col2 = '""&amp;Personagem!$Q$15&amp;""'or Col2 = '""&amp;Personagem!$Q$16&amp;""'""),
if('Time 5'!C7 = ""Lorelei"", query(IMPORTRANGE(cd_planilha, ""Armas!B3:G""), ""Select Co"&amp;"l1 Where Col2 = '""&amp;Personagem!$R$14&amp;""' or Col2 = '""&amp;Personagem!$R$15&amp;""' or Col2 = '""&amp;Personagem!$R$16&amp;""'""),
if('Time 5'!C7 = ""Louca"", query(IMPORTRANGE(cd_planilha, ""Armas!B3:G""), ""Select Col1 Where Col2 = '""&amp;Personagem!$S$14&amp;""' or Col2 = '"&amp;"""&amp;Personagem!$S$15&amp;""'or Col2 = '""&amp;Personagem!$S$16&amp;""' ""),
if('Time 5'!C7 = ""Melina"", query(IMPORTRANGE(cd_planilha, ""Armas!B3:G""), ""Select Col1 Where Col2 = '""&amp;Personagem!$T$14&amp;""' or Col2 = '""&amp;Personagem!$T$15&amp;""'or Col2 = '""&amp;Personagem!$T$1"&amp;"6&amp;""'""),
if('Time 5'!C7 = ""Mila"", query(IMPORTRANGE(cd_planilha, ""Armas!B3:G""), ""Select Col1 Where Col2 = '""&amp;Personagem!$U$14&amp;""' or Col2 = '""&amp;Personagem!$U$15&amp;""' or Col2 = '""&amp;Personagem!$U$16&amp;""'""),
if('Time 5'!C7 = ""Minh"", query(IMPORTRANGE"&amp;"(cd_planilha, ""Armas!B3:G""), ""Select Col1 Where Col2 = '""&amp;Personagem!$V$14&amp;""' or Col2 = '""&amp;Personagem!$V$15&amp;""' or Col2 = '""&amp;Personagem!$V$16&amp;""'""),
if('Time 5'!C7 = ""Mojian"", query(IMPORTRANGE(cd_planilha, ""Armas!B3:G""), ""Select Col1 Where C"&amp;"ol2 = '""&amp;Personagem!$W$14&amp;""' or Col2 = '""&amp;Personagem!$W$15&amp;""'or Col2 = '""&amp;Personagem!$W$16&amp;""'""),
if('Time 5'!C7 = ""Nya"", query(IMPORTRANGE(cd_planilha, ""Armas!B3:G""), ""Select Col1 Where Col2 = '""&amp;Personagem!$X$14&amp;""' or Col2 = '""&amp;Personagem!"&amp;"$X$15&amp;""' or Col2 = '""&amp;Personagem!$X$16&amp;""'""),
if('Time 5'!C7 = ""Odette"", query(IMPORTRANGE(cd_planilha, ""Armas!B3:G""), ""Select Col1 Where Col2 = '""&amp;Personagem!$Y$14&amp;""' or Col2 = '""&amp;Personagem!$Y$15&amp;""'or Col2 = '""&amp;Personagem!$YB$16&amp;""'""),
if("&amp;"'Time 5'!C7 = ""Oneira"", query(IMPORTRANGE(cd_planilha, ""Armas!B3:G""), ""Select Col1 Where Col2 = '""&amp;Personagem!$Z$14&amp;""' or Col2 = '""&amp;Personagem!$Z$15&amp;""' or Col2 = '""&amp;Personagem!$Z$16&amp;""'""),
if('Time 5'!C7 = ""Palash"", query(IMPORTRANGE(cd_plani"&amp;"lha, ""Armas!B3:G""), ""Select Col1 Where Col2 = '""&amp;Personagem!$AA$14&amp;""' or Col2 = '""&amp;Personagem!$AA$15&amp;""'or Col2 = '""&amp;Personagem!$AA$16&amp;""'""),
if('Time 5'!C7 = ""Theor"", query(IMPORTRANGE(cd_planilha, ""Armas!B3:G""), ""Select Col1 Where Col2 = '"&amp;"""&amp;Personagem!$AB$14&amp;""' or Col2 = '""&amp;Personagem!$AB$15&amp;""' or Col2 = '""&amp;Personagem!$AB$16&amp;""'""),
if('Time 5'!C7 = ""Yue"", query(IMPORTRANGE(cd_planilha, ""Armas!B3:G""), ""Select Col1 Where Col2 = '""&amp;Personagem!$AC$14&amp;""' or Col2 = '""&amp;Personagem!$A"&amp;"C$15&amp;""'or Col2 = '""&amp;Personagem!$AC$16&amp;""'""
)))))))))))))))))))))))))))))"),"Anel estrelado")</f>
        <v>Anel estrelado</v>
      </c>
      <c r="AH598" s="241"/>
      <c r="AI598" s="241" t="b">
        <f>IFERROR(__xludf.DUMMYFUNCTION("if('Time 5'!C8 = ""Albert"", query(IMPORTRANGE(cd_planilha, ""Armas!B3:G""), ""Select Col1 Where Col2 = '""&amp;Personagem!$B$14&amp;""' or Col2 = '""&amp;Personagem!$B$15&amp;""' or Col2 = '""&amp;Personagem!$B$16&amp;""'""),     
if('Time 5'!C8 = ""Alicia"", query(IMPORTRANGE("&amp;"cd_planilha, ""Armas!B3:G""), ""Select Col1 Where Col2 = '""&amp;Personagem!$C$14&amp;""'  or Col2 = '""&amp;Personagem!$C$16&amp;""'""),     
if('Time 5'!C8 = ""Azula"", query(IMPORTRANGE(cd_planilha, ""Armas!B3:G""), ""Select Col1 Where Col2 = '""&amp;Personagem!$D$14&amp;""' "&amp;"or Col2 = '""&amp;Personagem!$D$15&amp;""' or Col2 = '""&amp;Personagem!$D$16&amp;""'""),
if('Time 5'!C8 = ""Charles"", query(IMPORTRANGE(cd_planilha, ""Armas!B3:G""), ""Select Col1 Where Col2 = '""&amp;Personagem!$E$14&amp;""' or Col2 = '""&amp;Personagem!$E$15&amp;""'or Col2 = '""&amp;Per"&amp;"sonagem!$E$16&amp;""'""),
if('Time 5'!C8 = ""Clovis"", query(IMPORTRANGE(cd_planilha, ""Armas!B3:G""), ""Select Col1 Where Col2 = '""&amp;Personagem!$F$14&amp;""' or Col2 = '""&amp;Personagem!$F$15&amp;""' or Col2 = '""&amp;Personagem!$F$16&amp;""'""),
if('Time 5'!C8 = ""Darthos"", "&amp;"query(IMPORTRANGE(cd_planilha, ""Armas!B3:G""), ""Select Col1 Where Col2 = '""&amp;Personagem!$G$14&amp;""' or Col2 = '""&amp;Personagem!$G$15&amp;""'or Col2 = '""&amp;Personagem!$G$16&amp;""'""),
if('Time 5'!C8 = ""Edward"", query(IMPORTRANGE(cd_planilha, ""Armas!B3:G""), ""Sel"&amp;"ect Col1 Where Col2 = '""&amp;Personagem!$H$14&amp;""' or Col2 = '""&amp;Personagem!$H$15&amp;""' or Col2 = '""&amp;Personagem!$H$16&amp;""'""),
if('Time 5'!C8 = ""Fiora"", query(IMPORTRANGE(cd_planilha, ""Armas!B3:G""), ""Select Col1 Where Col2 = '""&amp;Personagem!$I$14&amp;""' or Col"&amp;"2 = '""&amp;Personagem!$I$15&amp;""' or Col2 = '""&amp;Personagem!$I$16&amp;""'""),
if('Time 5'!C8 = ""Francesca"", query(IMPORTRANGE(cd_planilha, ""Armas!B3:G""), ""Select Col1 Where Col2 = '""&amp;Personagem!$J$14&amp;""' or Col2 = '""&amp;Personagem!$J$15&amp;""'or Col2 = '""&amp;Persona"&amp;"gem!$J$16&amp;""'""),
if('Time 5'!C8 = ""Garreth"", query(IMPORTRANGE(cd_planilha, ""Armas!B3:G""), ""Select Col1 Where Col2 = '""&amp;Personagem!$K$14&amp;""' or Col2 = '""&amp;Personagem!$K$15&amp;""'or Col2 = '""&amp;Personagem!$K$16&amp;""'""),
if('Time 5'!C8 = ""Gauvin"", query"&amp;"(IMPORTRANGE(cd_planilha, ""Armas!B3:G""), ""Select Col1 Where Col2 = '""&amp;Personagem!$L$14&amp;""' or Col2 = '""&amp;Personagem!$L$15&amp;""'or Col2 = '""&amp;Personagem!$L$16&amp;""' ""),
if('Time 5'!C8 = ""Irene"", query(IMPORTRANGE(cd_planilha, ""Armas!B3:G""), ""Select C"&amp;"ol1 Where Col2 = '""&amp;Personagem!$M$14&amp;""' or Col2 = '""&amp;Personagem!$M$15&amp;""'or Col2 = '""&amp;Personagem!$M$16&amp;""' ""),
if('Time 5'!C8 = ""Karal"", query(IMPORTRANGE(cd_planilha, ""Armas!B3:G""), ""Select Col1 Where Col2 = '""&amp;Personagem!$N$14&amp;""' or Col2 = '"&amp;"""&amp;Personagem!$N$15&amp;""' or Col2 = '""&amp;Personagem!$N$16&amp;""'""),
if('Time 5'!C8 = ""Kuro Shobi"", query(IMPORTRANGE(cd_planilha, ""Armas!B3:G""), ""Select Col1 Where Col2 = '""&amp;Personagem!$O$14&amp;""' or Col2 = '""&amp;Personagem!$O$15&amp;""'or Col2 = '""&amp;Personagem!"&amp;"$O$16&amp;""'""),
if('Time 5'!C8 = ""Kurul"", query(IMPORTRANGE(cd_planilha, ""Armas!B3:G""), ""Select Col1 Where Col2 = '""&amp;Personagem!$P$14&amp;""' or Col2 = '""&amp;Personagem!$P$15&amp;""' or Col2 = '""&amp;Personagem!$P$16&amp;""'""),
if('Time 5'!C8 = ""Lancaster"", query(I"&amp;"MPORTRANGE(cd_planilha, ""Armas!B3:G""), ""Select Col1 Where Col2 = '""&amp;Personagem!$Q$14&amp;""' or Col2 = '""&amp;Personagem!$Q$15&amp;""'or Col2 = '""&amp;Personagem!$Q$16&amp;""'""),
if('Time 5'!C8 = ""Lorelei"", query(IMPORTRANGE(cd_planilha, ""Armas!B3:G""), ""Select Co"&amp;"l1 Where Col2 = '""&amp;Personagem!$R$14&amp;""' or Col2 = '""&amp;Personagem!$R$15&amp;""' or Col2 = '""&amp;Personagem!$R$16&amp;""'""),
if('Time 5'!C8 = ""Louca"", query(IMPORTRANGE(cd_planilha, ""Armas!B3:G""), ""Select Col1 Where Col2 = '""&amp;Personagem!$S$14&amp;""' or Col2 = '"&amp;"""&amp;Personagem!$S$15&amp;""'or Col2 = '""&amp;Personagem!$S$16&amp;""' ""),
if('Time 5'!C8 = ""Melina"", query(IMPORTRANGE(cd_planilha, ""Armas!B3:G""), ""Select Col1 Where Col2 = '""&amp;Personagem!$T$14&amp;""' or Col2 = '""&amp;Personagem!$T$15&amp;""'or Col2 = '""&amp;Personagem!$T$1"&amp;"6&amp;""'""),
if('Time 5'!C8 = ""Mila"", query(IMPORTRANGE(cd_planilha, ""Armas!B3:G""), ""Select Col1 Where Col2 = '""&amp;Personagem!$U$14&amp;""' or Col2 = '""&amp;Personagem!$U$15&amp;""' or Col2 = '""&amp;Personagem!$U$16&amp;""'""),
if('Time 5'!C8 = ""Minh"", query(IMPORTRANGE"&amp;"(cd_planilha, ""Armas!B3:G""), ""Select Col1 Where Col2 = '""&amp;Personagem!$V$14&amp;""' or Col2 = '""&amp;Personagem!$V$15&amp;""' or Col2 = '""&amp;Personagem!$V$16&amp;""'""),
if('Time 5'!C8 = ""Mojian"", query(IMPORTRANGE(cd_planilha, ""Armas!B3:G""), ""Select Col1 Where C"&amp;"ol2 = '""&amp;Personagem!$W$14&amp;""' or Col2 = '""&amp;Personagem!$W$15&amp;""'or Col2 = '""&amp;Personagem!$W$16&amp;""'""),
if('Time 5'!C8 = ""Nya"", query(IMPORTRANGE(cd_planilha, ""Armas!B3:G""), ""Select Col1 Where Col2 = '""&amp;Personagem!$X$14&amp;""' or Col2 = '""&amp;Personagem!"&amp;"$X$15&amp;""' or Col2 = '""&amp;Personagem!$X$16&amp;""'""),
if('Time 5'!C8 = ""Odette"", query(IMPORTRANGE(cd_planilha, ""Armas!B3:G""), ""Select Col1 Where Col2 = '""&amp;Personagem!$Y$14&amp;""' or Col2 = '""&amp;Personagem!$Y$15&amp;""'or Col2 = '""&amp;Personagem!$YB$16&amp;""'""),
if("&amp;"'Time 5'!C8 = ""Oneira"", query(IMPORTRANGE(cd_planilha, ""Armas!B3:G""), ""Select Col1 Where Col2 = '""&amp;Personagem!$Z$14&amp;""' or Col2 = '""&amp;Personagem!$Z$15&amp;""' or Col2 = '""&amp;Personagem!$Z$16&amp;""'""),
if('Time 5'!C8 = ""Palash"", query(IMPORTRANGE(cd_plani"&amp;"lha, ""Armas!B3:G""), ""Select Col1 Where Col2 = '""&amp;Personagem!$AA$14&amp;""' or Col2 = '""&amp;Personagem!$AA$15&amp;""'or Col2 = '""&amp;Personagem!$AA$16&amp;""'""),
if('Time 5'!C8 = ""Theor"", query(IMPORTRANGE(cd_planilha, ""Armas!B3:G""), ""Select Col1 Where Col2 = '"&amp;"""&amp;Personagem!$AB$14&amp;""' or Col2 = '""&amp;Personagem!$AB$15&amp;""' or Col2 = '""&amp;Personagem!$AB$16&amp;""'""),
if('Time 5'!C8 = ""Yue"", query(IMPORTRANGE(cd_planilha, ""Armas!B3:G""), ""Select Col1 Where Col2 = '""&amp;Personagem!$AC$14&amp;""' or Col2 = '""&amp;Personagem!$A"&amp;"C$15&amp;""'or Col2 = '""&amp;Personagem!$AC$16&amp;""'""
)))))))))))))))))))))))))))))"),FALSE)</f>
        <v>0</v>
      </c>
      <c r="AJ598" s="242"/>
    </row>
    <row r="599">
      <c r="A599" s="224" t="str">
        <f>IFERROR(__xludf.DUMMYFUNCTION("""COMPUTED_VALUE"""),"Guardian Protector")</f>
        <v>Guardian Protector</v>
      </c>
      <c r="B599" s="241"/>
      <c r="C599" s="224" t="str">
        <f>IFERROR(__xludf.DUMMYFUNCTION("""COMPUTED_VALUE"""),"Guardian Protector")</f>
        <v>Guardian Protector</v>
      </c>
      <c r="D599" s="241"/>
      <c r="E599" s="224" t="str">
        <f>IFERROR(__xludf.DUMMYFUNCTION("""COMPUTED_VALUE"""),"Gancho mão de metal")</f>
        <v>Gancho mão de metal</v>
      </c>
      <c r="F599" s="241"/>
      <c r="G599" s="224" t="str">
        <f>IFERROR(__xludf.DUMMYFUNCTION("""COMPUTED_VALUE"""),"Gancho mão de metal")</f>
        <v>Gancho mão de metal</v>
      </c>
      <c r="H599" s="241"/>
      <c r="I599" s="224" t="str">
        <f>IFERROR(__xludf.DUMMYFUNCTION("""COMPUTED_VALUE"""),"Guardian Protector")</f>
        <v>Guardian Protector</v>
      </c>
      <c r="J599" s="241"/>
      <c r="K599" s="241"/>
      <c r="L599" s="242"/>
      <c r="M599" s="224" t="str">
        <f>IFERROR(__xludf.DUMMYFUNCTION("""COMPUTED_VALUE"""),"Calçado Lunar ")</f>
        <v>Calçado Lunar </v>
      </c>
      <c r="N599" s="241"/>
      <c r="O599" s="224" t="str">
        <f>IFERROR(__xludf.DUMMYFUNCTION("""COMPUTED_VALUE"""),"Calçado Lunar ")</f>
        <v>Calçado Lunar </v>
      </c>
      <c r="P599" s="241"/>
      <c r="Q599" s="224" t="str">
        <f>IFERROR(__xludf.DUMMYFUNCTION("""COMPUTED_VALUE"""),"Botas do leão")</f>
        <v>Botas do leão</v>
      </c>
      <c r="R599" s="241"/>
      <c r="S599" s="224" t="str">
        <f>IFERROR(__xludf.DUMMYFUNCTION("""COMPUTED_VALUE"""),"Botas do leão")</f>
        <v>Botas do leão</v>
      </c>
      <c r="T599" s="241"/>
      <c r="U599" s="224" t="str">
        <f>IFERROR(__xludf.DUMMYFUNCTION("""COMPUTED_VALUE"""),"Calçado Lunar ")</f>
        <v>Calçado Lunar </v>
      </c>
      <c r="V599" s="241"/>
      <c r="W599" s="241"/>
      <c r="X599" s="242"/>
      <c r="Y599" s="224" t="str">
        <f>IFERROR(__xludf.DUMMYFUNCTION("""COMPUTED_VALUE"""),"Interesseiro")</f>
        <v>Interesseiro</v>
      </c>
      <c r="Z599" s="241"/>
      <c r="AA599" s="224" t="str">
        <f>IFERROR(__xludf.DUMMYFUNCTION("""COMPUTED_VALUE"""),"Interesseiro")</f>
        <v>Interesseiro</v>
      </c>
      <c r="AB599" s="241"/>
      <c r="AC599" s="224" t="str">
        <f>IFERROR(__xludf.DUMMYFUNCTION("""COMPUTED_VALUE"""),"Contra Fogo")</f>
        <v>Contra Fogo</v>
      </c>
      <c r="AD599" s="241"/>
      <c r="AE599" s="224" t="str">
        <f>IFERROR(__xludf.DUMMYFUNCTION("""COMPUTED_VALUE"""),"Contra Fogo")</f>
        <v>Contra Fogo</v>
      </c>
      <c r="AF599" s="241"/>
      <c r="AG599" s="224" t="str">
        <f>IFERROR(__xludf.DUMMYFUNCTION("""COMPUTED_VALUE"""),"Interesseiro")</f>
        <v>Interesseiro</v>
      </c>
      <c r="AH599" s="241"/>
      <c r="AI599" s="241"/>
      <c r="AJ599" s="242"/>
    </row>
    <row r="600" hidden="1">
      <c r="A600" s="241" t="str">
        <f>IFERROR(__xludf.DUMMYFUNCTION("""COMPUTED_VALUE"""),"Luvas do Grão Mestre")</f>
        <v>Luvas do Grão Mestre</v>
      </c>
      <c r="B600" s="241"/>
      <c r="C600" s="241" t="str">
        <f>IFERROR(__xludf.DUMMYFUNCTION("""COMPUTED_VALUE"""),"Luvas do Grão Mestre")</f>
        <v>Luvas do Grão Mestre</v>
      </c>
      <c r="D600" s="241"/>
      <c r="E600" s="241" t="str">
        <f>IFERROR(__xludf.DUMMYFUNCTION("""COMPUTED_VALUE"""),"Garra Gelada")</f>
        <v>Garra Gelada</v>
      </c>
      <c r="F600" s="241"/>
      <c r="G600" s="241" t="str">
        <f>IFERROR(__xludf.DUMMYFUNCTION("""COMPUTED_VALUE"""),"Garra Gelada")</f>
        <v>Garra Gelada</v>
      </c>
      <c r="H600" s="241"/>
      <c r="I600" s="241" t="str">
        <f>IFERROR(__xludf.DUMMYFUNCTION("""COMPUTED_VALUE"""),"Luvas do Grão Mestre")</f>
        <v>Luvas do Grão Mestre</v>
      </c>
      <c r="J600" s="241"/>
      <c r="K600" s="241"/>
      <c r="L600" s="242"/>
      <c r="M600" s="241" t="str">
        <f>IFERROR(__xludf.DUMMYFUNCTION("""COMPUTED_VALUE"""),"Meh-ticulosamente Feito")</f>
        <v>Meh-ticulosamente Feito</v>
      </c>
      <c r="N600" s="241"/>
      <c r="O600" s="241" t="str">
        <f>IFERROR(__xludf.DUMMYFUNCTION("""COMPUTED_VALUE"""),"Meh-ticulosamente Feito")</f>
        <v>Meh-ticulosamente Feito</v>
      </c>
      <c r="P600" s="241"/>
      <c r="Q600" s="241" t="str">
        <f>IFERROR(__xludf.DUMMYFUNCTION("""COMPUTED_VALUE"""),"Botas do Aventureiro")</f>
        <v>Botas do Aventureiro</v>
      </c>
      <c r="R600" s="241"/>
      <c r="S600" s="241" t="str">
        <f>IFERROR(__xludf.DUMMYFUNCTION("""COMPUTED_VALUE"""),"Botas do Aventureiro")</f>
        <v>Botas do Aventureiro</v>
      </c>
      <c r="T600" s="241"/>
      <c r="U600" s="241" t="str">
        <f>IFERROR(__xludf.DUMMYFUNCTION("""COMPUTED_VALUE"""),"Meh-ticulosamente Feito")</f>
        <v>Meh-ticulosamente Feito</v>
      </c>
      <c r="V600" s="241"/>
      <c r="W600" s="241"/>
      <c r="X600" s="242"/>
      <c r="Y600" s="241" t="str">
        <f>IFERROR(__xludf.DUMMYFUNCTION("""COMPUTED_VALUE"""),"Anel ferradura")</f>
        <v>Anel ferradura</v>
      </c>
      <c r="Z600" s="241"/>
      <c r="AA600" s="241" t="str">
        <f>IFERROR(__xludf.DUMMYFUNCTION("""COMPUTED_VALUE"""),"Anel ferradura")</f>
        <v>Anel ferradura</v>
      </c>
      <c r="AB600" s="241"/>
      <c r="AC600" s="241" t="str">
        <f>IFERROR(__xludf.DUMMYFUNCTION("""COMPUTED_VALUE"""),"Scarab Shield")</f>
        <v>Scarab Shield</v>
      </c>
      <c r="AD600" s="241"/>
      <c r="AE600" s="241" t="str">
        <f>IFERROR(__xludf.DUMMYFUNCTION("""COMPUTED_VALUE"""),"Scarab Shield")</f>
        <v>Scarab Shield</v>
      </c>
      <c r="AF600" s="241"/>
      <c r="AG600" s="241" t="str">
        <f>IFERROR(__xludf.DUMMYFUNCTION("""COMPUTED_VALUE"""),"Anel ferradura")</f>
        <v>Anel ferradura</v>
      </c>
      <c r="AH600" s="241"/>
      <c r="AI600" s="241"/>
      <c r="AJ600" s="242"/>
    </row>
    <row r="601" hidden="1">
      <c r="A601" s="241" t="str">
        <f>IFERROR(__xludf.DUMMYFUNCTION("""COMPUTED_VALUE"""),"Luvas das Sombras")</f>
        <v>Luvas das Sombras</v>
      </c>
      <c r="B601" s="241"/>
      <c r="C601" s="241" t="str">
        <f>IFERROR(__xludf.DUMMYFUNCTION("""COMPUTED_VALUE"""),"Luvas das Sombras")</f>
        <v>Luvas das Sombras</v>
      </c>
      <c r="D601" s="241"/>
      <c r="E601" s="241" t="str">
        <f>IFERROR(__xludf.DUMMYFUNCTION("""COMPUTED_VALUE"""),"Manoplas do Rei")</f>
        <v>Manoplas do Rei</v>
      </c>
      <c r="F601" s="241"/>
      <c r="G601" s="241" t="str">
        <f>IFERROR(__xludf.DUMMYFUNCTION("""COMPUTED_VALUE"""),"Manoplas do Rei")</f>
        <v>Manoplas do Rei</v>
      </c>
      <c r="H601" s="241"/>
      <c r="I601" s="241" t="str">
        <f>IFERROR(__xludf.DUMMYFUNCTION("""COMPUTED_VALUE"""),"Luvas das Sombras")</f>
        <v>Luvas das Sombras</v>
      </c>
      <c r="J601" s="241"/>
      <c r="K601" s="241"/>
      <c r="L601" s="242"/>
      <c r="M601" s="241" t="str">
        <f>IFERROR(__xludf.DUMMYFUNCTION("""COMPUTED_VALUE"""),"Sandálias de Asas ")</f>
        <v>Sandálias de Asas </v>
      </c>
      <c r="N601" s="241"/>
      <c r="O601" s="241" t="str">
        <f>IFERROR(__xludf.DUMMYFUNCTION("""COMPUTED_VALUE"""),"Sandálias de Asas ")</f>
        <v>Sandálias de Asas </v>
      </c>
      <c r="P601" s="241"/>
      <c r="Q601" s="241" t="str">
        <f>IFERROR(__xludf.DUMMYFUNCTION("""COMPUTED_VALUE"""),"Grevas da chama")</f>
        <v>Grevas da chama</v>
      </c>
      <c r="R601" s="241"/>
      <c r="S601" s="241" t="str">
        <f>IFERROR(__xludf.DUMMYFUNCTION("""COMPUTED_VALUE"""),"Grevas da chama")</f>
        <v>Grevas da chama</v>
      </c>
      <c r="T601" s="241"/>
      <c r="U601" s="241" t="str">
        <f>IFERROR(__xludf.DUMMYFUNCTION("""COMPUTED_VALUE"""),"Sandálias de Asas ")</f>
        <v>Sandálias de Asas </v>
      </c>
      <c r="V601" s="241"/>
      <c r="W601" s="241"/>
      <c r="X601" s="242"/>
      <c r="Y601" s="241" t="str">
        <f>IFERROR(__xludf.DUMMYFUNCTION("""COMPUTED_VALUE"""),"Perseguindo a lua")</f>
        <v>Perseguindo a lua</v>
      </c>
      <c r="Z601" s="241"/>
      <c r="AA601" s="241" t="str">
        <f>IFERROR(__xludf.DUMMYFUNCTION("""COMPUTED_VALUE"""),"Perseguindo a lua")</f>
        <v>Perseguindo a lua</v>
      </c>
      <c r="AB601" s="241"/>
      <c r="AC601" s="241" t="str">
        <f>IFERROR(__xludf.DUMMYFUNCTION("""COMPUTED_VALUE"""),"Égide ")</f>
        <v>Égide </v>
      </c>
      <c r="AD601" s="241"/>
      <c r="AE601" s="241" t="str">
        <f>IFERROR(__xludf.DUMMYFUNCTION("""COMPUTED_VALUE"""),"Égide ")</f>
        <v>Égide </v>
      </c>
      <c r="AF601" s="241"/>
      <c r="AG601" s="241" t="str">
        <f>IFERROR(__xludf.DUMMYFUNCTION("""COMPUTED_VALUE"""),"Perseguindo a lua")</f>
        <v>Perseguindo a lua</v>
      </c>
      <c r="AH601" s="241"/>
      <c r="AI601" s="241"/>
      <c r="AJ601" s="242"/>
    </row>
    <row r="602" hidden="1">
      <c r="A602" s="241" t="str">
        <f>IFERROR(__xludf.DUMMYFUNCTION("""COMPUTED_VALUE"""),"Braceletes gélidos")</f>
        <v>Braceletes gélidos</v>
      </c>
      <c r="B602" s="241"/>
      <c r="C602" s="241" t="str">
        <f>IFERROR(__xludf.DUMMYFUNCTION("""COMPUTED_VALUE"""),"Braceletes gélidos")</f>
        <v>Braceletes gélidos</v>
      </c>
      <c r="D602" s="241"/>
      <c r="E602" s="241" t="str">
        <f>IFERROR(__xludf.DUMMYFUNCTION("""COMPUTED_VALUE"""),"Chocantes ")</f>
        <v>Chocantes </v>
      </c>
      <c r="F602" s="241"/>
      <c r="G602" s="241" t="str">
        <f>IFERROR(__xludf.DUMMYFUNCTION("""COMPUTED_VALUE"""),"Chocantes ")</f>
        <v>Chocantes </v>
      </c>
      <c r="H602" s="241"/>
      <c r="I602" s="241" t="str">
        <f>IFERROR(__xludf.DUMMYFUNCTION("""COMPUTED_VALUE"""),"Braceletes gélidos")</f>
        <v>Braceletes gélidos</v>
      </c>
      <c r="J602" s="241"/>
      <c r="K602" s="241"/>
      <c r="L602" s="242"/>
      <c r="M602" s="241" t="str">
        <f>IFERROR(__xludf.DUMMYFUNCTION("""COMPUTED_VALUE"""),"Encontra-Caminho")</f>
        <v>Encontra-Caminho</v>
      </c>
      <c r="N602" s="241"/>
      <c r="O602" s="241" t="str">
        <f>IFERROR(__xludf.DUMMYFUNCTION("""COMPUTED_VALUE"""),"Encontra-Caminho")</f>
        <v>Encontra-Caminho</v>
      </c>
      <c r="P602" s="241"/>
      <c r="Q602" s="241" t="str">
        <f>IFERROR(__xludf.DUMMYFUNCTION("""COMPUTED_VALUE"""),"Calçados mágicos")</f>
        <v>Calçados mágicos</v>
      </c>
      <c r="R602" s="241"/>
      <c r="S602" s="241" t="str">
        <f>IFERROR(__xludf.DUMMYFUNCTION("""COMPUTED_VALUE"""),"Calçados mágicos")</f>
        <v>Calçados mágicos</v>
      </c>
      <c r="T602" s="241"/>
      <c r="U602" s="241" t="str">
        <f>IFERROR(__xludf.DUMMYFUNCTION("""COMPUTED_VALUE"""),"Encontra-Caminho")</f>
        <v>Encontra-Caminho</v>
      </c>
      <c r="V602" s="241"/>
      <c r="W602" s="241"/>
      <c r="X602" s="242"/>
      <c r="Y602" s="241" t="str">
        <f>IFERROR(__xludf.DUMMYFUNCTION("""COMPUTED_VALUE"""),"Anel do Cruzado")</f>
        <v>Anel do Cruzado</v>
      </c>
      <c r="Z602" s="241"/>
      <c r="AA602" s="241" t="str">
        <f>IFERROR(__xludf.DUMMYFUNCTION("""COMPUTED_VALUE"""),"Anel do Cruzado")</f>
        <v>Anel do Cruzado</v>
      </c>
      <c r="AB602" s="241"/>
      <c r="AC602" s="241" t="str">
        <f>IFERROR(__xludf.DUMMYFUNCTION("""COMPUTED_VALUE"""),"Escudo Estrelado")</f>
        <v>Escudo Estrelado</v>
      </c>
      <c r="AD602" s="241"/>
      <c r="AE602" s="241" t="str">
        <f>IFERROR(__xludf.DUMMYFUNCTION("""COMPUTED_VALUE"""),"Escudo Estrelado")</f>
        <v>Escudo Estrelado</v>
      </c>
      <c r="AF602" s="241"/>
      <c r="AG602" s="241" t="str">
        <f>IFERROR(__xludf.DUMMYFUNCTION("""COMPUTED_VALUE"""),"Anel do Cruzado")</f>
        <v>Anel do Cruzado</v>
      </c>
      <c r="AH602" s="241"/>
      <c r="AI602" s="241"/>
      <c r="AJ602" s="242"/>
    </row>
    <row r="603" hidden="1">
      <c r="A603" s="241" t="str">
        <f>IFERROR(__xludf.DUMMYFUNCTION("""COMPUTED_VALUE"""),"Luvas do espreitador")</f>
        <v>Luvas do espreitador</v>
      </c>
      <c r="B603" s="241"/>
      <c r="C603" s="241" t="str">
        <f>IFERROR(__xludf.DUMMYFUNCTION("""COMPUTED_VALUE"""),"Luvas do espreitador")</f>
        <v>Luvas do espreitador</v>
      </c>
      <c r="D603" s="241"/>
      <c r="E603" s="241" t="str">
        <f>IFERROR(__xludf.DUMMYFUNCTION("""COMPUTED_VALUE"""),"Manopla de escamas de Dragão")</f>
        <v>Manopla de escamas de Dragão</v>
      </c>
      <c r="F603" s="241"/>
      <c r="G603" s="241" t="str">
        <f>IFERROR(__xludf.DUMMYFUNCTION("""COMPUTED_VALUE"""),"Manopla de escamas de Dragão")</f>
        <v>Manopla de escamas de Dragão</v>
      </c>
      <c r="H603" s="241"/>
      <c r="I603" s="241" t="str">
        <f>IFERROR(__xludf.DUMMYFUNCTION("""COMPUTED_VALUE"""),"Luvas do espreitador")</f>
        <v>Luvas do espreitador</v>
      </c>
      <c r="J603" s="241"/>
      <c r="K603" s="241"/>
      <c r="L603" s="242"/>
      <c r="M603" s="241" t="str">
        <f>IFERROR(__xludf.DUMMYFUNCTION("""COMPUTED_VALUE"""),"Botas piratas")</f>
        <v>Botas piratas</v>
      </c>
      <c r="N603" s="241"/>
      <c r="O603" s="241" t="str">
        <f>IFERROR(__xludf.DUMMYFUNCTION("""COMPUTED_VALUE"""),"Botas piratas")</f>
        <v>Botas piratas</v>
      </c>
      <c r="P603" s="241"/>
      <c r="Q603" s="241" t="str">
        <f>IFERROR(__xludf.DUMMYFUNCTION("""COMPUTED_VALUE"""),"Pisa-em-crânios")</f>
        <v>Pisa-em-crânios</v>
      </c>
      <c r="R603" s="241"/>
      <c r="S603" s="241" t="str">
        <f>IFERROR(__xludf.DUMMYFUNCTION("""COMPUTED_VALUE"""),"Pisa-em-crânios")</f>
        <v>Pisa-em-crânios</v>
      </c>
      <c r="T603" s="241"/>
      <c r="U603" s="241" t="str">
        <f>IFERROR(__xludf.DUMMYFUNCTION("""COMPUTED_VALUE"""),"Botas piratas")</f>
        <v>Botas piratas</v>
      </c>
      <c r="V603" s="241"/>
      <c r="W603" s="241"/>
      <c r="X603" s="242"/>
      <c r="Y603" s="241" t="str">
        <f>IFERROR(__xludf.DUMMYFUNCTION("""COMPUTED_VALUE"""),"Dragão sinete")</f>
        <v>Dragão sinete</v>
      </c>
      <c r="Z603" s="241"/>
      <c r="AA603" s="241" t="str">
        <f>IFERROR(__xludf.DUMMYFUNCTION("""COMPUTED_VALUE"""),"Dragão sinete")</f>
        <v>Dragão sinete</v>
      </c>
      <c r="AB603" s="241"/>
      <c r="AC603" s="241" t="str">
        <f>IFERROR(__xludf.DUMMYFUNCTION("""COMPUTED_VALUE"""),"Escudo de cristal")</f>
        <v>Escudo de cristal</v>
      </c>
      <c r="AD603" s="241"/>
      <c r="AE603" s="241" t="str">
        <f>IFERROR(__xludf.DUMMYFUNCTION("""COMPUTED_VALUE"""),"Escudo de cristal")</f>
        <v>Escudo de cristal</v>
      </c>
      <c r="AF603" s="241"/>
      <c r="AG603" s="241" t="str">
        <f>IFERROR(__xludf.DUMMYFUNCTION("""COMPUTED_VALUE"""),"Dragão sinete")</f>
        <v>Dragão sinete</v>
      </c>
      <c r="AH603" s="241"/>
      <c r="AI603" s="241"/>
      <c r="AJ603" s="242"/>
    </row>
    <row r="604" hidden="1">
      <c r="A604" s="241" t="str">
        <f>IFERROR(__xludf.DUMMYFUNCTION("""COMPUTED_VALUE"""),"Celtic Bracer")</f>
        <v>Celtic Bracer</v>
      </c>
      <c r="B604" s="241"/>
      <c r="C604" s="241" t="str">
        <f>IFERROR(__xludf.DUMMYFUNCTION("""COMPUTED_VALUE"""),"Celtic Bracer")</f>
        <v>Celtic Bracer</v>
      </c>
      <c r="D604" s="241"/>
      <c r="E604" s="241" t="str">
        <f>IFERROR(__xludf.DUMMYFUNCTION("""COMPUTED_VALUE"""),"Punhos de Adamantium")</f>
        <v>Punhos de Adamantium</v>
      </c>
      <c r="F604" s="241"/>
      <c r="G604" s="241" t="str">
        <f>IFERROR(__xludf.DUMMYFUNCTION("""COMPUTED_VALUE"""),"Punhos de Adamantium")</f>
        <v>Punhos de Adamantium</v>
      </c>
      <c r="H604" s="241"/>
      <c r="I604" s="241" t="str">
        <f>IFERROR(__xludf.DUMMYFUNCTION("""COMPUTED_VALUE"""),"Celtic Bracer")</f>
        <v>Celtic Bracer</v>
      </c>
      <c r="J604" s="241"/>
      <c r="K604" s="241"/>
      <c r="L604" s="242"/>
      <c r="M604" s="241" t="str">
        <f>IFERROR(__xludf.DUMMYFUNCTION("""COMPUTED_VALUE"""),"Anda-em-planos")</f>
        <v>Anda-em-planos</v>
      </c>
      <c r="N604" s="241"/>
      <c r="O604" s="241" t="str">
        <f>IFERROR(__xludf.DUMMYFUNCTION("""COMPUTED_VALUE"""),"Anda-em-planos")</f>
        <v>Anda-em-planos</v>
      </c>
      <c r="P604" s="241"/>
      <c r="Q604" s="241" t="str">
        <f>IFERROR(__xludf.DUMMYFUNCTION("""COMPUTED_VALUE"""),"Grevas Dracônicas")</f>
        <v>Grevas Dracônicas</v>
      </c>
      <c r="R604" s="241"/>
      <c r="S604" s="241" t="str">
        <f>IFERROR(__xludf.DUMMYFUNCTION("""COMPUTED_VALUE"""),"Grevas Dracônicas")</f>
        <v>Grevas Dracônicas</v>
      </c>
      <c r="T604" s="241"/>
      <c r="U604" s="241" t="str">
        <f>IFERROR(__xludf.DUMMYFUNCTION("""COMPUTED_VALUE"""),"Anda-em-planos")</f>
        <v>Anda-em-planos</v>
      </c>
      <c r="V604" s="241"/>
      <c r="W604" s="241"/>
      <c r="X604" s="242"/>
      <c r="Y604" s="241" t="str">
        <f>IFERROR(__xludf.DUMMYFUNCTION("""COMPUTED_VALUE"""),"Anel de reza")</f>
        <v>Anel de reza</v>
      </c>
      <c r="Z604" s="241"/>
      <c r="AA604" s="241" t="str">
        <f>IFERROR(__xludf.DUMMYFUNCTION("""COMPUTED_VALUE"""),"Anel de reza")</f>
        <v>Anel de reza</v>
      </c>
      <c r="AB604" s="241"/>
      <c r="AC604" s="241" t="str">
        <f>IFERROR(__xludf.DUMMYFUNCTION("""COMPUTED_VALUE"""),"Crânio de Dragão")</f>
        <v>Crânio de Dragão</v>
      </c>
      <c r="AD604" s="241"/>
      <c r="AE604" s="241" t="str">
        <f>IFERROR(__xludf.DUMMYFUNCTION("""COMPUTED_VALUE"""),"Crânio de Dragão")</f>
        <v>Crânio de Dragão</v>
      </c>
      <c r="AF604" s="241"/>
      <c r="AG604" s="241" t="str">
        <f>IFERROR(__xludf.DUMMYFUNCTION("""COMPUTED_VALUE"""),"Anel de reza")</f>
        <v>Anel de reza</v>
      </c>
      <c r="AH604" s="241"/>
      <c r="AI604" s="241"/>
      <c r="AJ604" s="242"/>
    </row>
    <row r="605" hidden="1">
      <c r="A605" s="241" t="str">
        <f>IFERROR(__xludf.DUMMYFUNCTION("""COMPUTED_VALUE"""),"Garra da morte")</f>
        <v>Garra da morte</v>
      </c>
      <c r="B605" s="241"/>
      <c r="C605" s="241" t="str">
        <f>IFERROR(__xludf.DUMMYFUNCTION("""COMPUTED_VALUE"""),"Garra da morte")</f>
        <v>Garra da morte</v>
      </c>
      <c r="D605" s="241"/>
      <c r="E605" s="241" t="str">
        <f>IFERROR(__xludf.DUMMYFUNCTION("""COMPUTED_VALUE"""),"Manoplas do Berserker")</f>
        <v>Manoplas do Berserker</v>
      </c>
      <c r="F605" s="241"/>
      <c r="G605" s="241" t="str">
        <f>IFERROR(__xludf.DUMMYFUNCTION("""COMPUTED_VALUE"""),"Manoplas do Berserker")</f>
        <v>Manoplas do Berserker</v>
      </c>
      <c r="H605" s="241"/>
      <c r="I605" s="241" t="str">
        <f>IFERROR(__xludf.DUMMYFUNCTION("""COMPUTED_VALUE"""),"Garra da morte")</f>
        <v>Garra da morte</v>
      </c>
      <c r="J605" s="241"/>
      <c r="K605" s="241"/>
      <c r="L605" s="242"/>
      <c r="M605" s="241" t="str">
        <f>IFERROR(__xludf.DUMMYFUNCTION("""COMPUTED_VALUE"""),"Botas dracônicas")</f>
        <v>Botas dracônicas</v>
      </c>
      <c r="N605" s="241"/>
      <c r="O605" s="241" t="str">
        <f>IFERROR(__xludf.DUMMYFUNCTION("""COMPUTED_VALUE"""),"Botas dracônicas")</f>
        <v>Botas dracônicas</v>
      </c>
      <c r="P605" s="241"/>
      <c r="Q605" s="241" t="str">
        <f>IFERROR(__xludf.DUMMYFUNCTION("""COMPUTED_VALUE"""),"Os Aflitos da Guerra de Kratos")</f>
        <v>Os Aflitos da Guerra de Kratos</v>
      </c>
      <c r="R605" s="241"/>
      <c r="S605" s="241" t="str">
        <f>IFERROR(__xludf.DUMMYFUNCTION("""COMPUTED_VALUE"""),"Os Aflitos da Guerra de Kratos")</f>
        <v>Os Aflitos da Guerra de Kratos</v>
      </c>
      <c r="T605" s="241"/>
      <c r="U605" s="241" t="str">
        <f>IFERROR(__xludf.DUMMYFUNCTION("""COMPUTED_VALUE"""),"Botas dracônicas")</f>
        <v>Botas dracônicas</v>
      </c>
      <c r="V605" s="241"/>
      <c r="W605" s="241"/>
      <c r="X605" s="242"/>
      <c r="Y605" s="241" t="str">
        <f>IFERROR(__xludf.DUMMYFUNCTION("""COMPUTED_VALUE"""),"Marca Divina")</f>
        <v>Marca Divina</v>
      </c>
      <c r="Z605" s="241"/>
      <c r="AA605" s="241" t="str">
        <f>IFERROR(__xludf.DUMMYFUNCTION("""COMPUTED_VALUE"""),"Marca Divina")</f>
        <v>Marca Divina</v>
      </c>
      <c r="AB605" s="241"/>
      <c r="AC605" s="241" t="str">
        <f>IFERROR(__xludf.DUMMYFUNCTION("""COMPUTED_VALUE"""),"Escudo gigante")</f>
        <v>Escudo gigante</v>
      </c>
      <c r="AD605" s="241"/>
      <c r="AE605" s="241" t="str">
        <f>IFERROR(__xludf.DUMMYFUNCTION("""COMPUTED_VALUE"""),"Escudo gigante")</f>
        <v>Escudo gigante</v>
      </c>
      <c r="AF605" s="241"/>
      <c r="AG605" s="241" t="str">
        <f>IFERROR(__xludf.DUMMYFUNCTION("""COMPUTED_VALUE"""),"Marca Divina")</f>
        <v>Marca Divina</v>
      </c>
      <c r="AH605" s="241"/>
      <c r="AI605" s="241"/>
      <c r="AJ605" s="242"/>
    </row>
    <row r="606" hidden="1">
      <c r="A606" s="241" t="str">
        <f>IFERROR(__xludf.DUMMYFUNCTION("""COMPUTED_VALUE"""),"Luvas de MIdas")</f>
        <v>Luvas de MIdas</v>
      </c>
      <c r="B606" s="241"/>
      <c r="C606" s="241" t="str">
        <f>IFERROR(__xludf.DUMMYFUNCTION("""COMPUTED_VALUE"""),"Luvas de MIdas")</f>
        <v>Luvas de MIdas</v>
      </c>
      <c r="D606" s="241"/>
      <c r="E606" s="241" t="str">
        <f>IFERROR(__xludf.DUMMYFUNCTION("""COMPUTED_VALUE"""),"Luvas Cibernéticas")</f>
        <v>Luvas Cibernéticas</v>
      </c>
      <c r="F606" s="241"/>
      <c r="G606" s="241" t="str">
        <f>IFERROR(__xludf.DUMMYFUNCTION("""COMPUTED_VALUE"""),"Luvas Cibernéticas")</f>
        <v>Luvas Cibernéticas</v>
      </c>
      <c r="H606" s="241"/>
      <c r="I606" s="241" t="str">
        <f>IFERROR(__xludf.DUMMYFUNCTION("""COMPUTED_VALUE"""),"Luvas de MIdas")</f>
        <v>Luvas de MIdas</v>
      </c>
      <c r="J606" s="241"/>
      <c r="K606" s="241"/>
      <c r="L606" s="242"/>
      <c r="M606" s="241" t="str">
        <f>IFERROR(__xludf.DUMMYFUNCTION("""COMPUTED_VALUE"""),"Sapatos do fogo-gelo")</f>
        <v>Sapatos do fogo-gelo</v>
      </c>
      <c r="N606" s="241"/>
      <c r="O606" s="241" t="str">
        <f>IFERROR(__xludf.DUMMYFUNCTION("""COMPUTED_VALUE"""),"Sapatos do fogo-gelo")</f>
        <v>Sapatos do fogo-gelo</v>
      </c>
      <c r="P606" s="241"/>
      <c r="Q606" s="241" t="str">
        <f>IFERROR(__xludf.DUMMYFUNCTION("""COMPUTED_VALUE"""),"Grevas de obsidiana")</f>
        <v>Grevas de obsidiana</v>
      </c>
      <c r="R606" s="241"/>
      <c r="S606" s="241" t="str">
        <f>IFERROR(__xludf.DUMMYFUNCTION("""COMPUTED_VALUE"""),"Grevas de obsidiana")</f>
        <v>Grevas de obsidiana</v>
      </c>
      <c r="T606" s="241"/>
      <c r="U606" s="241" t="str">
        <f>IFERROR(__xludf.DUMMYFUNCTION("""COMPUTED_VALUE"""),"Sapatos do fogo-gelo")</f>
        <v>Sapatos do fogo-gelo</v>
      </c>
      <c r="V606" s="241"/>
      <c r="W606" s="241"/>
      <c r="X606" s="242"/>
      <c r="Y606" s="241" t="str">
        <f>IFERROR(__xludf.DUMMYFUNCTION("""COMPUTED_VALUE"""),"Anel real")</f>
        <v>Anel real</v>
      </c>
      <c r="Z606" s="241"/>
      <c r="AA606" s="241" t="str">
        <f>IFERROR(__xludf.DUMMYFUNCTION("""COMPUTED_VALUE"""),"Anel real")</f>
        <v>Anel real</v>
      </c>
      <c r="AB606" s="241"/>
      <c r="AC606" s="241" t="str">
        <f>IFERROR(__xludf.DUMMYFUNCTION("""COMPUTED_VALUE"""),"Escudo do Aventureiro")</f>
        <v>Escudo do Aventureiro</v>
      </c>
      <c r="AD606" s="241"/>
      <c r="AE606" s="241" t="str">
        <f>IFERROR(__xludf.DUMMYFUNCTION("""COMPUTED_VALUE"""),"Escudo do Aventureiro")</f>
        <v>Escudo do Aventureiro</v>
      </c>
      <c r="AF606" s="241"/>
      <c r="AG606" s="241" t="str">
        <f>IFERROR(__xludf.DUMMYFUNCTION("""COMPUTED_VALUE"""),"Anel real")</f>
        <v>Anel real</v>
      </c>
      <c r="AH606" s="241"/>
      <c r="AI606" s="241"/>
      <c r="AJ606" s="242"/>
    </row>
    <row r="607" hidden="1">
      <c r="A607" s="241" t="str">
        <f>IFERROR(__xludf.DUMMYFUNCTION("""COMPUTED_VALUE"""),"Luva de fogo gelo")</f>
        <v>Luva de fogo gelo</v>
      </c>
      <c r="B607" s="241"/>
      <c r="C607" s="241" t="str">
        <f>IFERROR(__xludf.DUMMYFUNCTION("""COMPUTED_VALUE"""),"Luva de fogo gelo")</f>
        <v>Luva de fogo gelo</v>
      </c>
      <c r="D607" s="241"/>
      <c r="E607" s="241" t="str">
        <f>IFERROR(__xludf.DUMMYFUNCTION("""COMPUTED_VALUE"""),"Esmagadores Vulcânicos")</f>
        <v>Esmagadores Vulcânicos</v>
      </c>
      <c r="F607" s="241"/>
      <c r="G607" s="241" t="str">
        <f>IFERROR(__xludf.DUMMYFUNCTION("""COMPUTED_VALUE"""),"Esmagadores Vulcânicos")</f>
        <v>Esmagadores Vulcânicos</v>
      </c>
      <c r="H607" s="241"/>
      <c r="I607" s="241" t="str">
        <f>IFERROR(__xludf.DUMMYFUNCTION("""COMPUTED_VALUE"""),"Luva de fogo gelo")</f>
        <v>Luva de fogo gelo</v>
      </c>
      <c r="J607" s="241"/>
      <c r="K607" s="241"/>
      <c r="L607" s="242"/>
      <c r="M607" s="241" t="str">
        <f>IFERROR(__xludf.DUMMYFUNCTION("""COMPUTED_VALUE"""),"Marcha ardente")</f>
        <v>Marcha ardente</v>
      </c>
      <c r="N607" s="241"/>
      <c r="O607" s="241" t="str">
        <f>IFERROR(__xludf.DUMMYFUNCTION("""COMPUTED_VALUE"""),"Marcha ardente")</f>
        <v>Marcha ardente</v>
      </c>
      <c r="P607" s="241"/>
      <c r="Q607" s="241" t="str">
        <f>IFERROR(__xludf.DUMMYFUNCTION("""COMPUTED_VALUE"""),"Pés do titã")</f>
        <v>Pés do titã</v>
      </c>
      <c r="R607" s="241"/>
      <c r="S607" s="241" t="str">
        <f>IFERROR(__xludf.DUMMYFUNCTION("""COMPUTED_VALUE"""),"Pés do titã")</f>
        <v>Pés do titã</v>
      </c>
      <c r="T607" s="241"/>
      <c r="U607" s="241" t="str">
        <f>IFERROR(__xludf.DUMMYFUNCTION("""COMPUTED_VALUE"""),"Marcha ardente")</f>
        <v>Marcha ardente</v>
      </c>
      <c r="V607" s="241"/>
      <c r="W607" s="241"/>
      <c r="X607" s="242"/>
      <c r="Y607" s="241" t="str">
        <f>IFERROR(__xludf.DUMMYFUNCTION("""COMPUTED_VALUE"""),"Oráculo")</f>
        <v>Oráculo</v>
      </c>
      <c r="Z607" s="241"/>
      <c r="AA607" s="241" t="str">
        <f>IFERROR(__xludf.DUMMYFUNCTION("""COMPUTED_VALUE"""),"Oráculo")</f>
        <v>Oráculo</v>
      </c>
      <c r="AB607" s="241"/>
      <c r="AC607" s="241" t="str">
        <f>IFERROR(__xludf.DUMMYFUNCTION("""COMPUTED_VALUE"""),"Shark Bite")</f>
        <v>Shark Bite</v>
      </c>
      <c r="AD607" s="241"/>
      <c r="AE607" s="241" t="str">
        <f>IFERROR(__xludf.DUMMYFUNCTION("""COMPUTED_VALUE"""),"Shark Bite")</f>
        <v>Shark Bite</v>
      </c>
      <c r="AF607" s="241"/>
      <c r="AG607" s="241" t="str">
        <f>IFERROR(__xludf.DUMMYFUNCTION("""COMPUTED_VALUE"""),"Oráculo")</f>
        <v>Oráculo</v>
      </c>
      <c r="AH607" s="241"/>
      <c r="AI607" s="241"/>
      <c r="AJ607" s="242"/>
    </row>
    <row r="608" hidden="1">
      <c r="A608" s="241" t="str">
        <f>IFERROR(__xludf.DUMMYFUNCTION("""COMPUTED_VALUE"""),"Starry Gloves")</f>
        <v>Starry Gloves</v>
      </c>
      <c r="B608" s="241"/>
      <c r="C608" s="241" t="str">
        <f>IFERROR(__xludf.DUMMYFUNCTION("""COMPUTED_VALUE"""),"Starry Gloves")</f>
        <v>Starry Gloves</v>
      </c>
      <c r="D608" s="241"/>
      <c r="E608" s="241" t="str">
        <f>IFERROR(__xludf.DUMMYFUNCTION("""COMPUTED_VALUE"""),"Gauntlet do Chieftain")</f>
        <v>Gauntlet do Chieftain</v>
      </c>
      <c r="F608" s="241"/>
      <c r="G608" s="241" t="str">
        <f>IFERROR(__xludf.DUMMYFUNCTION("""COMPUTED_VALUE"""),"Gauntlet do Chieftain")</f>
        <v>Gauntlet do Chieftain</v>
      </c>
      <c r="H608" s="241"/>
      <c r="I608" s="241" t="str">
        <f>IFERROR(__xludf.DUMMYFUNCTION("""COMPUTED_VALUE"""),"Starry Gloves")</f>
        <v>Starry Gloves</v>
      </c>
      <c r="J608" s="241"/>
      <c r="K608" s="241"/>
      <c r="L608" s="242"/>
      <c r="M608" s="241" t="str">
        <f>IFERROR(__xludf.DUMMYFUNCTION("""COMPUTED_VALUE"""),"Ice Walkers")</f>
        <v>Ice Walkers</v>
      </c>
      <c r="N608" s="241"/>
      <c r="O608" s="241" t="str">
        <f>IFERROR(__xludf.DUMMYFUNCTION("""COMPUTED_VALUE"""),"Ice Walkers")</f>
        <v>Ice Walkers</v>
      </c>
      <c r="P608" s="241"/>
      <c r="Q608" s="241" t="str">
        <f>IFERROR(__xludf.DUMMYFUNCTION("""COMPUTED_VALUE"""),"Botas selvagens")</f>
        <v>Botas selvagens</v>
      </c>
      <c r="R608" s="241"/>
      <c r="S608" s="241" t="str">
        <f>IFERROR(__xludf.DUMMYFUNCTION("""COMPUTED_VALUE"""),"Botas selvagens")</f>
        <v>Botas selvagens</v>
      </c>
      <c r="T608" s="241"/>
      <c r="U608" s="241" t="str">
        <f>IFERROR(__xludf.DUMMYFUNCTION("""COMPUTED_VALUE"""),"Ice Walkers")</f>
        <v>Ice Walkers</v>
      </c>
      <c r="V608" s="241"/>
      <c r="W608" s="241"/>
      <c r="X608" s="242"/>
      <c r="Y608" s="241" t="str">
        <f>IFERROR(__xludf.DUMMYFUNCTION("""COMPUTED_VALUE"""),"Anel Místico")</f>
        <v>Anel Místico</v>
      </c>
      <c r="Z608" s="241"/>
      <c r="AA608" s="241" t="str">
        <f>IFERROR(__xludf.DUMMYFUNCTION("""COMPUTED_VALUE"""),"Anel Místico")</f>
        <v>Anel Místico</v>
      </c>
      <c r="AB608" s="241"/>
      <c r="AC608" s="241" t="str">
        <f>IFERROR(__xludf.DUMMYFUNCTION("""COMPUTED_VALUE"""),"Buckler de Atena")</f>
        <v>Buckler de Atena</v>
      </c>
      <c r="AD608" s="241"/>
      <c r="AE608" s="241" t="str">
        <f>IFERROR(__xludf.DUMMYFUNCTION("""COMPUTED_VALUE"""),"Buckler de Atena")</f>
        <v>Buckler de Atena</v>
      </c>
      <c r="AF608" s="241"/>
      <c r="AG608" s="241" t="str">
        <f>IFERROR(__xludf.DUMMYFUNCTION("""COMPUTED_VALUE"""),"Anel Místico")</f>
        <v>Anel Místico</v>
      </c>
      <c r="AH608" s="241"/>
      <c r="AI608" s="241"/>
      <c r="AJ608" s="242"/>
    </row>
    <row r="609" hidden="1">
      <c r="A609" s="241" t="str">
        <f>IFERROR(__xludf.DUMMYFUNCTION("""COMPUTED_VALUE"""),"Luvas do Arcanjo")</f>
        <v>Luvas do Arcanjo</v>
      </c>
      <c r="B609" s="241"/>
      <c r="C609" s="241" t="str">
        <f>IFERROR(__xludf.DUMMYFUNCTION("""COMPUTED_VALUE"""),"Luvas do Arcanjo")</f>
        <v>Luvas do Arcanjo</v>
      </c>
      <c r="D609" s="241"/>
      <c r="E609" s="241" t="str">
        <f>IFERROR(__xludf.DUMMYFUNCTION("""COMPUTED_VALUE"""),"Runic Gauntlets")</f>
        <v>Runic Gauntlets</v>
      </c>
      <c r="F609" s="241"/>
      <c r="G609" s="241" t="str">
        <f>IFERROR(__xludf.DUMMYFUNCTION("""COMPUTED_VALUE"""),"Runic Gauntlets")</f>
        <v>Runic Gauntlets</v>
      </c>
      <c r="H609" s="241"/>
      <c r="I609" s="241" t="str">
        <f>IFERROR(__xludf.DUMMYFUNCTION("""COMPUTED_VALUE"""),"Luvas do Arcanjo")</f>
        <v>Luvas do Arcanjo</v>
      </c>
      <c r="J609" s="241"/>
      <c r="K609" s="241"/>
      <c r="L609" s="242"/>
      <c r="M609" s="241" t="str">
        <f>IFERROR(__xludf.DUMMYFUNCTION("""COMPUTED_VALUE"""),"Swimming Fins")</f>
        <v>Swimming Fins</v>
      </c>
      <c r="N609" s="241"/>
      <c r="O609" s="241" t="str">
        <f>IFERROR(__xludf.DUMMYFUNCTION("""COMPUTED_VALUE"""),"Swimming Fins")</f>
        <v>Swimming Fins</v>
      </c>
      <c r="P609" s="241"/>
      <c r="Q609" s="241" t="str">
        <f>IFERROR(__xludf.DUMMYFUNCTION("""COMPUTED_VALUE"""),"Starfrost Skates")</f>
        <v>Starfrost Skates</v>
      </c>
      <c r="R609" s="241"/>
      <c r="S609" s="241" t="str">
        <f>IFERROR(__xludf.DUMMYFUNCTION("""COMPUTED_VALUE"""),"Starfrost Skates")</f>
        <v>Starfrost Skates</v>
      </c>
      <c r="T609" s="241"/>
      <c r="U609" s="241" t="str">
        <f>IFERROR(__xludf.DUMMYFUNCTION("""COMPUTED_VALUE"""),"Swimming Fins")</f>
        <v>Swimming Fins</v>
      </c>
      <c r="V609" s="241"/>
      <c r="W609" s="241"/>
      <c r="X609" s="242"/>
      <c r="Y609" s="241" t="str">
        <f>IFERROR(__xludf.DUMMYFUNCTION("""COMPUTED_VALUE"""),"Anel Grotesco")</f>
        <v>Anel Grotesco</v>
      </c>
      <c r="Z609" s="241"/>
      <c r="AA609" s="241" t="str">
        <f>IFERROR(__xludf.DUMMYFUNCTION("""COMPUTED_VALUE"""),"Anel Grotesco")</f>
        <v>Anel Grotesco</v>
      </c>
      <c r="AB609" s="241"/>
      <c r="AC609" s="241" t="str">
        <f>IFERROR(__xludf.DUMMYFUNCTION("""COMPUTED_VALUE"""),"Broquel da Medusa")</f>
        <v>Broquel da Medusa</v>
      </c>
      <c r="AD609" s="241"/>
      <c r="AE609" s="241" t="str">
        <f>IFERROR(__xludf.DUMMYFUNCTION("""COMPUTED_VALUE"""),"Broquel da Medusa")</f>
        <v>Broquel da Medusa</v>
      </c>
      <c r="AF609" s="241"/>
      <c r="AG609" s="241" t="str">
        <f>IFERROR(__xludf.DUMMYFUNCTION("""COMPUTED_VALUE"""),"Anel Grotesco")</f>
        <v>Anel Grotesco</v>
      </c>
      <c r="AH609" s="241"/>
      <c r="AI609" s="241"/>
      <c r="AJ609" s="242"/>
    </row>
    <row r="610" hidden="1">
      <c r="A610" s="241" t="str">
        <f>IFERROR(__xludf.DUMMYFUNCTION("""COMPUTED_VALUE"""),"Luvas do subterrâneo")</f>
        <v>Luvas do subterrâneo</v>
      </c>
      <c r="B610" s="241"/>
      <c r="C610" s="241" t="str">
        <f>IFERROR(__xludf.DUMMYFUNCTION("""COMPUTED_VALUE"""),"Luvas do subterrâneo")</f>
        <v>Luvas do subterrâneo</v>
      </c>
      <c r="D610" s="241"/>
      <c r="E610" s="241" t="str">
        <f>IFERROR(__xludf.DUMMYFUNCTION("""COMPUTED_VALUE"""),"Punhos de Zeus")</f>
        <v>Punhos de Zeus</v>
      </c>
      <c r="F610" s="241"/>
      <c r="G610" s="241" t="str">
        <f>IFERROR(__xludf.DUMMYFUNCTION("""COMPUTED_VALUE"""),"Punhos de Zeus")</f>
        <v>Punhos de Zeus</v>
      </c>
      <c r="H610" s="241"/>
      <c r="I610" s="241" t="str">
        <f>IFERROR(__xludf.DUMMYFUNCTION("""COMPUTED_VALUE"""),"Luvas do subterrâneo")</f>
        <v>Luvas do subterrâneo</v>
      </c>
      <c r="J610" s="241"/>
      <c r="K610" s="241"/>
      <c r="L610" s="242"/>
      <c r="M610" s="241" t="str">
        <f>IFERROR(__xludf.DUMMYFUNCTION("""COMPUTED_VALUE"""),"Rodas Celestiais de Fogo")</f>
        <v>Rodas Celestiais de Fogo</v>
      </c>
      <c r="N610" s="241"/>
      <c r="O610" s="241" t="str">
        <f>IFERROR(__xludf.DUMMYFUNCTION("""COMPUTED_VALUE"""),"Rodas Celestiais de Fogo")</f>
        <v>Rodas Celestiais de Fogo</v>
      </c>
      <c r="P610" s="241"/>
      <c r="Q610" s="241" t="str">
        <f>IFERROR(__xludf.DUMMYFUNCTION("""COMPUTED_VALUE"""),"Proto-skate")</f>
        <v>Proto-skate</v>
      </c>
      <c r="R610" s="241"/>
      <c r="S610" s="241" t="str">
        <f>IFERROR(__xludf.DUMMYFUNCTION("""COMPUTED_VALUE"""),"Proto-skate")</f>
        <v>Proto-skate</v>
      </c>
      <c r="T610" s="241"/>
      <c r="U610" s="241" t="str">
        <f>IFERROR(__xludf.DUMMYFUNCTION("""COMPUTED_VALUE"""),"Rodas Celestiais de Fogo")</f>
        <v>Rodas Celestiais de Fogo</v>
      </c>
      <c r="V610" s="241"/>
      <c r="W610" s="241"/>
      <c r="X610" s="242"/>
      <c r="Y610" s="241" t="str">
        <f>IFERROR(__xludf.DUMMYFUNCTION("""COMPUTED_VALUE"""),"Anel Azulado")</f>
        <v>Anel Azulado</v>
      </c>
      <c r="Z610" s="241"/>
      <c r="AA610" s="241" t="str">
        <f>IFERROR(__xludf.DUMMYFUNCTION("""COMPUTED_VALUE"""),"Anel Azulado")</f>
        <v>Anel Azulado</v>
      </c>
      <c r="AB610" s="241"/>
      <c r="AC610" s="241" t="str">
        <f>IFERROR(__xludf.DUMMYFUNCTION("""COMPUTED_VALUE"""),"Escudo do oráculo")</f>
        <v>Escudo do oráculo</v>
      </c>
      <c r="AD610" s="241"/>
      <c r="AE610" s="241" t="str">
        <f>IFERROR(__xludf.DUMMYFUNCTION("""COMPUTED_VALUE"""),"Escudo do oráculo")</f>
        <v>Escudo do oráculo</v>
      </c>
      <c r="AF610" s="241"/>
      <c r="AG610" s="241" t="str">
        <f>IFERROR(__xludf.DUMMYFUNCTION("""COMPUTED_VALUE"""),"Anel Azulado")</f>
        <v>Anel Azulado</v>
      </c>
      <c r="AH610" s="241"/>
      <c r="AI610" s="241"/>
      <c r="AJ610" s="242"/>
    </row>
    <row r="611" hidden="1">
      <c r="A611" s="241" t="str">
        <f>IFERROR(__xludf.DUMMYFUNCTION("""COMPUTED_VALUE"""),"Mummy Hands")</f>
        <v>Mummy Hands</v>
      </c>
      <c r="B611" s="241"/>
      <c r="C611" s="241" t="str">
        <f>IFERROR(__xludf.DUMMYFUNCTION("""COMPUTED_VALUE"""),"Mummy Hands")</f>
        <v>Mummy Hands</v>
      </c>
      <c r="D611" s="241"/>
      <c r="E611" s="241"/>
      <c r="F611" s="241"/>
      <c r="G611" s="241"/>
      <c r="H611" s="241"/>
      <c r="I611" s="241" t="str">
        <f>IFERROR(__xludf.DUMMYFUNCTION("""COMPUTED_VALUE"""),"Mummy Hands")</f>
        <v>Mummy Hands</v>
      </c>
      <c r="J611" s="241"/>
      <c r="K611" s="241"/>
      <c r="L611" s="242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2"/>
      <c r="Y611" s="241" t="str">
        <f>IFERROR(__xludf.DUMMYFUNCTION("""COMPUTED_VALUE"""),"Anel de casamento")</f>
        <v>Anel de casamento</v>
      </c>
      <c r="Z611" s="241"/>
      <c r="AA611" s="241" t="str">
        <f>IFERROR(__xludf.DUMMYFUNCTION("""COMPUTED_VALUE"""),"Anel de casamento")</f>
        <v>Anel de casamento</v>
      </c>
      <c r="AB611" s="241"/>
      <c r="AC611" s="241" t="str">
        <f>IFERROR(__xludf.DUMMYFUNCTION("""COMPUTED_VALUE"""),"Mãe Natureza")</f>
        <v>Mãe Natureza</v>
      </c>
      <c r="AD611" s="241"/>
      <c r="AE611" s="241" t="str">
        <f>IFERROR(__xludf.DUMMYFUNCTION("""COMPUTED_VALUE"""),"Mãe Natureza")</f>
        <v>Mãe Natureza</v>
      </c>
      <c r="AF611" s="241"/>
      <c r="AG611" s="241" t="str">
        <f>IFERROR(__xludf.DUMMYFUNCTION("""COMPUTED_VALUE"""),"Anel de casamento")</f>
        <v>Anel de casamento</v>
      </c>
      <c r="AH611" s="241"/>
      <c r="AI611" s="241"/>
      <c r="AJ611" s="242"/>
    </row>
    <row r="612" hidden="1">
      <c r="A612" s="241" t="str">
        <f>IFERROR(__xludf.DUMMYFUNCTION("""COMPUTED_VALUE"""),"Toque de Fluffle")</f>
        <v>Toque de Fluffle</v>
      </c>
      <c r="B612" s="241"/>
      <c r="C612" s="241" t="str">
        <f>IFERROR(__xludf.DUMMYFUNCTION("""COMPUTED_VALUE"""),"Toque de Fluffle")</f>
        <v>Toque de Fluffle</v>
      </c>
      <c r="D612" s="241"/>
      <c r="E612" s="241"/>
      <c r="F612" s="241"/>
      <c r="G612" s="241"/>
      <c r="H612" s="241"/>
      <c r="I612" s="241" t="str">
        <f>IFERROR(__xludf.DUMMYFUNCTION("""COMPUTED_VALUE"""),"Toque de Fluffle")</f>
        <v>Toque de Fluffle</v>
      </c>
      <c r="J612" s="241"/>
      <c r="K612" s="241"/>
      <c r="L612" s="242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2"/>
      <c r="Y612" s="241" t="str">
        <f>IFERROR(__xludf.DUMMYFUNCTION("""COMPUTED_VALUE"""),"Círculo de antimagia")</f>
        <v>Círculo de antimagia</v>
      </c>
      <c r="Z612" s="241"/>
      <c r="AA612" s="241" t="str">
        <f>IFERROR(__xludf.DUMMYFUNCTION("""COMPUTED_VALUE"""),"Círculo de antimagia")</f>
        <v>Círculo de antimagia</v>
      </c>
      <c r="AB612" s="241"/>
      <c r="AC612" s="241" t="str">
        <f>IFERROR(__xludf.DUMMYFUNCTION("""COMPUTED_VALUE"""),"Escudo Meia Lua")</f>
        <v>Escudo Meia Lua</v>
      </c>
      <c r="AD612" s="241"/>
      <c r="AE612" s="241" t="str">
        <f>IFERROR(__xludf.DUMMYFUNCTION("""COMPUTED_VALUE"""),"Escudo Meia Lua")</f>
        <v>Escudo Meia Lua</v>
      </c>
      <c r="AF612" s="241"/>
      <c r="AG612" s="241" t="str">
        <f>IFERROR(__xludf.DUMMYFUNCTION("""COMPUTED_VALUE"""),"Círculo de antimagia")</f>
        <v>Círculo de antimagia</v>
      </c>
      <c r="AH612" s="241"/>
      <c r="AI612" s="241"/>
      <c r="AJ612" s="242"/>
    </row>
    <row r="613" hidden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2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2"/>
      <c r="Y613" s="241" t="str">
        <f>IFERROR(__xludf.DUMMYFUNCTION("""COMPUTED_VALUE"""),"Anel de Midas")</f>
        <v>Anel de Midas</v>
      </c>
      <c r="Z613" s="241"/>
      <c r="AA613" s="241" t="str">
        <f>IFERROR(__xludf.DUMMYFUNCTION("""COMPUTED_VALUE"""),"Anel de Midas")</f>
        <v>Anel de Midas</v>
      </c>
      <c r="AB613" s="241"/>
      <c r="AC613" s="241" t="str">
        <f>IFERROR(__xludf.DUMMYFUNCTION("""COMPUTED_VALUE"""),"Celtic Shield")</f>
        <v>Celtic Shield</v>
      </c>
      <c r="AD613" s="241"/>
      <c r="AE613" s="241" t="str">
        <f>IFERROR(__xludf.DUMMYFUNCTION("""COMPUTED_VALUE"""),"Celtic Shield")</f>
        <v>Celtic Shield</v>
      </c>
      <c r="AF613" s="241"/>
      <c r="AG613" s="241" t="str">
        <f>IFERROR(__xludf.DUMMYFUNCTION("""COMPUTED_VALUE"""),"Anel de Midas")</f>
        <v>Anel de Midas</v>
      </c>
      <c r="AH613" s="241"/>
      <c r="AI613" s="241"/>
      <c r="AJ613" s="242"/>
    </row>
    <row r="614" hidden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2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2"/>
      <c r="Y614" s="241" t="str">
        <f>IFERROR(__xludf.DUMMYFUNCTION("""COMPUTED_VALUE"""),"Anel do Conhecimento")</f>
        <v>Anel do Conhecimento</v>
      </c>
      <c r="Z614" s="241"/>
      <c r="AA614" s="241" t="str">
        <f>IFERROR(__xludf.DUMMYFUNCTION("""COMPUTED_VALUE"""),"Anel do Conhecimento")</f>
        <v>Anel do Conhecimento</v>
      </c>
      <c r="AB614" s="241"/>
      <c r="AC614" s="241" t="str">
        <f>IFERROR(__xludf.DUMMYFUNCTION("""COMPUTED_VALUE"""),"Painel Refrator")</f>
        <v>Painel Refrator</v>
      </c>
      <c r="AD614" s="241"/>
      <c r="AE614" s="241" t="str">
        <f>IFERROR(__xludf.DUMMYFUNCTION("""COMPUTED_VALUE"""),"Painel Refrator")</f>
        <v>Painel Refrator</v>
      </c>
      <c r="AF614" s="241"/>
      <c r="AG614" s="241" t="str">
        <f>IFERROR(__xludf.DUMMYFUNCTION("""COMPUTED_VALUE"""),"Anel do Conhecimento")</f>
        <v>Anel do Conhecimento</v>
      </c>
      <c r="AH614" s="241"/>
      <c r="AI614" s="241"/>
      <c r="AJ614" s="242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2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2"/>
      <c r="Y615" s="241" t="str">
        <f>IFERROR(__xludf.DUMMYFUNCTION("""COMPUTED_VALUE"""),"Feitiço do Vento ")</f>
        <v>Feitiço do Vento </v>
      </c>
      <c r="Z615" s="241"/>
      <c r="AA615" s="241" t="str">
        <f>IFERROR(__xludf.DUMMYFUNCTION("""COMPUTED_VALUE"""),"Flauta de Ferro")</f>
        <v>Flauta de Ferro</v>
      </c>
      <c r="AB615" s="241"/>
      <c r="AC615" s="241" t="str">
        <f>IFERROR(__xludf.DUMMYFUNCTION("""COMPUTED_VALUE"""),"Feitiço do Vento ")</f>
        <v>Feitiço do Vento </v>
      </c>
      <c r="AD615" s="241"/>
      <c r="AE615" s="241"/>
      <c r="AF615" s="241"/>
      <c r="AG615" s="241" t="str">
        <f>IFERROR(__xludf.DUMMYFUNCTION("""COMPUTED_VALUE"""),"Feitiço do Vento ")</f>
        <v>Feitiço do Vento </v>
      </c>
      <c r="AH615" s="241"/>
      <c r="AI615" s="241"/>
      <c r="AJ615" s="242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2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2"/>
      <c r="Y616" s="241" t="str">
        <f>IFERROR(__xludf.DUMMYFUNCTION("""COMPUTED_VALUE"""),"Símbolo do Exorcismo")</f>
        <v>Símbolo do Exorcismo</v>
      </c>
      <c r="Z616" s="241"/>
      <c r="AA616" s="241" t="str">
        <f>IFERROR(__xludf.DUMMYFUNCTION("""COMPUTED_VALUE"""),"Harpa Congelada")</f>
        <v>Harpa Congelada</v>
      </c>
      <c r="AB616" s="241"/>
      <c r="AC616" s="241" t="str">
        <f>IFERROR(__xludf.DUMMYFUNCTION("""COMPUTED_VALUE"""),"Símbolo do Exorcismo")</f>
        <v>Símbolo do Exorcismo</v>
      </c>
      <c r="AD616" s="241"/>
      <c r="AE616" s="241"/>
      <c r="AF616" s="241"/>
      <c r="AG616" s="241" t="str">
        <f>IFERROR(__xludf.DUMMYFUNCTION("""COMPUTED_VALUE"""),"Símbolo do Exorcismo")</f>
        <v>Símbolo do Exorcismo</v>
      </c>
      <c r="AH616" s="241"/>
      <c r="AI616" s="241"/>
      <c r="AJ616" s="242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2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2"/>
      <c r="Y617" s="241" t="str">
        <f>IFERROR(__xludf.DUMMYFUNCTION("""COMPUTED_VALUE"""),"Proteção defensora")</f>
        <v>Proteção defensora</v>
      </c>
      <c r="Z617" s="241"/>
      <c r="AA617" s="241" t="str">
        <f>IFERROR(__xludf.DUMMYFUNCTION("""COMPUTED_VALUE"""),"Flauta Ygg")</f>
        <v>Flauta Ygg</v>
      </c>
      <c r="AB617" s="241"/>
      <c r="AC617" s="241" t="str">
        <f>IFERROR(__xludf.DUMMYFUNCTION("""COMPUTED_VALUE"""),"Proteção defensora")</f>
        <v>Proteção defensora</v>
      </c>
      <c r="AD617" s="241"/>
      <c r="AE617" s="241"/>
      <c r="AF617" s="241"/>
      <c r="AG617" s="241" t="str">
        <f>IFERROR(__xludf.DUMMYFUNCTION("""COMPUTED_VALUE"""),"Proteção defensora")</f>
        <v>Proteção defensora</v>
      </c>
      <c r="AH617" s="241"/>
      <c r="AI617" s="241"/>
      <c r="AJ617" s="242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2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2"/>
      <c r="Y618" s="241" t="str">
        <f>IFERROR(__xludf.DUMMYFUNCTION("""COMPUTED_VALUE"""),"Amuleto Ankh")</f>
        <v>Amuleto Ankh</v>
      </c>
      <c r="Z618" s="241"/>
      <c r="AA618" s="241" t="str">
        <f>IFERROR(__xludf.DUMMYFUNCTION("""COMPUTED_VALUE"""),"Chifre de Serpente ")</f>
        <v>Chifre de Serpente </v>
      </c>
      <c r="AB618" s="241"/>
      <c r="AC618" s="241" t="str">
        <f>IFERROR(__xludf.DUMMYFUNCTION("""COMPUTED_VALUE"""),"Amuleto Ankh")</f>
        <v>Amuleto Ankh</v>
      </c>
      <c r="AD618" s="241"/>
      <c r="AE618" s="241"/>
      <c r="AF618" s="241"/>
      <c r="AG618" s="241" t="str">
        <f>IFERROR(__xludf.DUMMYFUNCTION("""COMPUTED_VALUE"""),"Amuleto Ankh")</f>
        <v>Amuleto Ankh</v>
      </c>
      <c r="AH618" s="241"/>
      <c r="AI618" s="241"/>
      <c r="AJ618" s="242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2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2"/>
      <c r="Y619" s="241" t="str">
        <f>IFERROR(__xludf.DUMMYFUNCTION("""COMPUTED_VALUE"""),"Coração de Lich")</f>
        <v>Coração de Lich</v>
      </c>
      <c r="Z619" s="241"/>
      <c r="AA619" s="241" t="str">
        <f>IFERROR(__xludf.DUMMYFUNCTION("""COMPUTED_VALUE"""),"Gu Zheng")</f>
        <v>Gu Zheng</v>
      </c>
      <c r="AB619" s="241"/>
      <c r="AC619" s="241" t="str">
        <f>IFERROR(__xludf.DUMMYFUNCTION("""COMPUTED_VALUE"""),"Coração de Lich")</f>
        <v>Coração de Lich</v>
      </c>
      <c r="AD619" s="241"/>
      <c r="AE619" s="241"/>
      <c r="AF619" s="241"/>
      <c r="AG619" s="241" t="str">
        <f>IFERROR(__xludf.DUMMYFUNCTION("""COMPUTED_VALUE"""),"Coração de Lich")</f>
        <v>Coração de Lich</v>
      </c>
      <c r="AH619" s="241"/>
      <c r="AI619" s="241"/>
      <c r="AJ619" s="242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2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2"/>
      <c r="Y620" s="241" t="str">
        <f>IFERROR(__xludf.DUMMYFUNCTION("""COMPUTED_VALUE"""),"Amuleto dracônico")</f>
        <v>Amuleto dracônico</v>
      </c>
      <c r="Z620" s="241"/>
      <c r="AA620" s="241" t="str">
        <f>IFERROR(__xludf.DUMMYFUNCTION("""COMPUTED_VALUE"""),"Batimento Dracônico ")</f>
        <v>Batimento Dracônico </v>
      </c>
      <c r="AB620" s="241"/>
      <c r="AC620" s="241" t="str">
        <f>IFERROR(__xludf.DUMMYFUNCTION("""COMPUTED_VALUE"""),"Amuleto dracônico")</f>
        <v>Amuleto dracônico</v>
      </c>
      <c r="AD620" s="241"/>
      <c r="AE620" s="241"/>
      <c r="AF620" s="241"/>
      <c r="AG620" s="241" t="str">
        <f>IFERROR(__xludf.DUMMYFUNCTION("""COMPUTED_VALUE"""),"Amuleto dracônico")</f>
        <v>Amuleto dracônico</v>
      </c>
      <c r="AH620" s="241"/>
      <c r="AI620" s="241"/>
      <c r="AJ620" s="242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2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2"/>
      <c r="Y621" s="241" t="str">
        <f>IFERROR(__xludf.DUMMYFUNCTION("""COMPUTED_VALUE"""),"Lágrima da Deusa")</f>
        <v>Lágrima da Deusa</v>
      </c>
      <c r="Z621" s="241"/>
      <c r="AA621" s="241" t="str">
        <f>IFERROR(__xludf.DUMMYFUNCTION("""COMPUTED_VALUE"""),"Cordas angelicais")</f>
        <v>Cordas angelicais</v>
      </c>
      <c r="AB621" s="241"/>
      <c r="AC621" s="241" t="str">
        <f>IFERROR(__xludf.DUMMYFUNCTION("""COMPUTED_VALUE"""),"Lágrima da Deusa")</f>
        <v>Lágrima da Deusa</v>
      </c>
      <c r="AD621" s="241"/>
      <c r="AE621" s="241"/>
      <c r="AF621" s="241"/>
      <c r="AG621" s="241" t="str">
        <f>IFERROR(__xludf.DUMMYFUNCTION("""COMPUTED_VALUE"""),"Lágrima da Deusa")</f>
        <v>Lágrima da Deusa</v>
      </c>
      <c r="AH621" s="241"/>
      <c r="AI621" s="241"/>
      <c r="AJ621" s="242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2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2"/>
      <c r="Y622" s="241" t="str">
        <f>IFERROR(__xludf.DUMMYFUNCTION("""COMPUTED_VALUE"""),"Coração do Sol")</f>
        <v>Coração do Sol</v>
      </c>
      <c r="Z622" s="241"/>
      <c r="AA622" s="241" t="str">
        <f>IFERROR(__xludf.DUMMYFUNCTION("""COMPUTED_VALUE"""),"Ceremonial Er-hu")</f>
        <v>Ceremonial Er-hu</v>
      </c>
      <c r="AB622" s="241"/>
      <c r="AC622" s="241" t="str">
        <f>IFERROR(__xludf.DUMMYFUNCTION("""COMPUTED_VALUE"""),"Coração do Sol")</f>
        <v>Coração do Sol</v>
      </c>
      <c r="AD622" s="241"/>
      <c r="AE622" s="241"/>
      <c r="AF622" s="241"/>
      <c r="AG622" s="241" t="str">
        <f>IFERROR(__xludf.DUMMYFUNCTION("""COMPUTED_VALUE"""),"Coração do Sol")</f>
        <v>Coração do Sol</v>
      </c>
      <c r="AH622" s="241"/>
      <c r="AI622" s="241"/>
      <c r="AJ622" s="242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2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2"/>
      <c r="Y623" s="241" t="str">
        <f>IFERROR(__xludf.DUMMYFUNCTION("""COMPUTED_VALUE"""),"Herança de Azbandar")</f>
        <v>Herança de Azbandar</v>
      </c>
      <c r="Z623" s="241"/>
      <c r="AA623" s="241" t="str">
        <f>IFERROR(__xludf.DUMMYFUNCTION("""COMPUTED_VALUE"""),"Harpa do Fogo Gelo")</f>
        <v>Harpa do Fogo Gelo</v>
      </c>
      <c r="AB623" s="241"/>
      <c r="AC623" s="241" t="str">
        <f>IFERROR(__xludf.DUMMYFUNCTION("""COMPUTED_VALUE"""),"Herança de Azbandar")</f>
        <v>Herança de Azbandar</v>
      </c>
      <c r="AD623" s="241"/>
      <c r="AE623" s="241"/>
      <c r="AF623" s="241"/>
      <c r="AG623" s="241" t="str">
        <f>IFERROR(__xludf.DUMMYFUNCTION("""COMPUTED_VALUE"""),"Herança de Azbandar")</f>
        <v>Herança de Azbandar</v>
      </c>
      <c r="AH623" s="241"/>
      <c r="AI623" s="241"/>
      <c r="AJ623" s="242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2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2"/>
      <c r="Y624" s="241" t="str">
        <f>IFERROR(__xludf.DUMMYFUNCTION("""COMPUTED_VALUE"""),"Herança de Família")</f>
        <v>Herança de Família</v>
      </c>
      <c r="Z624" s="241"/>
      <c r="AA624" s="241" t="str">
        <f>IFERROR(__xludf.DUMMYFUNCTION("""COMPUTED_VALUE"""),"Flauta de gaia ")</f>
        <v>Flauta de gaia </v>
      </c>
      <c r="AB624" s="241"/>
      <c r="AC624" s="241" t="str">
        <f>IFERROR(__xludf.DUMMYFUNCTION("""COMPUTED_VALUE"""),"Herança de Família")</f>
        <v>Herança de Família</v>
      </c>
      <c r="AD624" s="241"/>
      <c r="AE624" s="241"/>
      <c r="AF624" s="241"/>
      <c r="AG624" s="241" t="str">
        <f>IFERROR(__xludf.DUMMYFUNCTION("""COMPUTED_VALUE"""),"Herança de Família")</f>
        <v>Herança de Família</v>
      </c>
      <c r="AH624" s="241"/>
      <c r="AI624" s="241"/>
      <c r="AJ624" s="242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2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2"/>
      <c r="Y625" s="241" t="str">
        <f>IFERROR(__xludf.DUMMYFUNCTION("""COMPUTED_VALUE"""),"Talismã do fogo-gelo")</f>
        <v>Talismã do fogo-gelo</v>
      </c>
      <c r="Z625" s="241"/>
      <c r="AA625" s="241" t="str">
        <f>IFERROR(__xludf.DUMMYFUNCTION("""COMPUTED_VALUE"""),"Flauta Convocadora")</f>
        <v>Flauta Convocadora</v>
      </c>
      <c r="AB625" s="241"/>
      <c r="AC625" s="241" t="str">
        <f>IFERROR(__xludf.DUMMYFUNCTION("""COMPUTED_VALUE"""),"Talismã do fogo-gelo")</f>
        <v>Talismã do fogo-gelo</v>
      </c>
      <c r="AD625" s="241"/>
      <c r="AE625" s="241"/>
      <c r="AF625" s="241"/>
      <c r="AG625" s="241" t="str">
        <f>IFERROR(__xludf.DUMMYFUNCTION("""COMPUTED_VALUE"""),"Talismã do fogo-gelo")</f>
        <v>Talismã do fogo-gelo</v>
      </c>
      <c r="AH625" s="241"/>
      <c r="AI625" s="241"/>
      <c r="AJ625" s="242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2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2"/>
      <c r="Y626" s="241" t="str">
        <f>IFERROR(__xludf.DUMMYFUNCTION("""COMPUTED_VALUE"""),"Coração de Gaia")</f>
        <v>Coração de Gaia</v>
      </c>
      <c r="Z626" s="241"/>
      <c r="AA626" s="241"/>
      <c r="AB626" s="241"/>
      <c r="AC626" s="241" t="str">
        <f>IFERROR(__xludf.DUMMYFUNCTION("""COMPUTED_VALUE"""),"Coração de Gaia")</f>
        <v>Coração de Gaia</v>
      </c>
      <c r="AD626" s="241"/>
      <c r="AE626" s="241"/>
      <c r="AF626" s="241"/>
      <c r="AG626" s="241" t="str">
        <f>IFERROR(__xludf.DUMMYFUNCTION("""COMPUTED_VALUE"""),"Coração de Gaia")</f>
        <v>Coração de Gaia</v>
      </c>
      <c r="AH626" s="241"/>
      <c r="AI626" s="241"/>
      <c r="AJ626" s="242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2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2"/>
      <c r="Y627" s="241" t="str">
        <f>IFERROR(__xludf.DUMMYFUNCTION("""COMPUTED_VALUE"""),"Amuleto primordial")</f>
        <v>Amuleto primordial</v>
      </c>
      <c r="Z627" s="241"/>
      <c r="AA627" s="241"/>
      <c r="AB627" s="241"/>
      <c r="AC627" s="241" t="str">
        <f>IFERROR(__xludf.DUMMYFUNCTION("""COMPUTED_VALUE"""),"Amuleto primordial")</f>
        <v>Amuleto primordial</v>
      </c>
      <c r="AD627" s="241"/>
      <c r="AE627" s="241"/>
      <c r="AF627" s="241"/>
      <c r="AG627" s="241" t="str">
        <f>IFERROR(__xludf.DUMMYFUNCTION("""COMPUTED_VALUE"""),"Amuleto primordial")</f>
        <v>Amuleto primordial</v>
      </c>
      <c r="AH627" s="241"/>
      <c r="AI627" s="241"/>
      <c r="AJ627" s="242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2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2"/>
      <c r="Y628" s="241" t="str">
        <f>IFERROR(__xludf.DUMMYFUNCTION("""COMPUTED_VALUE"""),"Ominous Charm")</f>
        <v>Ominous Charm</v>
      </c>
      <c r="Z628" s="241"/>
      <c r="AA628" s="241"/>
      <c r="AB628" s="241"/>
      <c r="AC628" s="241" t="str">
        <f>IFERROR(__xludf.DUMMYFUNCTION("""COMPUTED_VALUE"""),"Ominous Charm")</f>
        <v>Ominous Charm</v>
      </c>
      <c r="AD628" s="241"/>
      <c r="AE628" s="241"/>
      <c r="AF628" s="241"/>
      <c r="AG628" s="241" t="str">
        <f>IFERROR(__xludf.DUMMYFUNCTION("""COMPUTED_VALUE"""),"Ominous Charm")</f>
        <v>Ominous Charm</v>
      </c>
      <c r="AH628" s="241"/>
      <c r="AI628" s="241"/>
      <c r="AJ628" s="242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2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2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2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2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2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2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2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2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2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2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2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2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2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2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2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2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2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2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2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2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2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2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2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2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2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2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2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2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2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2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2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2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2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2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2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2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2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2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2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2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2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2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2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2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2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2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2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2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2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2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2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2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2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2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2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2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2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2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2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2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2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2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2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2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2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2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2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2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2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2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2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2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2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2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2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2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2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2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2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2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2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2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2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2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2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2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2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2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2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2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2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2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2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2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2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2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2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2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2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2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2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2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2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2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2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2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2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2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2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2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2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2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2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2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2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2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2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2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2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2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2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2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2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2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2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2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2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2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2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2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2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2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2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2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2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2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2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2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2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2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2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2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2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2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2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2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2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2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2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2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2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2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2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2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2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2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2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2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2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2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2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2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2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2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2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2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2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2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2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2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2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2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2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2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2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2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2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2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2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2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2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2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2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2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2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2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2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2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2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2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2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2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2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2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2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2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2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2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2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2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2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2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2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2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2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2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2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2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2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2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2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2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2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2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2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2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2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2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2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2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2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2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2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2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2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2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2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2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2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2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2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2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2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2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2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2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2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2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2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2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2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2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2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2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2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2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2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2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2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2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2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2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2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2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2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2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2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2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2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2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2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2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2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2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2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2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2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2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2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2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2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2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2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2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2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2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2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2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2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2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2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2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2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2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2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2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2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2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2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2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2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2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2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2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2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2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2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2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2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2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2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2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2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2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2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2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2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2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2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2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2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2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2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2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2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2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2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2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2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2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2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2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2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2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2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2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2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2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2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2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2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2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2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2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2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2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2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2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2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2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2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2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2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2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2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2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2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2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2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2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2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2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2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2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2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2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2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2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2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2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2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2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2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2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2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2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2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2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2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2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2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2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2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2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2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2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2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2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2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2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2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2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2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2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2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2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2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2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2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2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2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2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2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2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2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2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2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2"/>
    </row>
    <row r="763" hidden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2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2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2"/>
    </row>
    <row r="764" hidden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2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2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2"/>
    </row>
    <row r="765" hidden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2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2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2"/>
    </row>
    <row r="766" hidden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2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2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2"/>
    </row>
    <row r="767" hidden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2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2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2"/>
    </row>
    <row r="768" hidden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2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2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2"/>
    </row>
    <row r="769" hidden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2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2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2"/>
    </row>
    <row r="770" hidden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2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2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2"/>
    </row>
    <row r="771" hidden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2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2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2"/>
    </row>
    <row r="772" hidden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2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2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2"/>
    </row>
    <row r="773" hidden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2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2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2"/>
    </row>
    <row r="774" hidden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2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2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2"/>
    </row>
    <row r="775" hidden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2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2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2"/>
    </row>
    <row r="776" hidden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2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2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2"/>
    </row>
    <row r="777" hidden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2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2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2"/>
    </row>
    <row r="778" hidden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2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2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2"/>
    </row>
    <row r="779" hidden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2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2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2"/>
    </row>
    <row r="780" hidden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2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2"/>
    </row>
    <row r="781" hidden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2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2"/>
    </row>
    <row r="782" hidden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2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2"/>
    </row>
    <row r="783" hidden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2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2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2"/>
    </row>
    <row r="784" hidden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2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2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2"/>
    </row>
    <row r="785" hidden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2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2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2"/>
    </row>
    <row r="786" hidden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2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2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2"/>
    </row>
    <row r="787" hidden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2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2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2"/>
    </row>
    <row r="788" hidden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2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2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2"/>
    </row>
    <row r="789" hidden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2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2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2"/>
    </row>
    <row r="790" hidden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2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2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2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2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2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2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2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2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2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2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2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2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2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2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2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2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2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2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2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2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2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2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2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2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2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2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2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2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2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2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2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2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2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2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2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2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2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2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2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2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2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2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2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2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2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2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2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2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2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2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2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2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2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2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2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2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2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2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2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2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2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2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2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2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2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2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2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2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2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2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2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2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2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2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2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2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2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2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2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2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2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2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2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2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2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2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2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2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2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2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2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2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2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2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2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2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2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2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2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2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2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2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2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2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2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2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2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2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2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2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2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2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2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2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2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2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2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2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2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2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2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2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2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2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2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2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2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2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2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2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2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2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2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2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2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2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2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2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2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2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2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2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2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2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2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2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2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2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2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2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2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2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2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2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2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2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2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2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2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2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2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2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2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2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2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2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2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2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2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2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2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2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2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2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2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2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2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2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2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2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2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2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2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2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2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2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2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2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2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2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2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2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2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2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2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2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2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2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2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2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2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2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2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2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2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2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2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2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2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2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2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2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2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2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2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2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2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2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2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2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2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2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2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2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2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2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2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2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2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2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2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2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2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2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2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2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2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2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2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2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2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2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2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2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2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2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2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2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2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2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2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2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2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2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2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2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2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2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2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2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2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2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2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2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2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2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2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2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2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2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2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2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2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2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2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2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2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2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2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2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2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2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2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2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2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2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2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2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2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2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2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2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2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2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2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2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2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2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2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2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2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2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2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2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2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2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2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2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2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2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2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2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2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2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2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2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2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2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2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2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2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2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2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2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2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2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2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2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2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2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2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2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2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2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2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2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2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2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2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2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2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2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2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2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2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2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2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2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2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2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2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2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2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2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2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2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2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2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2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2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2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2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2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2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2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2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2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2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2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2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2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2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2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2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2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2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2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2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2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2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2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2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2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2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2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2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2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2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2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2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2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2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2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2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2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2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2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2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2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2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2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2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2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2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2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2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2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2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2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2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2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2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2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2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2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2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2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2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2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2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2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2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2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2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2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2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2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2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2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2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2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2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2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2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2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2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2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2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2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2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2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2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2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2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2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2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2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2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2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2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2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2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2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2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2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2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2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2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2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2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2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2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2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2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2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2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2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2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2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2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2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2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2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2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2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2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2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2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2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2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2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2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2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2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2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2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2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2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2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2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2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2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2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2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2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2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2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2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2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2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2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2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2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2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2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2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2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2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2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2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2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2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2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2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2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2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2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2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2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2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2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2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2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2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2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2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2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2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2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2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2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2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2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2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2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2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2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2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2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2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2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2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2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2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2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2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2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2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2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2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2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2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2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2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2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2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2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2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2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2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2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2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2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2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2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2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2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2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2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2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2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2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2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2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2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2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2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2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2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2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2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2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2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2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2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2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2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2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2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2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2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2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2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2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2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2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2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2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2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2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2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2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2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2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2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2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2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2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2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2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2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2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2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2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2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2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2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2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2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2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2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2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2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2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2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2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2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2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2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2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2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2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2"/>
    </row>
    <row r="1001" hidden="1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2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2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2"/>
    </row>
    <row r="1002" hidden="1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2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2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2"/>
    </row>
    <row r="1003" hidden="1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2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2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2"/>
    </row>
    <row r="1004" hidden="1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2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2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2"/>
    </row>
    <row r="1005" hidden="1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2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2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2"/>
    </row>
    <row r="1006" hidden="1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2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2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2"/>
    </row>
    <row r="1007" hidden="1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2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2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2"/>
    </row>
    <row r="1008" hidden="1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2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2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2"/>
    </row>
    <row r="1009" hidden="1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2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2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2"/>
    </row>
    <row r="1010" hidden="1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2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2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2"/>
    </row>
    <row r="1011" hidden="1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2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2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2"/>
    </row>
    <row r="1012" hidden="1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2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2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2"/>
    </row>
    <row r="1013" hidden="1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2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2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2"/>
    </row>
    <row r="1014" hidden="1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2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2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2"/>
    </row>
    <row r="1015" hidden="1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2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2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2"/>
    </row>
    <row r="1016" hidden="1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2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2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2"/>
    </row>
    <row r="1017" hidden="1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2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2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2"/>
    </row>
    <row r="1018" hidden="1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2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2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2"/>
    </row>
    <row r="1019" hidden="1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2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2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2"/>
    </row>
    <row r="1020" hidden="1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2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2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2"/>
    </row>
    <row r="1021" hidden="1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2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2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2"/>
    </row>
    <row r="1022" hidden="1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2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2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2"/>
    </row>
    <row r="1023" hidden="1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2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2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2"/>
    </row>
    <row r="1024" hidden="1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2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2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2"/>
    </row>
    <row r="1025" hidden="1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2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2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2"/>
    </row>
    <row r="1026" hidden="1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2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2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2"/>
    </row>
    <row r="1027" hidden="1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2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2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2"/>
    </row>
    <row r="1028" hidden="1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2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2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2"/>
    </row>
    <row r="1029" hidden="1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2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2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2"/>
    </row>
    <row r="1030" hidden="1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2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2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2"/>
    </row>
    <row r="1031" hidden="1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2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2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2"/>
    </row>
    <row r="1032" hidden="1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2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2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2"/>
    </row>
    <row r="1033" hidden="1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2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2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2"/>
    </row>
    <row r="1034" hidden="1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2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2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2"/>
    </row>
    <row r="1035" hidden="1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2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2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2"/>
    </row>
    <row r="1036" hidden="1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2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2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2"/>
    </row>
    <row r="1037" hidden="1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2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2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2"/>
    </row>
    <row r="1038" hidden="1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2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2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2"/>
    </row>
    <row r="1039" hidden="1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2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2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2"/>
    </row>
    <row r="1040" hidden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2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2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2"/>
    </row>
    <row r="1041" hidden="1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2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2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2"/>
    </row>
    <row r="1042" hidden="1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2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2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2"/>
    </row>
    <row r="1043" hidden="1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2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2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2"/>
    </row>
    <row r="1044" hidden="1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2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2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2"/>
    </row>
    <row r="1045" hidden="1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2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2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2"/>
    </row>
    <row r="1046" hidden="1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2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2"/>
      <c r="Y1046" s="241"/>
      <c r="Z1046" s="241"/>
      <c r="AA1046" s="241"/>
      <c r="AB1046" s="241"/>
      <c r="AC1046" s="241"/>
      <c r="AD1046" s="241"/>
      <c r="AE1046" s="241"/>
      <c r="AF1046" s="241"/>
      <c r="AG1046" s="241"/>
      <c r="AH1046" s="241"/>
      <c r="AI1046" s="241"/>
      <c r="AJ1046" s="242"/>
    </row>
    <row r="1047" hidden="1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2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2"/>
      <c r="Y1047" s="241"/>
      <c r="Z1047" s="241"/>
      <c r="AA1047" s="241"/>
      <c r="AB1047" s="241"/>
      <c r="AC1047" s="241"/>
      <c r="AD1047" s="241"/>
      <c r="AE1047" s="241"/>
      <c r="AF1047" s="241"/>
      <c r="AG1047" s="241"/>
      <c r="AH1047" s="241"/>
      <c r="AI1047" s="241"/>
      <c r="AJ1047" s="242"/>
    </row>
    <row r="1048" hidden="1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2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2"/>
      <c r="Y1048" s="241"/>
      <c r="Z1048" s="241"/>
      <c r="AA1048" s="241"/>
      <c r="AB1048" s="241"/>
      <c r="AC1048" s="241"/>
      <c r="AD1048" s="241"/>
      <c r="AE1048" s="241"/>
      <c r="AF1048" s="241"/>
      <c r="AG1048" s="241"/>
      <c r="AH1048" s="241"/>
      <c r="AI1048" s="241"/>
      <c r="AJ1048" s="242"/>
    </row>
    <row r="1049" hidden="1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2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2"/>
      <c r="Y1049" s="241"/>
      <c r="Z1049" s="241"/>
      <c r="AA1049" s="241"/>
      <c r="AB1049" s="241"/>
      <c r="AC1049" s="241"/>
      <c r="AD1049" s="241"/>
      <c r="AE1049" s="241"/>
      <c r="AF1049" s="241"/>
      <c r="AG1049" s="241"/>
      <c r="AH1049" s="241"/>
      <c r="AI1049" s="241"/>
      <c r="AJ1049" s="242"/>
    </row>
    <row r="1050" hidden="1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2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2"/>
      <c r="Y1050" s="241"/>
      <c r="Z1050" s="241"/>
      <c r="AA1050" s="241"/>
      <c r="AB1050" s="241"/>
      <c r="AC1050" s="241"/>
      <c r="AD1050" s="241"/>
      <c r="AE1050" s="241"/>
      <c r="AF1050" s="241"/>
      <c r="AG1050" s="241"/>
      <c r="AH1050" s="241"/>
      <c r="AI1050" s="241"/>
      <c r="AJ1050" s="242"/>
    </row>
    <row r="1051" hidden="1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2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2"/>
      <c r="Y1051" s="241"/>
      <c r="Z1051" s="241"/>
      <c r="AA1051" s="241"/>
      <c r="AB1051" s="241"/>
      <c r="AC1051" s="241"/>
      <c r="AD1051" s="241"/>
      <c r="AE1051" s="241"/>
      <c r="AF1051" s="241"/>
      <c r="AG1051" s="241"/>
      <c r="AH1051" s="241"/>
      <c r="AI1051" s="241"/>
      <c r="AJ1051" s="242"/>
    </row>
    <row r="1052" hidden="1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2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2"/>
      <c r="Y1052" s="241"/>
      <c r="Z1052" s="241"/>
      <c r="AA1052" s="241"/>
      <c r="AB1052" s="241"/>
      <c r="AC1052" s="241"/>
      <c r="AD1052" s="241"/>
      <c r="AE1052" s="241"/>
      <c r="AF1052" s="241"/>
      <c r="AG1052" s="241"/>
      <c r="AH1052" s="241"/>
      <c r="AI1052" s="241"/>
      <c r="AJ1052" s="242"/>
    </row>
    <row r="1053" hidden="1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2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2"/>
      <c r="Y1053" s="241"/>
      <c r="Z1053" s="241"/>
      <c r="AA1053" s="241"/>
      <c r="AB1053" s="241"/>
      <c r="AC1053" s="241"/>
      <c r="AD1053" s="241"/>
      <c r="AE1053" s="241"/>
      <c r="AF1053" s="241"/>
      <c r="AG1053" s="241"/>
      <c r="AH1053" s="241"/>
      <c r="AI1053" s="241"/>
      <c r="AJ1053" s="242"/>
    </row>
    <row r="1054" hidden="1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2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2"/>
      <c r="Y1054" s="241"/>
      <c r="Z1054" s="241"/>
      <c r="AA1054" s="241"/>
      <c r="AB1054" s="241"/>
      <c r="AC1054" s="241"/>
      <c r="AD1054" s="241"/>
      <c r="AE1054" s="241"/>
      <c r="AF1054" s="241"/>
      <c r="AG1054" s="241"/>
      <c r="AH1054" s="241"/>
      <c r="AI1054" s="241"/>
      <c r="AJ1054" s="242"/>
    </row>
    <row r="1055" hidden="1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2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2"/>
      <c r="Y1055" s="241"/>
      <c r="Z1055" s="241"/>
      <c r="AA1055" s="241"/>
      <c r="AB1055" s="241"/>
      <c r="AC1055" s="241"/>
      <c r="AD1055" s="241"/>
      <c r="AE1055" s="241"/>
      <c r="AF1055" s="241"/>
      <c r="AG1055" s="241"/>
      <c r="AH1055" s="241"/>
      <c r="AI1055" s="241"/>
      <c r="AJ1055" s="242"/>
    </row>
    <row r="1056" hidden="1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2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2"/>
      <c r="Y1056" s="241"/>
      <c r="Z1056" s="241"/>
      <c r="AA1056" s="241"/>
      <c r="AB1056" s="241"/>
      <c r="AC1056" s="241"/>
      <c r="AD1056" s="241"/>
      <c r="AE1056" s="241"/>
      <c r="AF1056" s="241"/>
      <c r="AG1056" s="241"/>
      <c r="AH1056" s="241"/>
      <c r="AI1056" s="241"/>
      <c r="AJ1056" s="242"/>
    </row>
    <row r="1057" hidden="1">
      <c r="A1057" s="241"/>
      <c r="B1057" s="241"/>
      <c r="C1057" s="241"/>
      <c r="D1057" s="241"/>
      <c r="E1057" s="241"/>
      <c r="F1057" s="241"/>
      <c r="G1057" s="241"/>
      <c r="H1057" s="241"/>
      <c r="I1057" s="241"/>
      <c r="J1057" s="241"/>
      <c r="K1057" s="241"/>
      <c r="L1057" s="242"/>
      <c r="M1057" s="241"/>
      <c r="N1057" s="241"/>
      <c r="O1057" s="241"/>
      <c r="P1057" s="241"/>
      <c r="Q1057" s="241"/>
      <c r="R1057" s="241"/>
      <c r="S1057" s="241"/>
      <c r="T1057" s="241"/>
      <c r="U1057" s="241"/>
      <c r="V1057" s="241"/>
      <c r="W1057" s="241"/>
      <c r="X1057" s="242"/>
      <c r="Y1057" s="241"/>
      <c r="Z1057" s="241"/>
      <c r="AA1057" s="241"/>
      <c r="AB1057" s="241"/>
      <c r="AC1057" s="241"/>
      <c r="AD1057" s="241"/>
      <c r="AE1057" s="241"/>
      <c r="AF1057" s="241"/>
      <c r="AG1057" s="241"/>
      <c r="AH1057" s="241"/>
      <c r="AI1057" s="241"/>
      <c r="AJ1057" s="242"/>
    </row>
    <row r="1058" hidden="1">
      <c r="A1058" s="241"/>
      <c r="B1058" s="241"/>
      <c r="C1058" s="241"/>
      <c r="D1058" s="241"/>
      <c r="E1058" s="241"/>
      <c r="F1058" s="241"/>
      <c r="G1058" s="241"/>
      <c r="H1058" s="241"/>
      <c r="I1058" s="241"/>
      <c r="J1058" s="241"/>
      <c r="K1058" s="241"/>
      <c r="L1058" s="242"/>
      <c r="M1058" s="241"/>
      <c r="N1058" s="241"/>
      <c r="O1058" s="241"/>
      <c r="P1058" s="241"/>
      <c r="Q1058" s="241"/>
      <c r="R1058" s="241"/>
      <c r="S1058" s="241"/>
      <c r="T1058" s="241"/>
      <c r="U1058" s="241"/>
      <c r="V1058" s="241"/>
      <c r="W1058" s="241"/>
      <c r="X1058" s="242"/>
      <c r="Y1058" s="241"/>
      <c r="Z1058" s="241"/>
      <c r="AA1058" s="241"/>
      <c r="AB1058" s="241"/>
      <c r="AC1058" s="241"/>
      <c r="AD1058" s="241"/>
      <c r="AE1058" s="241"/>
      <c r="AF1058" s="241"/>
      <c r="AG1058" s="241"/>
      <c r="AH1058" s="241"/>
      <c r="AI1058" s="241"/>
      <c r="AJ1058" s="242"/>
    </row>
    <row r="1059" hidden="1">
      <c r="A1059" s="241"/>
      <c r="B1059" s="241"/>
      <c r="C1059" s="241"/>
      <c r="D1059" s="241"/>
      <c r="E1059" s="241"/>
      <c r="F1059" s="241"/>
      <c r="G1059" s="241"/>
      <c r="H1059" s="241"/>
      <c r="I1059" s="241"/>
      <c r="J1059" s="241"/>
      <c r="K1059" s="241"/>
      <c r="L1059" s="242"/>
      <c r="M1059" s="241"/>
      <c r="N1059" s="241"/>
      <c r="O1059" s="241"/>
      <c r="P1059" s="241"/>
      <c r="Q1059" s="241"/>
      <c r="R1059" s="241"/>
      <c r="S1059" s="241"/>
      <c r="T1059" s="241"/>
      <c r="U1059" s="241"/>
      <c r="V1059" s="241"/>
      <c r="W1059" s="241"/>
      <c r="X1059" s="242"/>
      <c r="Y1059" s="241"/>
      <c r="Z1059" s="241"/>
      <c r="AA1059" s="241"/>
      <c r="AB1059" s="241"/>
      <c r="AC1059" s="241"/>
      <c r="AD1059" s="241"/>
      <c r="AE1059" s="241"/>
      <c r="AF1059" s="241"/>
      <c r="AG1059" s="241"/>
      <c r="AH1059" s="241"/>
      <c r="AI1059" s="241"/>
      <c r="AJ1059" s="242"/>
    </row>
    <row r="1060" hidden="1">
      <c r="A1060" s="241"/>
      <c r="B1060" s="241"/>
      <c r="C1060" s="241"/>
      <c r="D1060" s="241"/>
      <c r="E1060" s="241"/>
      <c r="F1060" s="241"/>
      <c r="G1060" s="241"/>
      <c r="H1060" s="241"/>
      <c r="I1060" s="241"/>
      <c r="J1060" s="241"/>
      <c r="K1060" s="241"/>
      <c r="L1060" s="242"/>
      <c r="M1060" s="241"/>
      <c r="N1060" s="241"/>
      <c r="O1060" s="241"/>
      <c r="P1060" s="241"/>
      <c r="Q1060" s="241"/>
      <c r="R1060" s="241"/>
      <c r="S1060" s="241"/>
      <c r="T1060" s="241"/>
      <c r="U1060" s="241"/>
      <c r="V1060" s="241"/>
      <c r="W1060" s="241"/>
      <c r="X1060" s="242"/>
      <c r="Y1060" s="241"/>
      <c r="Z1060" s="241"/>
      <c r="AA1060" s="241"/>
      <c r="AB1060" s="241"/>
      <c r="AC1060" s="241"/>
      <c r="AD1060" s="241"/>
      <c r="AE1060" s="241"/>
      <c r="AF1060" s="241"/>
      <c r="AG1060" s="241"/>
      <c r="AH1060" s="241"/>
      <c r="AI1060" s="241"/>
      <c r="AJ1060" s="242"/>
    </row>
    <row r="1061" hidden="1">
      <c r="A1061" s="241"/>
      <c r="B1061" s="241"/>
      <c r="C1061" s="241"/>
      <c r="D1061" s="241"/>
      <c r="E1061" s="241"/>
      <c r="F1061" s="241"/>
      <c r="G1061" s="241"/>
      <c r="H1061" s="241"/>
      <c r="I1061" s="241"/>
      <c r="J1061" s="241"/>
      <c r="K1061" s="241"/>
      <c r="L1061" s="242"/>
      <c r="M1061" s="241"/>
      <c r="N1061" s="241"/>
      <c r="O1061" s="241"/>
      <c r="P1061" s="241"/>
      <c r="Q1061" s="241"/>
      <c r="R1061" s="241"/>
      <c r="S1061" s="241"/>
      <c r="T1061" s="241"/>
      <c r="U1061" s="241"/>
      <c r="V1061" s="241"/>
      <c r="W1061" s="241"/>
      <c r="X1061" s="242"/>
      <c r="Y1061" s="241"/>
      <c r="Z1061" s="241"/>
      <c r="AA1061" s="241"/>
      <c r="AB1061" s="241"/>
      <c r="AC1061" s="241"/>
      <c r="AD1061" s="241"/>
      <c r="AE1061" s="241"/>
      <c r="AF1061" s="241"/>
      <c r="AG1061" s="241"/>
      <c r="AH1061" s="241"/>
      <c r="AI1061" s="241"/>
      <c r="AJ1061" s="242"/>
    </row>
    <row r="1062" hidden="1">
      <c r="A1062" s="241"/>
      <c r="B1062" s="241"/>
      <c r="C1062" s="241"/>
      <c r="D1062" s="241"/>
      <c r="E1062" s="241"/>
      <c r="F1062" s="241"/>
      <c r="G1062" s="241"/>
      <c r="H1062" s="241"/>
      <c r="I1062" s="241"/>
      <c r="J1062" s="241"/>
      <c r="K1062" s="241"/>
      <c r="L1062" s="242"/>
      <c r="M1062" s="241"/>
      <c r="N1062" s="241"/>
      <c r="O1062" s="241"/>
      <c r="P1062" s="241"/>
      <c r="Q1062" s="241"/>
      <c r="R1062" s="241"/>
      <c r="S1062" s="241"/>
      <c r="T1062" s="241"/>
      <c r="U1062" s="241"/>
      <c r="V1062" s="241"/>
      <c r="W1062" s="241"/>
      <c r="X1062" s="242"/>
      <c r="Y1062" s="241"/>
      <c r="Z1062" s="241"/>
      <c r="AA1062" s="241"/>
      <c r="AB1062" s="241"/>
      <c r="AC1062" s="241"/>
      <c r="AD1062" s="241"/>
      <c r="AE1062" s="241"/>
      <c r="AF1062" s="241"/>
      <c r="AG1062" s="241"/>
      <c r="AH1062" s="241"/>
      <c r="AI1062" s="241"/>
      <c r="AJ1062" s="242"/>
    </row>
    <row r="1063" hidden="1">
      <c r="A1063" s="241"/>
      <c r="B1063" s="241"/>
      <c r="C1063" s="241"/>
      <c r="D1063" s="241"/>
      <c r="E1063" s="241"/>
      <c r="F1063" s="241"/>
      <c r="G1063" s="241"/>
      <c r="H1063" s="241"/>
      <c r="I1063" s="241"/>
      <c r="J1063" s="241"/>
      <c r="K1063" s="241"/>
      <c r="L1063" s="242"/>
      <c r="M1063" s="241"/>
      <c r="N1063" s="241"/>
      <c r="O1063" s="241"/>
      <c r="P1063" s="241"/>
      <c r="Q1063" s="241"/>
      <c r="R1063" s="241"/>
      <c r="S1063" s="241"/>
      <c r="T1063" s="241"/>
      <c r="U1063" s="241"/>
      <c r="V1063" s="241"/>
      <c r="W1063" s="241"/>
      <c r="X1063" s="242"/>
      <c r="Y1063" s="241"/>
      <c r="Z1063" s="241"/>
      <c r="AA1063" s="241"/>
      <c r="AB1063" s="241"/>
      <c r="AC1063" s="241"/>
      <c r="AD1063" s="241"/>
      <c r="AE1063" s="241"/>
      <c r="AF1063" s="241"/>
      <c r="AG1063" s="241"/>
      <c r="AH1063" s="241"/>
      <c r="AI1063" s="241"/>
      <c r="AJ1063" s="242"/>
    </row>
    <row r="1064" hidden="1">
      <c r="A1064" s="241"/>
      <c r="B1064" s="241"/>
      <c r="C1064" s="241"/>
      <c r="D1064" s="241"/>
      <c r="E1064" s="241"/>
      <c r="F1064" s="241"/>
      <c r="G1064" s="241"/>
      <c r="H1064" s="241"/>
      <c r="I1064" s="241"/>
      <c r="J1064" s="241"/>
      <c r="K1064" s="241"/>
      <c r="L1064" s="242"/>
      <c r="M1064" s="241"/>
      <c r="N1064" s="241"/>
      <c r="O1064" s="241"/>
      <c r="P1064" s="241"/>
      <c r="Q1064" s="241"/>
      <c r="R1064" s="241"/>
      <c r="S1064" s="241"/>
      <c r="T1064" s="241"/>
      <c r="U1064" s="241"/>
      <c r="V1064" s="241"/>
      <c r="W1064" s="241"/>
      <c r="X1064" s="242"/>
      <c r="Y1064" s="241"/>
      <c r="Z1064" s="241"/>
      <c r="AA1064" s="241"/>
      <c r="AB1064" s="241"/>
      <c r="AC1064" s="241"/>
      <c r="AD1064" s="241"/>
      <c r="AE1064" s="241"/>
      <c r="AF1064" s="241"/>
      <c r="AG1064" s="241"/>
      <c r="AH1064" s="241"/>
      <c r="AI1064" s="241"/>
      <c r="AJ1064" s="242"/>
    </row>
    <row r="1065" hidden="1">
      <c r="A1065" s="241"/>
      <c r="B1065" s="241"/>
      <c r="C1065" s="241"/>
      <c r="D1065" s="241"/>
      <c r="E1065" s="241"/>
      <c r="F1065" s="241"/>
      <c r="G1065" s="241"/>
      <c r="H1065" s="241"/>
      <c r="I1065" s="241"/>
      <c r="J1065" s="241"/>
      <c r="K1065" s="241"/>
      <c r="L1065" s="242"/>
      <c r="M1065" s="241"/>
      <c r="N1065" s="241"/>
      <c r="O1065" s="241"/>
      <c r="P1065" s="241"/>
      <c r="Q1065" s="241"/>
      <c r="R1065" s="241"/>
      <c r="S1065" s="241"/>
      <c r="T1065" s="241"/>
      <c r="U1065" s="241"/>
      <c r="V1065" s="241"/>
      <c r="W1065" s="241"/>
      <c r="X1065" s="242"/>
      <c r="Y1065" s="241"/>
      <c r="Z1065" s="241"/>
      <c r="AA1065" s="241"/>
      <c r="AB1065" s="241"/>
      <c r="AC1065" s="241"/>
      <c r="AD1065" s="241"/>
      <c r="AE1065" s="241"/>
      <c r="AF1065" s="241"/>
      <c r="AG1065" s="241"/>
      <c r="AH1065" s="241"/>
      <c r="AI1065" s="241"/>
      <c r="AJ1065" s="242"/>
    </row>
    <row r="1066" hidden="1">
      <c r="A1066" s="241"/>
      <c r="B1066" s="241"/>
      <c r="C1066" s="241"/>
      <c r="D1066" s="241"/>
      <c r="E1066" s="241"/>
      <c r="F1066" s="241"/>
      <c r="G1066" s="241"/>
      <c r="H1066" s="241"/>
      <c r="I1066" s="241"/>
      <c r="J1066" s="241"/>
      <c r="K1066" s="241"/>
      <c r="L1066" s="242"/>
      <c r="M1066" s="241"/>
      <c r="N1066" s="241"/>
      <c r="O1066" s="241"/>
      <c r="P1066" s="241"/>
      <c r="Q1066" s="241"/>
      <c r="R1066" s="241"/>
      <c r="S1066" s="241"/>
      <c r="T1066" s="241"/>
      <c r="U1066" s="241"/>
      <c r="V1066" s="241"/>
      <c r="W1066" s="241"/>
      <c r="X1066" s="242"/>
      <c r="Y1066" s="241"/>
      <c r="Z1066" s="241"/>
      <c r="AA1066" s="241"/>
      <c r="AB1066" s="241"/>
      <c r="AC1066" s="241"/>
      <c r="AD1066" s="241"/>
      <c r="AE1066" s="241"/>
      <c r="AF1066" s="241"/>
      <c r="AG1066" s="241"/>
      <c r="AH1066" s="241"/>
      <c r="AI1066" s="241"/>
      <c r="AJ1066" s="242"/>
    </row>
    <row r="1067" hidden="1">
      <c r="A1067" s="241"/>
      <c r="B1067" s="241"/>
      <c r="C1067" s="241"/>
      <c r="D1067" s="241"/>
      <c r="E1067" s="241"/>
      <c r="F1067" s="241"/>
      <c r="G1067" s="241"/>
      <c r="H1067" s="241"/>
      <c r="I1067" s="241"/>
      <c r="J1067" s="241"/>
      <c r="K1067" s="241"/>
      <c r="L1067" s="242"/>
      <c r="M1067" s="241"/>
      <c r="N1067" s="241"/>
      <c r="O1067" s="241"/>
      <c r="P1067" s="241"/>
      <c r="Q1067" s="241"/>
      <c r="R1067" s="241"/>
      <c r="S1067" s="241"/>
      <c r="T1067" s="241"/>
      <c r="U1067" s="241"/>
      <c r="V1067" s="241"/>
      <c r="W1067" s="241"/>
      <c r="X1067" s="242"/>
      <c r="Y1067" s="241"/>
      <c r="Z1067" s="241"/>
      <c r="AA1067" s="241"/>
      <c r="AB1067" s="241"/>
      <c r="AC1067" s="241"/>
      <c r="AD1067" s="241"/>
      <c r="AE1067" s="241"/>
      <c r="AF1067" s="241"/>
      <c r="AG1067" s="241"/>
      <c r="AH1067" s="241"/>
      <c r="AI1067" s="241"/>
      <c r="AJ1067" s="242"/>
    </row>
    <row r="1068" hidden="1">
      <c r="A1068" s="241"/>
      <c r="B1068" s="241"/>
      <c r="C1068" s="241"/>
      <c r="D1068" s="241"/>
      <c r="E1068" s="241"/>
      <c r="F1068" s="241"/>
      <c r="G1068" s="241"/>
      <c r="H1068" s="241"/>
      <c r="I1068" s="241"/>
      <c r="J1068" s="241"/>
      <c r="K1068" s="241"/>
      <c r="L1068" s="242"/>
      <c r="M1068" s="241"/>
      <c r="N1068" s="241"/>
      <c r="O1068" s="241"/>
      <c r="P1068" s="241"/>
      <c r="Q1068" s="241"/>
      <c r="R1068" s="241"/>
      <c r="S1068" s="241"/>
      <c r="T1068" s="241"/>
      <c r="U1068" s="241"/>
      <c r="V1068" s="241"/>
      <c r="W1068" s="241"/>
      <c r="X1068" s="242"/>
      <c r="Y1068" s="241"/>
      <c r="Z1068" s="241"/>
      <c r="AA1068" s="241"/>
      <c r="AB1068" s="241"/>
      <c r="AC1068" s="241"/>
      <c r="AD1068" s="241"/>
      <c r="AE1068" s="241"/>
      <c r="AF1068" s="241"/>
      <c r="AG1068" s="241"/>
      <c r="AH1068" s="241"/>
      <c r="AI1068" s="241"/>
      <c r="AJ1068" s="242"/>
    </row>
    <row r="1069" hidden="1">
      <c r="A1069" s="241"/>
      <c r="B1069" s="241"/>
      <c r="C1069" s="241"/>
      <c r="D1069" s="241"/>
      <c r="E1069" s="241"/>
      <c r="F1069" s="241"/>
      <c r="G1069" s="241"/>
      <c r="H1069" s="241"/>
      <c r="I1069" s="241"/>
      <c r="J1069" s="241"/>
      <c r="K1069" s="241"/>
      <c r="L1069" s="242"/>
      <c r="M1069" s="241"/>
      <c r="N1069" s="241"/>
      <c r="O1069" s="241"/>
      <c r="P1069" s="241"/>
      <c r="Q1069" s="241"/>
      <c r="R1069" s="241"/>
      <c r="S1069" s="241"/>
      <c r="T1069" s="241"/>
      <c r="U1069" s="241"/>
      <c r="V1069" s="241"/>
      <c r="W1069" s="241"/>
      <c r="X1069" s="242"/>
      <c r="Y1069" s="241"/>
      <c r="Z1069" s="241"/>
      <c r="AA1069" s="241"/>
      <c r="AB1069" s="241"/>
      <c r="AC1069" s="241"/>
      <c r="AD1069" s="241"/>
      <c r="AE1069" s="241"/>
      <c r="AF1069" s="241"/>
      <c r="AG1069" s="241"/>
      <c r="AH1069" s="241"/>
      <c r="AI1069" s="241"/>
      <c r="AJ1069" s="242"/>
    </row>
    <row r="1070" hidden="1">
      <c r="A1070" s="241"/>
      <c r="B1070" s="241"/>
      <c r="C1070" s="241"/>
      <c r="D1070" s="241"/>
      <c r="E1070" s="241"/>
      <c r="F1070" s="241"/>
      <c r="G1070" s="241"/>
      <c r="H1070" s="241"/>
      <c r="I1070" s="241"/>
      <c r="J1070" s="241"/>
      <c r="K1070" s="241"/>
      <c r="L1070" s="242"/>
      <c r="M1070" s="241"/>
      <c r="N1070" s="241"/>
      <c r="O1070" s="241"/>
      <c r="P1070" s="241"/>
      <c r="Q1070" s="241"/>
      <c r="R1070" s="241"/>
      <c r="S1070" s="241"/>
      <c r="T1070" s="241"/>
      <c r="U1070" s="241"/>
      <c r="V1070" s="241"/>
      <c r="W1070" s="241"/>
      <c r="X1070" s="242"/>
      <c r="Y1070" s="241"/>
      <c r="Z1070" s="241"/>
      <c r="AA1070" s="241"/>
      <c r="AB1070" s="241"/>
      <c r="AC1070" s="241"/>
      <c r="AD1070" s="241"/>
      <c r="AE1070" s="241"/>
      <c r="AF1070" s="241"/>
      <c r="AG1070" s="241"/>
      <c r="AH1070" s="241"/>
      <c r="AI1070" s="241"/>
      <c r="AJ1070" s="242"/>
    </row>
    <row r="1071" hidden="1">
      <c r="A1071" s="241"/>
      <c r="B1071" s="241"/>
      <c r="C1071" s="241"/>
      <c r="D1071" s="241"/>
      <c r="E1071" s="241"/>
      <c r="F1071" s="241"/>
      <c r="G1071" s="241"/>
      <c r="H1071" s="241"/>
      <c r="I1071" s="241"/>
      <c r="J1071" s="241"/>
      <c r="K1071" s="241"/>
      <c r="L1071" s="242"/>
      <c r="M1071" s="241"/>
      <c r="N1071" s="241"/>
      <c r="O1071" s="241"/>
      <c r="P1071" s="241"/>
      <c r="Q1071" s="241"/>
      <c r="R1071" s="241"/>
      <c r="S1071" s="241"/>
      <c r="T1071" s="241"/>
      <c r="U1071" s="241"/>
      <c r="V1071" s="241"/>
      <c r="W1071" s="241"/>
      <c r="X1071" s="242"/>
      <c r="Y1071" s="241"/>
      <c r="Z1071" s="241"/>
      <c r="AA1071" s="241"/>
      <c r="AB1071" s="241"/>
      <c r="AC1071" s="241"/>
      <c r="AD1071" s="241"/>
      <c r="AE1071" s="241"/>
      <c r="AF1071" s="241"/>
      <c r="AG1071" s="241"/>
      <c r="AH1071" s="241"/>
      <c r="AI1071" s="241"/>
      <c r="AJ1071" s="242"/>
    </row>
    <row r="1072" hidden="1">
      <c r="A1072" s="241"/>
      <c r="B1072" s="241"/>
      <c r="C1072" s="241"/>
      <c r="D1072" s="241"/>
      <c r="E1072" s="241"/>
      <c r="F1072" s="241"/>
      <c r="G1072" s="241"/>
      <c r="H1072" s="241"/>
      <c r="I1072" s="241"/>
      <c r="J1072" s="241"/>
      <c r="K1072" s="241"/>
      <c r="L1072" s="242"/>
      <c r="M1072" s="241"/>
      <c r="N1072" s="241"/>
      <c r="O1072" s="241"/>
      <c r="P1072" s="241"/>
      <c r="Q1072" s="241"/>
      <c r="R1072" s="241"/>
      <c r="S1072" s="241"/>
      <c r="T1072" s="241"/>
      <c r="U1072" s="241"/>
      <c r="V1072" s="241"/>
      <c r="W1072" s="241"/>
      <c r="X1072" s="242"/>
      <c r="Y1072" s="241"/>
      <c r="Z1072" s="241"/>
      <c r="AA1072" s="241"/>
      <c r="AB1072" s="241"/>
      <c r="AC1072" s="241"/>
      <c r="AD1072" s="241"/>
      <c r="AE1072" s="241"/>
      <c r="AF1072" s="241"/>
      <c r="AG1072" s="241"/>
      <c r="AH1072" s="241"/>
      <c r="AI1072" s="241"/>
      <c r="AJ1072" s="242"/>
    </row>
    <row r="1073" hidden="1">
      <c r="A1073" s="241"/>
      <c r="B1073" s="241"/>
      <c r="C1073" s="241"/>
      <c r="D1073" s="241"/>
      <c r="E1073" s="241"/>
      <c r="F1073" s="241"/>
      <c r="G1073" s="241"/>
      <c r="H1073" s="241"/>
      <c r="I1073" s="241"/>
      <c r="J1073" s="241"/>
      <c r="K1073" s="241"/>
      <c r="L1073" s="242"/>
      <c r="M1073" s="241"/>
      <c r="N1073" s="241"/>
      <c r="O1073" s="241"/>
      <c r="P1073" s="241"/>
      <c r="Q1073" s="241"/>
      <c r="R1073" s="241"/>
      <c r="S1073" s="241"/>
      <c r="T1073" s="241"/>
      <c r="U1073" s="241"/>
      <c r="V1073" s="241"/>
      <c r="W1073" s="241"/>
      <c r="X1073" s="242"/>
      <c r="Y1073" s="241"/>
      <c r="Z1073" s="241"/>
      <c r="AA1073" s="241"/>
      <c r="AB1073" s="241"/>
      <c r="AC1073" s="241"/>
      <c r="AD1073" s="241"/>
      <c r="AE1073" s="241"/>
      <c r="AF1073" s="241"/>
      <c r="AG1073" s="241"/>
      <c r="AH1073" s="241"/>
      <c r="AI1073" s="241"/>
      <c r="AJ1073" s="242"/>
    </row>
    <row r="1074" hidden="1">
      <c r="A1074" s="241"/>
      <c r="B1074" s="241"/>
      <c r="C1074" s="241"/>
      <c r="D1074" s="241"/>
      <c r="E1074" s="241"/>
      <c r="F1074" s="241"/>
      <c r="G1074" s="241"/>
      <c r="H1074" s="241"/>
      <c r="I1074" s="241"/>
      <c r="J1074" s="241"/>
      <c r="K1074" s="241"/>
      <c r="L1074" s="242"/>
      <c r="M1074" s="241"/>
      <c r="N1074" s="241"/>
      <c r="O1074" s="241"/>
      <c r="P1074" s="241"/>
      <c r="Q1074" s="241"/>
      <c r="R1074" s="241"/>
      <c r="S1074" s="241"/>
      <c r="T1074" s="241"/>
      <c r="U1074" s="241"/>
      <c r="V1074" s="241"/>
      <c r="W1074" s="241"/>
      <c r="X1074" s="242"/>
      <c r="Y1074" s="241"/>
      <c r="Z1074" s="241"/>
      <c r="AA1074" s="241"/>
      <c r="AB1074" s="241"/>
      <c r="AC1074" s="241"/>
      <c r="AD1074" s="241"/>
      <c r="AE1074" s="241"/>
      <c r="AF1074" s="241"/>
      <c r="AG1074" s="241"/>
      <c r="AH1074" s="241"/>
      <c r="AI1074" s="241"/>
      <c r="AJ1074" s="242"/>
    </row>
    <row r="1075" hidden="1">
      <c r="A1075" s="241"/>
      <c r="B1075" s="241"/>
      <c r="C1075" s="241"/>
      <c r="D1075" s="241"/>
      <c r="E1075" s="241"/>
      <c r="F1075" s="241"/>
      <c r="G1075" s="241"/>
      <c r="H1075" s="241"/>
      <c r="I1075" s="241"/>
      <c r="J1075" s="241"/>
      <c r="K1075" s="241"/>
      <c r="L1075" s="242"/>
      <c r="M1075" s="241"/>
      <c r="N1075" s="241"/>
      <c r="O1075" s="241"/>
      <c r="P1075" s="241"/>
      <c r="Q1075" s="241"/>
      <c r="R1075" s="241"/>
      <c r="S1075" s="241"/>
      <c r="T1075" s="241"/>
      <c r="U1075" s="241"/>
      <c r="V1075" s="241"/>
      <c r="W1075" s="241"/>
      <c r="X1075" s="242"/>
      <c r="Y1075" s="241"/>
      <c r="Z1075" s="241"/>
      <c r="AA1075" s="241"/>
      <c r="AB1075" s="241"/>
      <c r="AC1075" s="241"/>
      <c r="AD1075" s="241"/>
      <c r="AE1075" s="241"/>
      <c r="AF1075" s="241"/>
      <c r="AG1075" s="241"/>
      <c r="AH1075" s="241"/>
      <c r="AI1075" s="241"/>
      <c r="AJ1075" s="242"/>
    </row>
    <row r="1076" hidden="1">
      <c r="A1076" s="241"/>
      <c r="B1076" s="241"/>
      <c r="C1076" s="241"/>
      <c r="D1076" s="241"/>
      <c r="E1076" s="241"/>
      <c r="F1076" s="241"/>
      <c r="G1076" s="241"/>
      <c r="H1076" s="241"/>
      <c r="I1076" s="241"/>
      <c r="J1076" s="241"/>
      <c r="K1076" s="241"/>
      <c r="L1076" s="242"/>
      <c r="M1076" s="241"/>
      <c r="N1076" s="241"/>
      <c r="O1076" s="241"/>
      <c r="P1076" s="241"/>
      <c r="Q1076" s="241"/>
      <c r="R1076" s="241"/>
      <c r="S1076" s="241"/>
      <c r="T1076" s="241"/>
      <c r="U1076" s="241"/>
      <c r="V1076" s="241"/>
      <c r="W1076" s="241"/>
      <c r="X1076" s="242"/>
      <c r="Y1076" s="241"/>
      <c r="Z1076" s="241"/>
      <c r="AA1076" s="241"/>
      <c r="AB1076" s="241"/>
      <c r="AC1076" s="241"/>
      <c r="AD1076" s="241"/>
      <c r="AE1076" s="241"/>
      <c r="AF1076" s="241"/>
      <c r="AG1076" s="241"/>
      <c r="AH1076" s="241"/>
      <c r="AI1076" s="241"/>
      <c r="AJ1076" s="242"/>
    </row>
    <row r="1077" hidden="1">
      <c r="A1077" s="241"/>
      <c r="B1077" s="241"/>
      <c r="C1077" s="241"/>
      <c r="D1077" s="241"/>
      <c r="E1077" s="241"/>
      <c r="F1077" s="241"/>
      <c r="G1077" s="241"/>
      <c r="H1077" s="241"/>
      <c r="I1077" s="241"/>
      <c r="J1077" s="241"/>
      <c r="K1077" s="241"/>
      <c r="L1077" s="242"/>
      <c r="M1077" s="241"/>
      <c r="N1077" s="241"/>
      <c r="O1077" s="241"/>
      <c r="P1077" s="241"/>
      <c r="Q1077" s="241"/>
      <c r="R1077" s="241"/>
      <c r="S1077" s="241"/>
      <c r="T1077" s="241"/>
      <c r="U1077" s="241"/>
      <c r="V1077" s="241"/>
      <c r="W1077" s="241"/>
      <c r="X1077" s="242"/>
      <c r="Y1077" s="241"/>
      <c r="Z1077" s="241"/>
      <c r="AA1077" s="241"/>
      <c r="AB1077" s="241"/>
      <c r="AC1077" s="241"/>
      <c r="AD1077" s="241"/>
      <c r="AE1077" s="241"/>
      <c r="AF1077" s="241"/>
      <c r="AG1077" s="241"/>
      <c r="AH1077" s="241"/>
      <c r="AI1077" s="241"/>
      <c r="AJ1077" s="242"/>
    </row>
    <row r="1078" hidden="1">
      <c r="A1078" s="241"/>
      <c r="B1078" s="241"/>
      <c r="C1078" s="241"/>
      <c r="D1078" s="241"/>
      <c r="E1078" s="241"/>
      <c r="F1078" s="241"/>
      <c r="G1078" s="241"/>
      <c r="H1078" s="241"/>
      <c r="I1078" s="241"/>
      <c r="J1078" s="241"/>
      <c r="K1078" s="241"/>
      <c r="L1078" s="242"/>
      <c r="M1078" s="241"/>
      <c r="N1078" s="241"/>
      <c r="O1078" s="241"/>
      <c r="P1078" s="241"/>
      <c r="Q1078" s="241"/>
      <c r="R1078" s="241"/>
      <c r="S1078" s="241"/>
      <c r="T1078" s="241"/>
      <c r="U1078" s="241"/>
      <c r="V1078" s="241"/>
      <c r="W1078" s="241"/>
      <c r="X1078" s="242"/>
      <c r="Y1078" s="241"/>
      <c r="Z1078" s="241"/>
      <c r="AA1078" s="241"/>
      <c r="AB1078" s="241"/>
      <c r="AC1078" s="241"/>
      <c r="AD1078" s="241"/>
      <c r="AE1078" s="241"/>
      <c r="AF1078" s="241"/>
      <c r="AG1078" s="241"/>
      <c r="AH1078" s="241"/>
      <c r="AI1078" s="241"/>
      <c r="AJ1078" s="242"/>
    </row>
    <row r="1079" hidden="1">
      <c r="A1079" s="241"/>
      <c r="B1079" s="241"/>
      <c r="C1079" s="241"/>
      <c r="D1079" s="241"/>
      <c r="E1079" s="241"/>
      <c r="F1079" s="241"/>
      <c r="G1079" s="241"/>
      <c r="H1079" s="241"/>
      <c r="I1079" s="241"/>
      <c r="J1079" s="241"/>
      <c r="K1079" s="241"/>
      <c r="L1079" s="242"/>
      <c r="M1079" s="241"/>
      <c r="N1079" s="241"/>
      <c r="O1079" s="241"/>
      <c r="P1079" s="241"/>
      <c r="Q1079" s="241"/>
      <c r="R1079" s="241"/>
      <c r="S1079" s="241"/>
      <c r="T1079" s="241"/>
      <c r="U1079" s="241"/>
      <c r="V1079" s="241"/>
      <c r="W1079" s="241"/>
      <c r="X1079" s="242"/>
      <c r="Y1079" s="241"/>
      <c r="Z1079" s="241"/>
      <c r="AA1079" s="241"/>
      <c r="AB1079" s="241"/>
      <c r="AC1079" s="241"/>
      <c r="AD1079" s="241"/>
      <c r="AE1079" s="241"/>
      <c r="AF1079" s="241"/>
      <c r="AG1079" s="241"/>
      <c r="AH1079" s="241"/>
      <c r="AI1079" s="241"/>
      <c r="AJ1079" s="242"/>
    </row>
    <row r="1080" hidden="1">
      <c r="A1080" s="241"/>
      <c r="B1080" s="241"/>
      <c r="C1080" s="241"/>
      <c r="D1080" s="241"/>
      <c r="E1080" s="241"/>
      <c r="F1080" s="241"/>
      <c r="G1080" s="241"/>
      <c r="H1080" s="241"/>
      <c r="I1080" s="241"/>
      <c r="J1080" s="241"/>
      <c r="K1080" s="241"/>
      <c r="L1080" s="242"/>
      <c r="M1080" s="241"/>
      <c r="N1080" s="241"/>
      <c r="O1080" s="241"/>
      <c r="P1080" s="241"/>
      <c r="Q1080" s="241"/>
      <c r="R1080" s="241"/>
      <c r="S1080" s="241"/>
      <c r="T1080" s="241"/>
      <c r="U1080" s="241"/>
      <c r="V1080" s="241"/>
      <c r="W1080" s="241"/>
      <c r="X1080" s="242"/>
      <c r="Y1080" s="241"/>
      <c r="Z1080" s="241"/>
      <c r="AA1080" s="241"/>
      <c r="AB1080" s="241"/>
      <c r="AC1080" s="241"/>
      <c r="AD1080" s="241"/>
      <c r="AE1080" s="241"/>
      <c r="AF1080" s="241"/>
      <c r="AG1080" s="241"/>
      <c r="AH1080" s="241"/>
      <c r="AI1080" s="241"/>
      <c r="AJ1080" s="242"/>
    </row>
    <row r="1081" hidden="1">
      <c r="A1081" s="241"/>
      <c r="B1081" s="241"/>
      <c r="C1081" s="241"/>
      <c r="D1081" s="241"/>
      <c r="E1081" s="241"/>
      <c r="F1081" s="241"/>
      <c r="G1081" s="241"/>
      <c r="H1081" s="241"/>
      <c r="I1081" s="241"/>
      <c r="J1081" s="241"/>
      <c r="K1081" s="241"/>
      <c r="L1081" s="242"/>
      <c r="M1081" s="241"/>
      <c r="N1081" s="241"/>
      <c r="O1081" s="241"/>
      <c r="P1081" s="241"/>
      <c r="Q1081" s="241"/>
      <c r="R1081" s="241"/>
      <c r="S1081" s="241"/>
      <c r="T1081" s="241"/>
      <c r="U1081" s="241"/>
      <c r="V1081" s="241"/>
      <c r="W1081" s="241"/>
      <c r="X1081" s="242"/>
      <c r="Y1081" s="241"/>
      <c r="Z1081" s="241"/>
      <c r="AA1081" s="241"/>
      <c r="AB1081" s="241"/>
      <c r="AC1081" s="241"/>
      <c r="AD1081" s="241"/>
      <c r="AE1081" s="241"/>
      <c r="AF1081" s="241"/>
      <c r="AG1081" s="241"/>
      <c r="AH1081" s="241"/>
      <c r="AI1081" s="241"/>
      <c r="AJ1081" s="242"/>
    </row>
    <row r="1082" hidden="1">
      <c r="A1082" s="241"/>
      <c r="B1082" s="241"/>
      <c r="C1082" s="241"/>
      <c r="D1082" s="241"/>
      <c r="E1082" s="241"/>
      <c r="F1082" s="241"/>
      <c r="G1082" s="241"/>
      <c r="H1082" s="241"/>
      <c r="I1082" s="241"/>
      <c r="J1082" s="241"/>
      <c r="K1082" s="241"/>
      <c r="L1082" s="242"/>
      <c r="M1082" s="241"/>
      <c r="N1082" s="241"/>
      <c r="O1082" s="241"/>
      <c r="P1082" s="241"/>
      <c r="Q1082" s="241"/>
      <c r="R1082" s="241"/>
      <c r="S1082" s="241"/>
      <c r="T1082" s="241"/>
      <c r="U1082" s="241"/>
      <c r="V1082" s="241"/>
      <c r="W1082" s="241"/>
      <c r="X1082" s="242"/>
      <c r="Y1082" s="241"/>
      <c r="Z1082" s="241"/>
      <c r="AA1082" s="241"/>
      <c r="AB1082" s="241"/>
      <c r="AC1082" s="241"/>
      <c r="AD1082" s="241"/>
      <c r="AE1082" s="241"/>
      <c r="AF1082" s="241"/>
      <c r="AG1082" s="241"/>
      <c r="AH1082" s="241"/>
      <c r="AI1082" s="241"/>
      <c r="AJ1082" s="242"/>
    </row>
    <row r="1083" hidden="1">
      <c r="A1083" s="241"/>
      <c r="B1083" s="241"/>
      <c r="C1083" s="241"/>
      <c r="D1083" s="241"/>
      <c r="E1083" s="241"/>
      <c r="F1083" s="241"/>
      <c r="G1083" s="241"/>
      <c r="H1083" s="241"/>
      <c r="I1083" s="241"/>
      <c r="J1083" s="241"/>
      <c r="K1083" s="241"/>
      <c r="L1083" s="242"/>
      <c r="M1083" s="241"/>
      <c r="N1083" s="241"/>
      <c r="O1083" s="241"/>
      <c r="P1083" s="241"/>
      <c r="Q1083" s="241"/>
      <c r="R1083" s="241"/>
      <c r="S1083" s="241"/>
      <c r="T1083" s="241"/>
      <c r="U1083" s="241"/>
      <c r="V1083" s="241"/>
      <c r="W1083" s="241"/>
      <c r="X1083" s="242"/>
      <c r="Y1083" s="241"/>
      <c r="Z1083" s="241"/>
      <c r="AA1083" s="241"/>
      <c r="AB1083" s="241"/>
      <c r="AC1083" s="241"/>
      <c r="AD1083" s="241"/>
      <c r="AE1083" s="241"/>
      <c r="AF1083" s="241"/>
      <c r="AG1083" s="241"/>
      <c r="AH1083" s="241"/>
      <c r="AI1083" s="241"/>
      <c r="AJ1083" s="242"/>
    </row>
    <row r="1084" hidden="1">
      <c r="A1084" s="241"/>
      <c r="B1084" s="241"/>
      <c r="C1084" s="241"/>
      <c r="D1084" s="241"/>
      <c r="E1084" s="241"/>
      <c r="F1084" s="241"/>
      <c r="G1084" s="241"/>
      <c r="H1084" s="241"/>
      <c r="I1084" s="241"/>
      <c r="J1084" s="241"/>
      <c r="K1084" s="241"/>
      <c r="L1084" s="242"/>
      <c r="M1084" s="241"/>
      <c r="N1084" s="241"/>
      <c r="O1084" s="241"/>
      <c r="P1084" s="241"/>
      <c r="Q1084" s="241"/>
      <c r="R1084" s="241"/>
      <c r="S1084" s="241"/>
      <c r="T1084" s="241"/>
      <c r="U1084" s="241"/>
      <c r="V1084" s="241"/>
      <c r="W1084" s="241"/>
      <c r="X1084" s="242"/>
      <c r="Y1084" s="241"/>
      <c r="Z1084" s="241"/>
      <c r="AA1084" s="241"/>
      <c r="AB1084" s="241"/>
      <c r="AC1084" s="241"/>
      <c r="AD1084" s="241"/>
      <c r="AE1084" s="241"/>
      <c r="AF1084" s="241"/>
      <c r="AG1084" s="241"/>
      <c r="AH1084" s="241"/>
      <c r="AI1084" s="241"/>
      <c r="AJ1084" s="242"/>
    </row>
    <row r="1085" hidden="1">
      <c r="A1085" s="241"/>
      <c r="B1085" s="241"/>
      <c r="C1085" s="241"/>
      <c r="D1085" s="241"/>
      <c r="E1085" s="241"/>
      <c r="F1085" s="241"/>
      <c r="G1085" s="241"/>
      <c r="H1085" s="241"/>
      <c r="I1085" s="241"/>
      <c r="J1085" s="241"/>
      <c r="K1085" s="241"/>
      <c r="L1085" s="242"/>
      <c r="M1085" s="241"/>
      <c r="N1085" s="241"/>
      <c r="O1085" s="241"/>
      <c r="P1085" s="241"/>
      <c r="Q1085" s="241"/>
      <c r="R1085" s="241"/>
      <c r="S1085" s="241"/>
      <c r="T1085" s="241"/>
      <c r="U1085" s="241"/>
      <c r="V1085" s="241"/>
      <c r="W1085" s="241"/>
      <c r="X1085" s="242"/>
      <c r="Y1085" s="241"/>
      <c r="Z1085" s="241"/>
      <c r="AA1085" s="241"/>
      <c r="AB1085" s="241"/>
      <c r="AC1085" s="241"/>
      <c r="AD1085" s="241"/>
      <c r="AE1085" s="241"/>
      <c r="AF1085" s="241"/>
      <c r="AG1085" s="241"/>
      <c r="AH1085" s="241"/>
      <c r="AI1085" s="241"/>
      <c r="AJ1085" s="242"/>
    </row>
    <row r="1086" hidden="1">
      <c r="A1086" s="241"/>
      <c r="B1086" s="241"/>
      <c r="C1086" s="241"/>
      <c r="D1086" s="241"/>
      <c r="E1086" s="241"/>
      <c r="F1086" s="241"/>
      <c r="G1086" s="241"/>
      <c r="H1086" s="241"/>
      <c r="I1086" s="241"/>
      <c r="J1086" s="241"/>
      <c r="K1086" s="241"/>
      <c r="L1086" s="242"/>
      <c r="M1086" s="241"/>
      <c r="N1086" s="241"/>
      <c r="O1086" s="241"/>
      <c r="P1086" s="241"/>
      <c r="Q1086" s="241"/>
      <c r="R1086" s="241"/>
      <c r="S1086" s="241"/>
      <c r="T1086" s="241"/>
      <c r="U1086" s="241"/>
      <c r="V1086" s="241"/>
      <c r="W1086" s="241"/>
      <c r="X1086" s="242"/>
      <c r="Y1086" s="241"/>
      <c r="Z1086" s="241"/>
      <c r="AA1086" s="241"/>
      <c r="AB1086" s="241"/>
      <c r="AC1086" s="241"/>
      <c r="AD1086" s="241"/>
      <c r="AE1086" s="241"/>
      <c r="AF1086" s="241"/>
      <c r="AG1086" s="241"/>
      <c r="AH1086" s="241"/>
      <c r="AI1086" s="241"/>
      <c r="AJ1086" s="242"/>
    </row>
    <row r="1087" hidden="1">
      <c r="A1087" s="241"/>
      <c r="B1087" s="241"/>
      <c r="C1087" s="241"/>
      <c r="D1087" s="241"/>
      <c r="E1087" s="241"/>
      <c r="F1087" s="241"/>
      <c r="G1087" s="241"/>
      <c r="H1087" s="241"/>
      <c r="I1087" s="241"/>
      <c r="J1087" s="241"/>
      <c r="K1087" s="241"/>
      <c r="L1087" s="242"/>
      <c r="M1087" s="241"/>
      <c r="N1087" s="241"/>
      <c r="O1087" s="241"/>
      <c r="P1087" s="241"/>
      <c r="Q1087" s="241"/>
      <c r="R1087" s="241"/>
      <c r="S1087" s="241"/>
      <c r="T1087" s="241"/>
      <c r="U1087" s="241"/>
      <c r="V1087" s="241"/>
      <c r="W1087" s="241"/>
      <c r="X1087" s="242"/>
      <c r="Y1087" s="241"/>
      <c r="Z1087" s="241"/>
      <c r="AA1087" s="241"/>
      <c r="AB1087" s="241"/>
      <c r="AC1087" s="241"/>
      <c r="AD1087" s="241"/>
      <c r="AE1087" s="241"/>
      <c r="AF1087" s="241"/>
      <c r="AG1087" s="241"/>
      <c r="AH1087" s="241"/>
      <c r="AI1087" s="241"/>
      <c r="AJ1087" s="242"/>
    </row>
    <row r="1088" hidden="1">
      <c r="A1088" s="241"/>
      <c r="B1088" s="241"/>
      <c r="C1088" s="241"/>
      <c r="D1088" s="241"/>
      <c r="E1088" s="241"/>
      <c r="F1088" s="241"/>
      <c r="G1088" s="241"/>
      <c r="H1088" s="241"/>
      <c r="I1088" s="241"/>
      <c r="J1088" s="241"/>
      <c r="K1088" s="241"/>
      <c r="L1088" s="242"/>
      <c r="M1088" s="241"/>
      <c r="N1088" s="241"/>
      <c r="O1088" s="241"/>
      <c r="P1088" s="241"/>
      <c r="Q1088" s="241"/>
      <c r="R1088" s="241"/>
      <c r="S1088" s="241"/>
      <c r="T1088" s="241"/>
      <c r="U1088" s="241"/>
      <c r="V1088" s="241"/>
      <c r="W1088" s="241"/>
      <c r="X1088" s="242"/>
      <c r="Y1088" s="241"/>
      <c r="Z1088" s="241"/>
      <c r="AA1088" s="241"/>
      <c r="AB1088" s="241"/>
      <c r="AC1088" s="241"/>
      <c r="AD1088" s="241"/>
      <c r="AE1088" s="241"/>
      <c r="AF1088" s="241"/>
      <c r="AG1088" s="241"/>
      <c r="AH1088" s="241"/>
      <c r="AI1088" s="241"/>
      <c r="AJ1088" s="242"/>
    </row>
    <row r="1089" hidden="1">
      <c r="A1089" s="241"/>
      <c r="B1089" s="241"/>
      <c r="C1089" s="241"/>
      <c r="D1089" s="241"/>
      <c r="E1089" s="241"/>
      <c r="F1089" s="241"/>
      <c r="G1089" s="241"/>
      <c r="H1089" s="241"/>
      <c r="I1089" s="241"/>
      <c r="J1089" s="241"/>
      <c r="K1089" s="241"/>
      <c r="L1089" s="242"/>
      <c r="M1089" s="241"/>
      <c r="N1089" s="241"/>
      <c r="O1089" s="241"/>
      <c r="P1089" s="241"/>
      <c r="Q1089" s="241"/>
      <c r="R1089" s="241"/>
      <c r="S1089" s="241"/>
      <c r="T1089" s="241"/>
      <c r="U1089" s="241"/>
      <c r="V1089" s="241"/>
      <c r="W1089" s="241"/>
      <c r="X1089" s="242"/>
      <c r="Y1089" s="241"/>
      <c r="Z1089" s="241"/>
      <c r="AA1089" s="241"/>
      <c r="AB1089" s="241"/>
      <c r="AC1089" s="241"/>
      <c r="AD1089" s="241"/>
      <c r="AE1089" s="241"/>
      <c r="AF1089" s="241"/>
      <c r="AG1089" s="241"/>
      <c r="AH1089" s="241"/>
      <c r="AI1089" s="241"/>
      <c r="AJ1089" s="242"/>
    </row>
    <row r="1090" hidden="1">
      <c r="A1090" s="241"/>
      <c r="B1090" s="241"/>
      <c r="C1090" s="241"/>
      <c r="D1090" s="241"/>
      <c r="E1090" s="241"/>
      <c r="F1090" s="241"/>
      <c r="G1090" s="241"/>
      <c r="H1090" s="241"/>
      <c r="I1090" s="241"/>
      <c r="J1090" s="241"/>
      <c r="K1090" s="241"/>
      <c r="L1090" s="242"/>
      <c r="M1090" s="241"/>
      <c r="N1090" s="241"/>
      <c r="O1090" s="241"/>
      <c r="P1090" s="241"/>
      <c r="Q1090" s="241"/>
      <c r="R1090" s="241"/>
      <c r="S1090" s="241"/>
      <c r="T1090" s="241"/>
      <c r="U1090" s="241"/>
      <c r="V1090" s="241"/>
      <c r="W1090" s="241"/>
      <c r="X1090" s="242"/>
      <c r="Y1090" s="241"/>
      <c r="Z1090" s="241"/>
      <c r="AA1090" s="241"/>
      <c r="AB1090" s="241"/>
      <c r="AC1090" s="241"/>
      <c r="AD1090" s="241"/>
      <c r="AE1090" s="241"/>
      <c r="AF1090" s="241"/>
      <c r="AG1090" s="241"/>
      <c r="AH1090" s="241"/>
      <c r="AI1090" s="241"/>
      <c r="AJ1090" s="242"/>
    </row>
    <row r="1091" hidden="1">
      <c r="A1091" s="241"/>
      <c r="B1091" s="241"/>
      <c r="C1091" s="241"/>
      <c r="D1091" s="241"/>
      <c r="E1091" s="241"/>
      <c r="F1091" s="241"/>
      <c r="G1091" s="241"/>
      <c r="H1091" s="241"/>
      <c r="I1091" s="241"/>
      <c r="J1091" s="241"/>
      <c r="K1091" s="241"/>
      <c r="L1091" s="242"/>
      <c r="M1091" s="241"/>
      <c r="N1091" s="241"/>
      <c r="O1091" s="241"/>
      <c r="P1091" s="241"/>
      <c r="Q1091" s="241"/>
      <c r="R1091" s="241"/>
      <c r="S1091" s="241"/>
      <c r="T1091" s="241"/>
      <c r="U1091" s="241"/>
      <c r="V1091" s="241"/>
      <c r="W1091" s="241"/>
      <c r="X1091" s="242"/>
      <c r="Y1091" s="241"/>
      <c r="Z1091" s="241"/>
      <c r="AA1091" s="241"/>
      <c r="AB1091" s="241"/>
      <c r="AC1091" s="241"/>
      <c r="AD1091" s="241"/>
      <c r="AE1091" s="241"/>
      <c r="AF1091" s="241"/>
      <c r="AG1091" s="241"/>
      <c r="AH1091" s="241"/>
      <c r="AI1091" s="241"/>
      <c r="AJ1091" s="242"/>
    </row>
    <row r="1092" hidden="1">
      <c r="A1092" s="241"/>
      <c r="B1092" s="241"/>
      <c r="C1092" s="241"/>
      <c r="D1092" s="241"/>
      <c r="E1092" s="241"/>
      <c r="F1092" s="241"/>
      <c r="G1092" s="241"/>
      <c r="H1092" s="241"/>
      <c r="I1092" s="241"/>
      <c r="J1092" s="241"/>
      <c r="K1092" s="241"/>
      <c r="L1092" s="242"/>
      <c r="M1092" s="241"/>
      <c r="N1092" s="241"/>
      <c r="O1092" s="241"/>
      <c r="P1092" s="241"/>
      <c r="Q1092" s="241"/>
      <c r="R1092" s="241"/>
      <c r="S1092" s="241"/>
      <c r="T1092" s="241"/>
      <c r="U1092" s="241"/>
      <c r="V1092" s="241"/>
      <c r="W1092" s="241"/>
      <c r="X1092" s="242"/>
      <c r="Y1092" s="241"/>
      <c r="Z1092" s="241"/>
      <c r="AA1092" s="241"/>
      <c r="AB1092" s="241"/>
      <c r="AC1092" s="241"/>
      <c r="AD1092" s="241"/>
      <c r="AE1092" s="241"/>
      <c r="AF1092" s="241"/>
      <c r="AG1092" s="241"/>
      <c r="AH1092" s="241"/>
      <c r="AI1092" s="241"/>
      <c r="AJ1092" s="242"/>
    </row>
    <row r="1093" hidden="1">
      <c r="A1093" s="241"/>
      <c r="B1093" s="241"/>
      <c r="C1093" s="241"/>
      <c r="D1093" s="241"/>
      <c r="E1093" s="241"/>
      <c r="F1093" s="241"/>
      <c r="G1093" s="241"/>
      <c r="H1093" s="241"/>
      <c r="I1093" s="241"/>
      <c r="J1093" s="241"/>
      <c r="K1093" s="241"/>
      <c r="L1093" s="242"/>
      <c r="M1093" s="241"/>
      <c r="N1093" s="241"/>
      <c r="O1093" s="241"/>
      <c r="P1093" s="241"/>
      <c r="Q1093" s="241"/>
      <c r="R1093" s="241"/>
      <c r="S1093" s="241"/>
      <c r="T1093" s="241"/>
      <c r="U1093" s="241"/>
      <c r="V1093" s="241"/>
      <c r="W1093" s="241"/>
      <c r="X1093" s="242"/>
      <c r="Y1093" s="241"/>
      <c r="Z1093" s="241"/>
      <c r="AA1093" s="241"/>
      <c r="AB1093" s="241"/>
      <c r="AC1093" s="241"/>
      <c r="AD1093" s="241"/>
      <c r="AE1093" s="241"/>
      <c r="AF1093" s="241"/>
      <c r="AG1093" s="241"/>
      <c r="AH1093" s="241"/>
      <c r="AI1093" s="241"/>
      <c r="AJ1093" s="242"/>
    </row>
    <row r="1094" hidden="1">
      <c r="A1094" s="241"/>
      <c r="B1094" s="241"/>
      <c r="C1094" s="241"/>
      <c r="D1094" s="241"/>
      <c r="E1094" s="241"/>
      <c r="F1094" s="241"/>
      <c r="G1094" s="241"/>
      <c r="H1094" s="241"/>
      <c r="I1094" s="241"/>
      <c r="J1094" s="241"/>
      <c r="K1094" s="241"/>
      <c r="L1094" s="242"/>
      <c r="M1094" s="241"/>
      <c r="N1094" s="241"/>
      <c r="O1094" s="241"/>
      <c r="P1094" s="241"/>
      <c r="Q1094" s="241"/>
      <c r="R1094" s="241"/>
      <c r="S1094" s="241"/>
      <c r="T1094" s="241"/>
      <c r="U1094" s="241"/>
      <c r="V1094" s="241"/>
      <c r="W1094" s="241"/>
      <c r="X1094" s="242"/>
      <c r="Y1094" s="241"/>
      <c r="Z1094" s="241"/>
      <c r="AA1094" s="241"/>
      <c r="AB1094" s="241"/>
      <c r="AC1094" s="241"/>
      <c r="AD1094" s="241"/>
      <c r="AE1094" s="241"/>
      <c r="AF1094" s="241"/>
      <c r="AG1094" s="241"/>
      <c r="AH1094" s="241"/>
      <c r="AI1094" s="241"/>
      <c r="AJ1094" s="242"/>
    </row>
    <row r="1095" hidden="1">
      <c r="A1095" s="241"/>
      <c r="B1095" s="241"/>
      <c r="C1095" s="241"/>
      <c r="D1095" s="241"/>
      <c r="E1095" s="241"/>
      <c r="F1095" s="241"/>
      <c r="G1095" s="241"/>
      <c r="H1095" s="241"/>
      <c r="I1095" s="241"/>
      <c r="J1095" s="241"/>
      <c r="K1095" s="241"/>
      <c r="L1095" s="242"/>
      <c r="M1095" s="241"/>
      <c r="N1095" s="241"/>
      <c r="O1095" s="241"/>
      <c r="P1095" s="241"/>
      <c r="Q1095" s="241"/>
      <c r="R1095" s="241"/>
      <c r="S1095" s="241"/>
      <c r="T1095" s="241"/>
      <c r="U1095" s="241"/>
      <c r="V1095" s="241"/>
      <c r="W1095" s="241"/>
      <c r="X1095" s="242"/>
      <c r="Y1095" s="241"/>
      <c r="Z1095" s="241"/>
      <c r="AA1095" s="241"/>
      <c r="AB1095" s="241"/>
      <c r="AC1095" s="241"/>
      <c r="AD1095" s="241"/>
      <c r="AE1095" s="241"/>
      <c r="AF1095" s="241"/>
      <c r="AG1095" s="241"/>
      <c r="AH1095" s="241"/>
      <c r="AI1095" s="241"/>
      <c r="AJ1095" s="242"/>
    </row>
    <row r="1096" hidden="1">
      <c r="A1096" s="241"/>
      <c r="B1096" s="241"/>
      <c r="C1096" s="241"/>
      <c r="D1096" s="241"/>
      <c r="E1096" s="241"/>
      <c r="F1096" s="241"/>
      <c r="G1096" s="241"/>
      <c r="H1096" s="241"/>
      <c r="I1096" s="241"/>
      <c r="J1096" s="241"/>
      <c r="K1096" s="241"/>
      <c r="L1096" s="242"/>
      <c r="M1096" s="241"/>
      <c r="N1096" s="241"/>
      <c r="O1096" s="241"/>
      <c r="P1096" s="241"/>
      <c r="Q1096" s="241"/>
      <c r="R1096" s="241"/>
      <c r="S1096" s="241"/>
      <c r="T1096" s="241"/>
      <c r="U1096" s="241"/>
      <c r="V1096" s="241"/>
      <c r="W1096" s="241"/>
      <c r="X1096" s="242"/>
      <c r="Y1096" s="241"/>
      <c r="Z1096" s="241"/>
      <c r="AA1096" s="241"/>
      <c r="AB1096" s="241"/>
      <c r="AC1096" s="241"/>
      <c r="AD1096" s="241"/>
      <c r="AE1096" s="241"/>
      <c r="AF1096" s="241"/>
      <c r="AG1096" s="241"/>
      <c r="AH1096" s="241"/>
      <c r="AI1096" s="241"/>
      <c r="AJ1096" s="242"/>
    </row>
    <row r="1097" hidden="1">
      <c r="A1097" s="241"/>
      <c r="B1097" s="241"/>
      <c r="C1097" s="241"/>
      <c r="D1097" s="241"/>
      <c r="E1097" s="241"/>
      <c r="F1097" s="241"/>
      <c r="G1097" s="241"/>
      <c r="H1097" s="241"/>
      <c r="I1097" s="241"/>
      <c r="J1097" s="241"/>
      <c r="K1097" s="241"/>
      <c r="L1097" s="242"/>
      <c r="M1097" s="241"/>
      <c r="N1097" s="241"/>
      <c r="O1097" s="241"/>
      <c r="P1097" s="241"/>
      <c r="Q1097" s="241"/>
      <c r="R1097" s="241"/>
      <c r="S1097" s="241"/>
      <c r="T1097" s="241"/>
      <c r="U1097" s="241"/>
      <c r="V1097" s="241"/>
      <c r="W1097" s="241"/>
      <c r="X1097" s="242"/>
      <c r="Y1097" s="241"/>
      <c r="Z1097" s="241"/>
      <c r="AA1097" s="241"/>
      <c r="AB1097" s="241"/>
      <c r="AC1097" s="241"/>
      <c r="AD1097" s="241"/>
      <c r="AE1097" s="241"/>
      <c r="AF1097" s="241"/>
      <c r="AG1097" s="241"/>
      <c r="AH1097" s="241"/>
      <c r="AI1097" s="241"/>
      <c r="AJ1097" s="242"/>
    </row>
    <row r="1098" hidden="1">
      <c r="A1098" s="241"/>
      <c r="B1098" s="241"/>
      <c r="C1098" s="241"/>
      <c r="D1098" s="241"/>
      <c r="E1098" s="241"/>
      <c r="F1098" s="241"/>
      <c r="G1098" s="241"/>
      <c r="H1098" s="241"/>
      <c r="I1098" s="241"/>
      <c r="J1098" s="241"/>
      <c r="K1098" s="241"/>
      <c r="L1098" s="242"/>
      <c r="M1098" s="241"/>
      <c r="N1098" s="241"/>
      <c r="O1098" s="241"/>
      <c r="P1098" s="241"/>
      <c r="Q1098" s="241"/>
      <c r="R1098" s="241"/>
      <c r="S1098" s="241"/>
      <c r="T1098" s="241"/>
      <c r="U1098" s="241"/>
      <c r="V1098" s="241"/>
      <c r="W1098" s="241"/>
      <c r="X1098" s="242"/>
      <c r="Y1098" s="241"/>
      <c r="Z1098" s="241"/>
      <c r="AA1098" s="241"/>
      <c r="AB1098" s="241"/>
      <c r="AC1098" s="241"/>
      <c r="AD1098" s="241"/>
      <c r="AE1098" s="241"/>
      <c r="AF1098" s="241"/>
      <c r="AG1098" s="241"/>
      <c r="AH1098" s="241"/>
      <c r="AI1098" s="241"/>
      <c r="AJ1098" s="242"/>
    </row>
    <row r="1099" hidden="1">
      <c r="A1099" s="241"/>
      <c r="B1099" s="241"/>
      <c r="C1099" s="241"/>
      <c r="D1099" s="241"/>
      <c r="E1099" s="241"/>
      <c r="F1099" s="241"/>
      <c r="G1099" s="241"/>
      <c r="H1099" s="241"/>
      <c r="I1099" s="241"/>
      <c r="J1099" s="241"/>
      <c r="K1099" s="241"/>
      <c r="L1099" s="242"/>
      <c r="M1099" s="241"/>
      <c r="N1099" s="241"/>
      <c r="O1099" s="241"/>
      <c r="P1099" s="241"/>
      <c r="Q1099" s="241"/>
      <c r="R1099" s="241"/>
      <c r="S1099" s="241"/>
      <c r="T1099" s="241"/>
      <c r="U1099" s="241"/>
      <c r="V1099" s="241"/>
      <c r="W1099" s="241"/>
      <c r="X1099" s="242"/>
      <c r="Y1099" s="241"/>
      <c r="Z1099" s="241"/>
      <c r="AA1099" s="241"/>
      <c r="AB1099" s="241"/>
      <c r="AC1099" s="241"/>
      <c r="AD1099" s="241"/>
      <c r="AE1099" s="241"/>
      <c r="AF1099" s="241"/>
      <c r="AG1099" s="241"/>
      <c r="AH1099" s="241"/>
      <c r="AI1099" s="241"/>
      <c r="AJ1099" s="242"/>
    </row>
    <row r="1100" hidden="1">
      <c r="A1100" s="241"/>
      <c r="B1100" s="241"/>
      <c r="C1100" s="241"/>
      <c r="D1100" s="241"/>
      <c r="E1100" s="241"/>
      <c r="F1100" s="241"/>
      <c r="G1100" s="241"/>
      <c r="H1100" s="241"/>
      <c r="I1100" s="241"/>
      <c r="J1100" s="241"/>
      <c r="K1100" s="241"/>
      <c r="L1100" s="242"/>
      <c r="M1100" s="241"/>
      <c r="N1100" s="241"/>
      <c r="O1100" s="241"/>
      <c r="P1100" s="241"/>
      <c r="Q1100" s="241"/>
      <c r="R1100" s="241"/>
      <c r="S1100" s="241"/>
      <c r="T1100" s="241"/>
      <c r="U1100" s="241"/>
      <c r="V1100" s="241"/>
      <c r="W1100" s="241"/>
      <c r="X1100" s="242"/>
      <c r="Y1100" s="241"/>
      <c r="Z1100" s="241"/>
      <c r="AA1100" s="241"/>
      <c r="AB1100" s="241"/>
      <c r="AC1100" s="241"/>
      <c r="AD1100" s="241"/>
      <c r="AE1100" s="241"/>
      <c r="AF1100" s="241"/>
      <c r="AG1100" s="241"/>
      <c r="AH1100" s="241"/>
      <c r="AI1100" s="241"/>
      <c r="AJ1100" s="242"/>
    </row>
    <row r="1101" hidden="1">
      <c r="A1101" s="241"/>
      <c r="B1101" s="241"/>
      <c r="C1101" s="241"/>
      <c r="D1101" s="241"/>
      <c r="E1101" s="241"/>
      <c r="F1101" s="241"/>
      <c r="G1101" s="241"/>
      <c r="H1101" s="241"/>
      <c r="I1101" s="241"/>
      <c r="J1101" s="241"/>
      <c r="K1101" s="241"/>
      <c r="L1101" s="242"/>
      <c r="M1101" s="241"/>
      <c r="N1101" s="241"/>
      <c r="O1101" s="241"/>
      <c r="P1101" s="241"/>
      <c r="Q1101" s="241"/>
      <c r="R1101" s="241"/>
      <c r="S1101" s="241"/>
      <c r="T1101" s="241"/>
      <c r="U1101" s="241"/>
      <c r="V1101" s="241"/>
      <c r="W1101" s="241"/>
      <c r="X1101" s="242"/>
      <c r="Y1101" s="241"/>
      <c r="Z1101" s="241"/>
      <c r="AA1101" s="241"/>
      <c r="AB1101" s="241"/>
      <c r="AC1101" s="241"/>
      <c r="AD1101" s="241"/>
      <c r="AE1101" s="241"/>
      <c r="AF1101" s="241"/>
      <c r="AG1101" s="241"/>
      <c r="AH1101" s="241"/>
      <c r="AI1101" s="241"/>
      <c r="AJ1101" s="242"/>
    </row>
    <row r="1102" hidden="1">
      <c r="A1102" s="241"/>
      <c r="B1102" s="241"/>
      <c r="C1102" s="241"/>
      <c r="D1102" s="241"/>
      <c r="E1102" s="241"/>
      <c r="F1102" s="241"/>
      <c r="G1102" s="241"/>
      <c r="H1102" s="241"/>
      <c r="I1102" s="241"/>
      <c r="J1102" s="241"/>
      <c r="K1102" s="241"/>
      <c r="L1102" s="242"/>
      <c r="M1102" s="241"/>
      <c r="N1102" s="241"/>
      <c r="O1102" s="241"/>
      <c r="P1102" s="241"/>
      <c r="Q1102" s="241"/>
      <c r="R1102" s="241"/>
      <c r="S1102" s="241"/>
      <c r="T1102" s="241"/>
      <c r="U1102" s="241"/>
      <c r="V1102" s="241"/>
      <c r="W1102" s="241"/>
      <c r="X1102" s="242"/>
      <c r="Y1102" s="241"/>
      <c r="Z1102" s="241"/>
      <c r="AA1102" s="241"/>
      <c r="AB1102" s="241"/>
      <c r="AC1102" s="241"/>
      <c r="AD1102" s="241"/>
      <c r="AE1102" s="241"/>
      <c r="AF1102" s="241"/>
      <c r="AG1102" s="241"/>
      <c r="AH1102" s="241"/>
      <c r="AI1102" s="241"/>
      <c r="AJ1102" s="242"/>
    </row>
    <row r="1103" hidden="1">
      <c r="A1103" s="241"/>
      <c r="B1103" s="241"/>
      <c r="C1103" s="241"/>
      <c r="D1103" s="241"/>
      <c r="E1103" s="241"/>
      <c r="F1103" s="241"/>
      <c r="G1103" s="241"/>
      <c r="H1103" s="241"/>
      <c r="I1103" s="241"/>
      <c r="J1103" s="241"/>
      <c r="K1103" s="241"/>
      <c r="L1103" s="242"/>
      <c r="M1103" s="241"/>
      <c r="N1103" s="241"/>
      <c r="O1103" s="241"/>
      <c r="P1103" s="241"/>
      <c r="Q1103" s="241"/>
      <c r="R1103" s="241"/>
      <c r="S1103" s="241"/>
      <c r="T1103" s="241"/>
      <c r="U1103" s="241"/>
      <c r="V1103" s="241"/>
      <c r="W1103" s="241"/>
      <c r="X1103" s="242"/>
      <c r="Y1103" s="241"/>
      <c r="Z1103" s="241"/>
      <c r="AA1103" s="241"/>
      <c r="AB1103" s="241"/>
      <c r="AC1103" s="241"/>
      <c r="AD1103" s="241"/>
      <c r="AE1103" s="241"/>
      <c r="AF1103" s="241"/>
      <c r="AG1103" s="241"/>
      <c r="AH1103" s="241"/>
      <c r="AI1103" s="241"/>
      <c r="AJ1103" s="242"/>
    </row>
    <row r="1104" hidden="1">
      <c r="A1104" s="241"/>
      <c r="B1104" s="241"/>
      <c r="C1104" s="241"/>
      <c r="D1104" s="241"/>
      <c r="E1104" s="241"/>
      <c r="F1104" s="241"/>
      <c r="G1104" s="241"/>
      <c r="H1104" s="241"/>
      <c r="I1104" s="241"/>
      <c r="J1104" s="241"/>
      <c r="K1104" s="241"/>
      <c r="L1104" s="242"/>
      <c r="M1104" s="241"/>
      <c r="N1104" s="241"/>
      <c r="O1104" s="241"/>
      <c r="P1104" s="241"/>
      <c r="Q1104" s="241"/>
      <c r="R1104" s="241"/>
      <c r="S1104" s="241"/>
      <c r="T1104" s="241"/>
      <c r="U1104" s="241"/>
      <c r="V1104" s="241"/>
      <c r="W1104" s="241"/>
      <c r="X1104" s="242"/>
      <c r="Y1104" s="241"/>
      <c r="Z1104" s="241"/>
      <c r="AA1104" s="241"/>
      <c r="AB1104" s="241"/>
      <c r="AC1104" s="241"/>
      <c r="AD1104" s="241"/>
      <c r="AE1104" s="241"/>
      <c r="AF1104" s="241"/>
      <c r="AG1104" s="241"/>
      <c r="AH1104" s="241"/>
      <c r="AI1104" s="241"/>
      <c r="AJ1104" s="242"/>
    </row>
    <row r="1105" hidden="1">
      <c r="A1105" s="241"/>
      <c r="B1105" s="241"/>
      <c r="C1105" s="241"/>
      <c r="D1105" s="241"/>
      <c r="E1105" s="241"/>
      <c r="F1105" s="241"/>
      <c r="G1105" s="241"/>
      <c r="H1105" s="241"/>
      <c r="I1105" s="241"/>
      <c r="J1105" s="241"/>
      <c r="K1105" s="241"/>
      <c r="L1105" s="242"/>
      <c r="M1105" s="241"/>
      <c r="N1105" s="241"/>
      <c r="O1105" s="241"/>
      <c r="P1105" s="241"/>
      <c r="Q1105" s="241"/>
      <c r="R1105" s="241"/>
      <c r="S1105" s="241"/>
      <c r="T1105" s="241"/>
      <c r="U1105" s="241"/>
      <c r="V1105" s="241"/>
      <c r="W1105" s="241"/>
      <c r="X1105" s="242"/>
      <c r="Y1105" s="241"/>
      <c r="Z1105" s="241"/>
      <c r="AA1105" s="241"/>
      <c r="AB1105" s="241"/>
      <c r="AC1105" s="241"/>
      <c r="AD1105" s="241"/>
      <c r="AE1105" s="241"/>
      <c r="AF1105" s="241"/>
      <c r="AG1105" s="241"/>
      <c r="AH1105" s="241"/>
      <c r="AI1105" s="241"/>
      <c r="AJ1105" s="242"/>
    </row>
    <row r="1106" hidden="1">
      <c r="A1106" s="241"/>
      <c r="B1106" s="241"/>
      <c r="C1106" s="241"/>
      <c r="D1106" s="241"/>
      <c r="E1106" s="241"/>
      <c r="F1106" s="241"/>
      <c r="G1106" s="241"/>
      <c r="H1106" s="241"/>
      <c r="I1106" s="241"/>
      <c r="J1106" s="241"/>
      <c r="K1106" s="241"/>
      <c r="L1106" s="242"/>
      <c r="M1106" s="241"/>
      <c r="N1106" s="241"/>
      <c r="O1106" s="241"/>
      <c r="P1106" s="241"/>
      <c r="Q1106" s="241"/>
      <c r="R1106" s="241"/>
      <c r="S1106" s="241"/>
      <c r="T1106" s="241"/>
      <c r="U1106" s="241"/>
      <c r="V1106" s="241"/>
      <c r="W1106" s="241"/>
      <c r="X1106" s="242"/>
      <c r="Y1106" s="241"/>
      <c r="Z1106" s="241"/>
      <c r="AA1106" s="241"/>
      <c r="AB1106" s="241"/>
      <c r="AC1106" s="241"/>
      <c r="AD1106" s="241"/>
      <c r="AE1106" s="241"/>
      <c r="AF1106" s="241"/>
      <c r="AG1106" s="241"/>
      <c r="AH1106" s="241"/>
      <c r="AI1106" s="241"/>
      <c r="AJ1106" s="242"/>
    </row>
    <row r="1107" hidden="1">
      <c r="A1107" s="241"/>
      <c r="B1107" s="241"/>
      <c r="C1107" s="241"/>
      <c r="D1107" s="241"/>
      <c r="E1107" s="241"/>
      <c r="F1107" s="241"/>
      <c r="G1107" s="241"/>
      <c r="H1107" s="241"/>
      <c r="I1107" s="241"/>
      <c r="J1107" s="241"/>
      <c r="K1107" s="241"/>
      <c r="L1107" s="242"/>
      <c r="M1107" s="241"/>
      <c r="N1107" s="241"/>
      <c r="O1107" s="241"/>
      <c r="P1107" s="241"/>
      <c r="Q1107" s="241"/>
      <c r="R1107" s="241"/>
      <c r="S1107" s="241"/>
      <c r="T1107" s="241"/>
      <c r="U1107" s="241"/>
      <c r="V1107" s="241"/>
      <c r="W1107" s="241"/>
      <c r="X1107" s="242"/>
      <c r="Y1107" s="241"/>
      <c r="Z1107" s="241"/>
      <c r="AA1107" s="241"/>
      <c r="AB1107" s="241"/>
      <c r="AC1107" s="241"/>
      <c r="AD1107" s="241"/>
      <c r="AE1107" s="241"/>
      <c r="AF1107" s="241"/>
      <c r="AG1107" s="241"/>
      <c r="AH1107" s="241"/>
      <c r="AI1107" s="241"/>
      <c r="AJ1107" s="242"/>
    </row>
    <row r="1108" hidden="1">
      <c r="A1108" s="241"/>
      <c r="B1108" s="241"/>
      <c r="C1108" s="241"/>
      <c r="D1108" s="241"/>
      <c r="E1108" s="241"/>
      <c r="F1108" s="241"/>
      <c r="G1108" s="241"/>
      <c r="H1108" s="241"/>
      <c r="I1108" s="241"/>
      <c r="J1108" s="241"/>
      <c r="K1108" s="241"/>
      <c r="L1108" s="242"/>
      <c r="M1108" s="241"/>
      <c r="N1108" s="241"/>
      <c r="O1108" s="241"/>
      <c r="P1108" s="241"/>
      <c r="Q1108" s="241"/>
      <c r="R1108" s="241"/>
      <c r="S1108" s="241"/>
      <c r="T1108" s="241"/>
      <c r="U1108" s="241"/>
      <c r="V1108" s="241"/>
      <c r="W1108" s="241"/>
      <c r="X1108" s="242"/>
      <c r="Y1108" s="241"/>
      <c r="Z1108" s="241"/>
      <c r="AA1108" s="241"/>
      <c r="AB1108" s="241"/>
      <c r="AC1108" s="241"/>
      <c r="AD1108" s="241"/>
      <c r="AE1108" s="241"/>
      <c r="AF1108" s="241"/>
      <c r="AG1108" s="241"/>
      <c r="AH1108" s="241"/>
      <c r="AI1108" s="241"/>
      <c r="AJ1108" s="242"/>
    </row>
    <row r="1109" hidden="1">
      <c r="A1109" s="241"/>
      <c r="B1109" s="241"/>
      <c r="C1109" s="241"/>
      <c r="D1109" s="241"/>
      <c r="E1109" s="241"/>
      <c r="F1109" s="241"/>
      <c r="G1109" s="241"/>
      <c r="H1109" s="241"/>
      <c r="I1109" s="241"/>
      <c r="J1109" s="241"/>
      <c r="K1109" s="241"/>
      <c r="L1109" s="242"/>
      <c r="M1109" s="241"/>
      <c r="N1109" s="241"/>
      <c r="O1109" s="241"/>
      <c r="P1109" s="241"/>
      <c r="Q1109" s="241"/>
      <c r="R1109" s="241"/>
      <c r="S1109" s="241"/>
      <c r="T1109" s="241"/>
      <c r="U1109" s="241"/>
      <c r="V1109" s="241"/>
      <c r="W1109" s="241"/>
      <c r="X1109" s="242"/>
      <c r="Y1109" s="241"/>
      <c r="Z1109" s="241"/>
      <c r="AA1109" s="241"/>
      <c r="AB1109" s="241"/>
      <c r="AC1109" s="241"/>
      <c r="AD1109" s="241"/>
      <c r="AE1109" s="241"/>
      <c r="AF1109" s="241"/>
      <c r="AG1109" s="241"/>
      <c r="AH1109" s="241"/>
      <c r="AI1109" s="241"/>
      <c r="AJ1109" s="242"/>
    </row>
    <row r="1110" hidden="1">
      <c r="A1110" s="241"/>
      <c r="B1110" s="241"/>
      <c r="C1110" s="241"/>
      <c r="D1110" s="241"/>
      <c r="E1110" s="241"/>
      <c r="F1110" s="241"/>
      <c r="G1110" s="241"/>
      <c r="H1110" s="241"/>
      <c r="I1110" s="241"/>
      <c r="J1110" s="241"/>
      <c r="K1110" s="241"/>
      <c r="L1110" s="242"/>
      <c r="M1110" s="241"/>
      <c r="N1110" s="241"/>
      <c r="O1110" s="241"/>
      <c r="P1110" s="241"/>
      <c r="Q1110" s="241"/>
      <c r="R1110" s="241"/>
      <c r="S1110" s="241"/>
      <c r="T1110" s="241"/>
      <c r="U1110" s="241"/>
      <c r="V1110" s="241"/>
      <c r="W1110" s="241"/>
      <c r="X1110" s="242"/>
      <c r="Y1110" s="241"/>
      <c r="Z1110" s="241"/>
      <c r="AA1110" s="241"/>
      <c r="AB1110" s="241"/>
      <c r="AC1110" s="241"/>
      <c r="AD1110" s="241"/>
      <c r="AE1110" s="241"/>
      <c r="AF1110" s="241"/>
      <c r="AG1110" s="241"/>
      <c r="AH1110" s="241"/>
      <c r="AI1110" s="241"/>
      <c r="AJ1110" s="242"/>
    </row>
    <row r="1111" hidden="1">
      <c r="A1111" s="241"/>
      <c r="B1111" s="241"/>
      <c r="C1111" s="241"/>
      <c r="D1111" s="241"/>
      <c r="E1111" s="241"/>
      <c r="F1111" s="241"/>
      <c r="G1111" s="241"/>
      <c r="H1111" s="241"/>
      <c r="I1111" s="241"/>
      <c r="J1111" s="241"/>
      <c r="K1111" s="241"/>
      <c r="L1111" s="242"/>
      <c r="M1111" s="241"/>
      <c r="N1111" s="241"/>
      <c r="O1111" s="241"/>
      <c r="P1111" s="241"/>
      <c r="Q1111" s="241"/>
      <c r="R1111" s="241"/>
      <c r="S1111" s="241"/>
      <c r="T1111" s="241"/>
      <c r="U1111" s="241"/>
      <c r="V1111" s="241"/>
      <c r="W1111" s="241"/>
      <c r="X1111" s="242"/>
      <c r="Y1111" s="241"/>
      <c r="Z1111" s="241"/>
      <c r="AA1111" s="241"/>
      <c r="AB1111" s="241"/>
      <c r="AC1111" s="241"/>
      <c r="AD1111" s="241"/>
      <c r="AE1111" s="241"/>
      <c r="AF1111" s="241"/>
      <c r="AG1111" s="241"/>
      <c r="AH1111" s="241"/>
      <c r="AI1111" s="241"/>
      <c r="AJ1111" s="242"/>
    </row>
    <row r="1112" hidden="1">
      <c r="A1112" s="241"/>
      <c r="B1112" s="241"/>
      <c r="C1112" s="241"/>
      <c r="D1112" s="241"/>
      <c r="E1112" s="241"/>
      <c r="F1112" s="241"/>
      <c r="G1112" s="241"/>
      <c r="H1112" s="241"/>
      <c r="I1112" s="241"/>
      <c r="J1112" s="241"/>
      <c r="K1112" s="241"/>
      <c r="L1112" s="242"/>
      <c r="M1112" s="241"/>
      <c r="N1112" s="241"/>
      <c r="O1112" s="241"/>
      <c r="P1112" s="241"/>
      <c r="Q1112" s="241"/>
      <c r="R1112" s="241"/>
      <c r="S1112" s="241"/>
      <c r="T1112" s="241"/>
      <c r="U1112" s="241"/>
      <c r="V1112" s="241"/>
      <c r="W1112" s="241"/>
      <c r="X1112" s="242"/>
      <c r="Y1112" s="241"/>
      <c r="Z1112" s="241"/>
      <c r="AA1112" s="241"/>
      <c r="AB1112" s="241"/>
      <c r="AC1112" s="241"/>
      <c r="AD1112" s="241"/>
      <c r="AE1112" s="241"/>
      <c r="AF1112" s="241"/>
      <c r="AG1112" s="241"/>
      <c r="AH1112" s="241"/>
      <c r="AI1112" s="241"/>
      <c r="AJ1112" s="242"/>
    </row>
    <row r="1113" hidden="1">
      <c r="A1113" s="241"/>
      <c r="B1113" s="241"/>
      <c r="C1113" s="241"/>
      <c r="D1113" s="241"/>
      <c r="E1113" s="241"/>
      <c r="F1113" s="241"/>
      <c r="G1113" s="241"/>
      <c r="H1113" s="241"/>
      <c r="I1113" s="241"/>
      <c r="J1113" s="241"/>
      <c r="K1113" s="241"/>
      <c r="L1113" s="242"/>
      <c r="M1113" s="241"/>
      <c r="N1113" s="241"/>
      <c r="O1113" s="241"/>
      <c r="P1113" s="241"/>
      <c r="Q1113" s="241"/>
      <c r="R1113" s="241"/>
      <c r="S1113" s="241"/>
      <c r="T1113" s="241"/>
      <c r="U1113" s="241"/>
      <c r="V1113" s="241"/>
      <c r="W1113" s="241"/>
      <c r="X1113" s="242"/>
      <c r="Y1113" s="241"/>
      <c r="Z1113" s="241"/>
      <c r="AA1113" s="241"/>
      <c r="AB1113" s="241"/>
      <c r="AC1113" s="241"/>
      <c r="AD1113" s="241"/>
      <c r="AE1113" s="241"/>
      <c r="AF1113" s="241"/>
      <c r="AG1113" s="241"/>
      <c r="AH1113" s="241"/>
      <c r="AI1113" s="241"/>
      <c r="AJ1113" s="242"/>
    </row>
    <row r="1114" hidden="1">
      <c r="A1114" s="241"/>
      <c r="B1114" s="241"/>
      <c r="C1114" s="241"/>
      <c r="D1114" s="241"/>
      <c r="E1114" s="241"/>
      <c r="F1114" s="241"/>
      <c r="G1114" s="241"/>
      <c r="H1114" s="241"/>
      <c r="I1114" s="241"/>
      <c r="J1114" s="241"/>
      <c r="K1114" s="241"/>
      <c r="L1114" s="242"/>
      <c r="M1114" s="241"/>
      <c r="N1114" s="241"/>
      <c r="O1114" s="241"/>
      <c r="P1114" s="241"/>
      <c r="Q1114" s="241"/>
      <c r="R1114" s="241"/>
      <c r="S1114" s="241"/>
      <c r="T1114" s="241"/>
      <c r="U1114" s="241"/>
      <c r="V1114" s="241"/>
      <c r="W1114" s="241"/>
      <c r="X1114" s="242"/>
      <c r="Y1114" s="241"/>
      <c r="Z1114" s="241"/>
      <c r="AA1114" s="241"/>
      <c r="AB1114" s="241"/>
      <c r="AC1114" s="241"/>
      <c r="AD1114" s="241"/>
      <c r="AE1114" s="241"/>
      <c r="AF1114" s="241"/>
      <c r="AG1114" s="241"/>
      <c r="AH1114" s="241"/>
      <c r="AI1114" s="241"/>
      <c r="AJ1114" s="242"/>
    </row>
    <row r="1115" hidden="1">
      <c r="A1115" s="241"/>
      <c r="B1115" s="241"/>
      <c r="C1115" s="241"/>
      <c r="D1115" s="241"/>
      <c r="E1115" s="241"/>
      <c r="F1115" s="241"/>
      <c r="G1115" s="241"/>
      <c r="H1115" s="241"/>
      <c r="I1115" s="241"/>
      <c r="J1115" s="241"/>
      <c r="K1115" s="241"/>
      <c r="L1115" s="242"/>
      <c r="M1115" s="241"/>
      <c r="N1115" s="241"/>
      <c r="O1115" s="241"/>
      <c r="P1115" s="241"/>
      <c r="Q1115" s="241"/>
      <c r="R1115" s="241"/>
      <c r="S1115" s="241"/>
      <c r="T1115" s="241"/>
      <c r="U1115" s="241"/>
      <c r="V1115" s="241"/>
      <c r="W1115" s="241"/>
      <c r="X1115" s="242"/>
      <c r="Y1115" s="241"/>
      <c r="Z1115" s="241"/>
      <c r="AA1115" s="241"/>
      <c r="AB1115" s="241"/>
      <c r="AC1115" s="241"/>
      <c r="AD1115" s="241"/>
      <c r="AE1115" s="241"/>
      <c r="AF1115" s="241"/>
      <c r="AG1115" s="241"/>
      <c r="AH1115" s="241"/>
      <c r="AI1115" s="241"/>
      <c r="AJ1115" s="242"/>
    </row>
    <row r="1116" hidden="1">
      <c r="A1116" s="241"/>
      <c r="B1116" s="241"/>
      <c r="C1116" s="241"/>
      <c r="D1116" s="241"/>
      <c r="E1116" s="241"/>
      <c r="F1116" s="241"/>
      <c r="G1116" s="241"/>
      <c r="H1116" s="241"/>
      <c r="I1116" s="241"/>
      <c r="J1116" s="241"/>
      <c r="K1116" s="241"/>
      <c r="L1116" s="242"/>
      <c r="M1116" s="241"/>
      <c r="N1116" s="241"/>
      <c r="O1116" s="241"/>
      <c r="P1116" s="241"/>
      <c r="Q1116" s="241"/>
      <c r="R1116" s="241"/>
      <c r="S1116" s="241"/>
      <c r="T1116" s="241"/>
      <c r="U1116" s="241"/>
      <c r="V1116" s="241"/>
      <c r="W1116" s="241"/>
      <c r="X1116" s="242"/>
      <c r="Y1116" s="241"/>
      <c r="Z1116" s="241"/>
      <c r="AA1116" s="241"/>
      <c r="AB1116" s="241"/>
      <c r="AC1116" s="241"/>
      <c r="AD1116" s="241"/>
      <c r="AE1116" s="241"/>
      <c r="AF1116" s="241"/>
      <c r="AG1116" s="241"/>
      <c r="AH1116" s="241"/>
      <c r="AI1116" s="241"/>
      <c r="AJ1116" s="242"/>
    </row>
    <row r="1117" hidden="1">
      <c r="A1117" s="241"/>
      <c r="B1117" s="241"/>
      <c r="C1117" s="241"/>
      <c r="D1117" s="241"/>
      <c r="E1117" s="241"/>
      <c r="F1117" s="241"/>
      <c r="G1117" s="241"/>
      <c r="H1117" s="241"/>
      <c r="I1117" s="241"/>
      <c r="J1117" s="241"/>
      <c r="K1117" s="241"/>
      <c r="L1117" s="242"/>
      <c r="M1117" s="241"/>
      <c r="N1117" s="241"/>
      <c r="O1117" s="241"/>
      <c r="P1117" s="241"/>
      <c r="Q1117" s="241"/>
      <c r="R1117" s="241"/>
      <c r="S1117" s="241"/>
      <c r="T1117" s="241"/>
      <c r="U1117" s="241"/>
      <c r="V1117" s="241"/>
      <c r="W1117" s="241"/>
      <c r="X1117" s="242"/>
      <c r="Y1117" s="241"/>
      <c r="Z1117" s="241"/>
      <c r="AA1117" s="241"/>
      <c r="AB1117" s="241"/>
      <c r="AC1117" s="241"/>
      <c r="AD1117" s="241"/>
      <c r="AE1117" s="241"/>
      <c r="AF1117" s="241"/>
      <c r="AG1117" s="241"/>
      <c r="AH1117" s="241"/>
      <c r="AI1117" s="241"/>
      <c r="AJ1117" s="242"/>
    </row>
    <row r="1118" hidden="1">
      <c r="A1118" s="241"/>
      <c r="B1118" s="241"/>
      <c r="C1118" s="241"/>
      <c r="D1118" s="241"/>
      <c r="E1118" s="241"/>
      <c r="F1118" s="241"/>
      <c r="G1118" s="241"/>
      <c r="H1118" s="241"/>
      <c r="I1118" s="241"/>
      <c r="J1118" s="241"/>
      <c r="K1118" s="241"/>
      <c r="L1118" s="242"/>
      <c r="M1118" s="241"/>
      <c r="N1118" s="241"/>
      <c r="O1118" s="241"/>
      <c r="P1118" s="241"/>
      <c r="Q1118" s="241"/>
      <c r="R1118" s="241"/>
      <c r="S1118" s="241"/>
      <c r="T1118" s="241"/>
      <c r="U1118" s="241"/>
      <c r="V1118" s="241"/>
      <c r="W1118" s="241"/>
      <c r="X1118" s="242"/>
      <c r="Y1118" s="241"/>
      <c r="Z1118" s="241"/>
      <c r="AA1118" s="241"/>
      <c r="AB1118" s="241"/>
      <c r="AC1118" s="241"/>
      <c r="AD1118" s="241"/>
      <c r="AE1118" s="241"/>
      <c r="AF1118" s="241"/>
      <c r="AG1118" s="241"/>
      <c r="AH1118" s="241"/>
      <c r="AI1118" s="241"/>
      <c r="AJ1118" s="242"/>
    </row>
    <row r="1119" hidden="1">
      <c r="A1119" s="241"/>
      <c r="B1119" s="241"/>
      <c r="C1119" s="241"/>
      <c r="D1119" s="241"/>
      <c r="E1119" s="241"/>
      <c r="F1119" s="241"/>
      <c r="G1119" s="241"/>
      <c r="H1119" s="241"/>
      <c r="I1119" s="241"/>
      <c r="J1119" s="241"/>
      <c r="K1119" s="241"/>
      <c r="L1119" s="242"/>
      <c r="M1119" s="241"/>
      <c r="N1119" s="241"/>
      <c r="O1119" s="241"/>
      <c r="P1119" s="241"/>
      <c r="Q1119" s="241"/>
      <c r="R1119" s="241"/>
      <c r="S1119" s="241"/>
      <c r="T1119" s="241"/>
      <c r="U1119" s="241"/>
      <c r="V1119" s="241"/>
      <c r="W1119" s="241"/>
      <c r="X1119" s="242"/>
      <c r="Y1119" s="241"/>
      <c r="Z1119" s="241"/>
      <c r="AA1119" s="241"/>
      <c r="AB1119" s="241"/>
      <c r="AC1119" s="241"/>
      <c r="AD1119" s="241"/>
      <c r="AE1119" s="241"/>
      <c r="AF1119" s="241"/>
      <c r="AG1119" s="241"/>
      <c r="AH1119" s="241"/>
      <c r="AI1119" s="241"/>
      <c r="AJ1119" s="242"/>
    </row>
    <row r="1120" hidden="1">
      <c r="A1120" s="241"/>
      <c r="B1120" s="241"/>
      <c r="C1120" s="241"/>
      <c r="D1120" s="241"/>
      <c r="E1120" s="241"/>
      <c r="F1120" s="241"/>
      <c r="G1120" s="241"/>
      <c r="H1120" s="241"/>
      <c r="I1120" s="241"/>
      <c r="J1120" s="241"/>
      <c r="K1120" s="241"/>
      <c r="L1120" s="242"/>
      <c r="M1120" s="241"/>
      <c r="N1120" s="241"/>
      <c r="O1120" s="241"/>
      <c r="P1120" s="241"/>
      <c r="Q1120" s="241"/>
      <c r="R1120" s="241"/>
      <c r="S1120" s="241"/>
      <c r="T1120" s="241"/>
      <c r="U1120" s="241"/>
      <c r="V1120" s="241"/>
      <c r="W1120" s="241"/>
      <c r="X1120" s="242"/>
      <c r="Y1120" s="241"/>
      <c r="Z1120" s="241"/>
      <c r="AA1120" s="241"/>
      <c r="AB1120" s="241"/>
      <c r="AC1120" s="241"/>
      <c r="AD1120" s="241"/>
      <c r="AE1120" s="241"/>
      <c r="AF1120" s="241"/>
      <c r="AG1120" s="241"/>
      <c r="AH1120" s="241"/>
      <c r="AI1120" s="241"/>
      <c r="AJ1120" s="242"/>
    </row>
    <row r="1121" hidden="1">
      <c r="A1121" s="241"/>
      <c r="B1121" s="241"/>
      <c r="C1121" s="241"/>
      <c r="D1121" s="241"/>
      <c r="E1121" s="241"/>
      <c r="F1121" s="241"/>
      <c r="G1121" s="241"/>
      <c r="H1121" s="241"/>
      <c r="I1121" s="241"/>
      <c r="J1121" s="241"/>
      <c r="K1121" s="241"/>
      <c r="L1121" s="242"/>
      <c r="M1121" s="241"/>
      <c r="N1121" s="241"/>
      <c r="O1121" s="241"/>
      <c r="P1121" s="241"/>
      <c r="Q1121" s="241"/>
      <c r="R1121" s="241"/>
      <c r="S1121" s="241"/>
      <c r="T1121" s="241"/>
      <c r="U1121" s="241"/>
      <c r="V1121" s="241"/>
      <c r="W1121" s="241"/>
      <c r="X1121" s="242"/>
      <c r="Y1121" s="241"/>
      <c r="Z1121" s="241"/>
      <c r="AA1121" s="241"/>
      <c r="AB1121" s="241"/>
      <c r="AC1121" s="241"/>
      <c r="AD1121" s="241"/>
      <c r="AE1121" s="241"/>
      <c r="AF1121" s="241"/>
      <c r="AG1121" s="241"/>
      <c r="AH1121" s="241"/>
      <c r="AI1121" s="241"/>
      <c r="AJ1121" s="242"/>
    </row>
    <row r="1122" hidden="1">
      <c r="A1122" s="241"/>
      <c r="B1122" s="241"/>
      <c r="C1122" s="241"/>
      <c r="D1122" s="241"/>
      <c r="E1122" s="241"/>
      <c r="F1122" s="241"/>
      <c r="G1122" s="241"/>
      <c r="H1122" s="241"/>
      <c r="I1122" s="241"/>
      <c r="J1122" s="241"/>
      <c r="K1122" s="241"/>
      <c r="L1122" s="242"/>
      <c r="M1122" s="241"/>
      <c r="N1122" s="241"/>
      <c r="O1122" s="241"/>
      <c r="P1122" s="241"/>
      <c r="Q1122" s="241"/>
      <c r="R1122" s="241"/>
      <c r="S1122" s="241"/>
      <c r="T1122" s="241"/>
      <c r="U1122" s="241"/>
      <c r="V1122" s="241"/>
      <c r="W1122" s="241"/>
      <c r="X1122" s="242"/>
      <c r="Y1122" s="241"/>
      <c r="Z1122" s="241"/>
      <c r="AA1122" s="241"/>
      <c r="AB1122" s="241"/>
      <c r="AC1122" s="241"/>
      <c r="AD1122" s="241"/>
      <c r="AE1122" s="241"/>
      <c r="AF1122" s="241"/>
      <c r="AG1122" s="241"/>
      <c r="AH1122" s="241"/>
      <c r="AI1122" s="241"/>
      <c r="AJ1122" s="242"/>
    </row>
    <row r="1123" hidden="1">
      <c r="A1123" s="241"/>
      <c r="B1123" s="241"/>
      <c r="C1123" s="241"/>
      <c r="D1123" s="241"/>
      <c r="E1123" s="241"/>
      <c r="F1123" s="241"/>
      <c r="G1123" s="241"/>
      <c r="H1123" s="241"/>
      <c r="I1123" s="241"/>
      <c r="J1123" s="241"/>
      <c r="K1123" s="241"/>
      <c r="L1123" s="242"/>
      <c r="M1123" s="241"/>
      <c r="N1123" s="241"/>
      <c r="O1123" s="241"/>
      <c r="P1123" s="241"/>
      <c r="Q1123" s="241"/>
      <c r="R1123" s="241"/>
      <c r="S1123" s="241"/>
      <c r="T1123" s="241"/>
      <c r="U1123" s="241"/>
      <c r="V1123" s="241"/>
      <c r="W1123" s="241"/>
      <c r="X1123" s="242"/>
      <c r="Y1123" s="241"/>
      <c r="Z1123" s="241"/>
      <c r="AA1123" s="241"/>
      <c r="AB1123" s="241"/>
      <c r="AC1123" s="241"/>
      <c r="AD1123" s="241"/>
      <c r="AE1123" s="241"/>
      <c r="AF1123" s="241"/>
      <c r="AG1123" s="241"/>
      <c r="AH1123" s="241"/>
      <c r="AI1123" s="241"/>
      <c r="AJ1123" s="242"/>
    </row>
    <row r="1124" hidden="1">
      <c r="A1124" s="241"/>
      <c r="B1124" s="241"/>
      <c r="C1124" s="241"/>
      <c r="D1124" s="241"/>
      <c r="E1124" s="241"/>
      <c r="F1124" s="241"/>
      <c r="G1124" s="241"/>
      <c r="H1124" s="241"/>
      <c r="I1124" s="241"/>
      <c r="J1124" s="241"/>
      <c r="K1124" s="241"/>
      <c r="L1124" s="242"/>
      <c r="M1124" s="241"/>
      <c r="N1124" s="241"/>
      <c r="O1124" s="241"/>
      <c r="P1124" s="241"/>
      <c r="Q1124" s="241"/>
      <c r="R1124" s="241"/>
      <c r="S1124" s="241"/>
      <c r="T1124" s="241"/>
      <c r="U1124" s="241"/>
      <c r="V1124" s="241"/>
      <c r="W1124" s="241"/>
      <c r="X1124" s="242"/>
      <c r="Y1124" s="241"/>
      <c r="Z1124" s="241"/>
      <c r="AA1124" s="241"/>
      <c r="AB1124" s="241"/>
      <c r="AC1124" s="241"/>
      <c r="AD1124" s="241"/>
      <c r="AE1124" s="241"/>
      <c r="AF1124" s="241"/>
      <c r="AG1124" s="241"/>
      <c r="AH1124" s="241"/>
      <c r="AI1124" s="241"/>
      <c r="AJ1124" s="242"/>
    </row>
    <row r="1125" hidden="1">
      <c r="A1125" s="241"/>
      <c r="B1125" s="241"/>
      <c r="C1125" s="241"/>
      <c r="D1125" s="241"/>
      <c r="E1125" s="241"/>
      <c r="F1125" s="241"/>
      <c r="G1125" s="241"/>
      <c r="H1125" s="241"/>
      <c r="I1125" s="241"/>
      <c r="J1125" s="241"/>
      <c r="K1125" s="241"/>
      <c r="L1125" s="242"/>
      <c r="M1125" s="241"/>
      <c r="N1125" s="241"/>
      <c r="O1125" s="241"/>
      <c r="P1125" s="241"/>
      <c r="Q1125" s="241"/>
      <c r="R1125" s="241"/>
      <c r="S1125" s="241"/>
      <c r="T1125" s="241"/>
      <c r="U1125" s="241"/>
      <c r="V1125" s="241"/>
      <c r="W1125" s="241"/>
      <c r="X1125" s="242"/>
      <c r="Y1125" s="241"/>
      <c r="Z1125" s="241"/>
      <c r="AA1125" s="241"/>
      <c r="AB1125" s="241"/>
      <c r="AC1125" s="241"/>
      <c r="AD1125" s="241"/>
      <c r="AE1125" s="241"/>
      <c r="AF1125" s="241"/>
      <c r="AG1125" s="241"/>
      <c r="AH1125" s="241"/>
      <c r="AI1125" s="241"/>
      <c r="AJ1125" s="242"/>
    </row>
    <row r="1126" hidden="1">
      <c r="A1126" s="241"/>
      <c r="B1126" s="241"/>
      <c r="C1126" s="241"/>
      <c r="D1126" s="241"/>
      <c r="E1126" s="241"/>
      <c r="F1126" s="241"/>
      <c r="G1126" s="241"/>
      <c r="H1126" s="241"/>
      <c r="I1126" s="241"/>
      <c r="J1126" s="241"/>
      <c r="K1126" s="241"/>
      <c r="L1126" s="242"/>
      <c r="M1126" s="241"/>
      <c r="N1126" s="241"/>
      <c r="O1126" s="241"/>
      <c r="P1126" s="241"/>
      <c r="Q1126" s="241"/>
      <c r="R1126" s="241"/>
      <c r="S1126" s="241"/>
      <c r="T1126" s="241"/>
      <c r="U1126" s="241"/>
      <c r="V1126" s="241"/>
      <c r="W1126" s="241"/>
      <c r="X1126" s="242"/>
      <c r="Y1126" s="241"/>
      <c r="Z1126" s="241"/>
      <c r="AA1126" s="241"/>
      <c r="AB1126" s="241"/>
      <c r="AC1126" s="241"/>
      <c r="AD1126" s="241"/>
      <c r="AE1126" s="241"/>
      <c r="AF1126" s="241"/>
      <c r="AG1126" s="241"/>
      <c r="AH1126" s="241"/>
      <c r="AI1126" s="241"/>
      <c r="AJ1126" s="242"/>
    </row>
    <row r="1127" hidden="1">
      <c r="A1127" s="241"/>
      <c r="B1127" s="241"/>
      <c r="C1127" s="241"/>
      <c r="D1127" s="241"/>
      <c r="E1127" s="241"/>
      <c r="F1127" s="241"/>
      <c r="G1127" s="241"/>
      <c r="H1127" s="241"/>
      <c r="I1127" s="241"/>
      <c r="J1127" s="241"/>
      <c r="K1127" s="241"/>
      <c r="L1127" s="242"/>
      <c r="M1127" s="241"/>
      <c r="N1127" s="241"/>
      <c r="O1127" s="241"/>
      <c r="P1127" s="241"/>
      <c r="Q1127" s="241"/>
      <c r="R1127" s="241"/>
      <c r="S1127" s="241"/>
      <c r="T1127" s="241"/>
      <c r="U1127" s="241"/>
      <c r="V1127" s="241"/>
      <c r="W1127" s="241"/>
      <c r="X1127" s="242"/>
      <c r="Y1127" s="241"/>
      <c r="Z1127" s="241"/>
      <c r="AA1127" s="241"/>
      <c r="AB1127" s="241"/>
      <c r="AC1127" s="241"/>
      <c r="AD1127" s="241"/>
      <c r="AE1127" s="241"/>
      <c r="AF1127" s="241"/>
      <c r="AG1127" s="241"/>
      <c r="AH1127" s="241"/>
      <c r="AI1127" s="241"/>
      <c r="AJ1127" s="242"/>
    </row>
    <row r="1128" hidden="1">
      <c r="A1128" s="241"/>
      <c r="B1128" s="241"/>
      <c r="C1128" s="241"/>
      <c r="D1128" s="241"/>
      <c r="E1128" s="241"/>
      <c r="F1128" s="241"/>
      <c r="G1128" s="241"/>
      <c r="H1128" s="241"/>
      <c r="I1128" s="241"/>
      <c r="J1128" s="241"/>
      <c r="K1128" s="241"/>
      <c r="L1128" s="242"/>
      <c r="M1128" s="241"/>
      <c r="N1128" s="241"/>
      <c r="O1128" s="241"/>
      <c r="P1128" s="241"/>
      <c r="Q1128" s="241"/>
      <c r="R1128" s="241"/>
      <c r="S1128" s="241"/>
      <c r="T1128" s="241"/>
      <c r="U1128" s="241"/>
      <c r="V1128" s="241"/>
      <c r="W1128" s="241"/>
      <c r="X1128" s="242"/>
      <c r="Y1128" s="241"/>
      <c r="Z1128" s="241"/>
      <c r="AA1128" s="241"/>
      <c r="AB1128" s="241"/>
      <c r="AC1128" s="241"/>
      <c r="AD1128" s="241"/>
      <c r="AE1128" s="241"/>
      <c r="AF1128" s="241"/>
      <c r="AG1128" s="241"/>
      <c r="AH1128" s="241"/>
      <c r="AI1128" s="241"/>
      <c r="AJ1128" s="242"/>
    </row>
    <row r="1129" hidden="1">
      <c r="A1129" s="241"/>
      <c r="B1129" s="241"/>
      <c r="C1129" s="241"/>
      <c r="D1129" s="241"/>
      <c r="E1129" s="241"/>
      <c r="F1129" s="241"/>
      <c r="G1129" s="241"/>
      <c r="H1129" s="241"/>
      <c r="I1129" s="241"/>
      <c r="J1129" s="241"/>
      <c r="K1129" s="241"/>
      <c r="L1129" s="242"/>
      <c r="M1129" s="241"/>
      <c r="N1129" s="241"/>
      <c r="O1129" s="241"/>
      <c r="P1129" s="241"/>
      <c r="Q1129" s="241"/>
      <c r="R1129" s="241"/>
      <c r="S1129" s="241"/>
      <c r="T1129" s="241"/>
      <c r="U1129" s="241"/>
      <c r="V1129" s="241"/>
      <c r="W1129" s="241"/>
      <c r="X1129" s="242"/>
      <c r="Y1129" s="241"/>
      <c r="Z1129" s="241"/>
      <c r="AA1129" s="241"/>
      <c r="AB1129" s="241"/>
      <c r="AC1129" s="241"/>
      <c r="AD1129" s="241"/>
      <c r="AE1129" s="241"/>
      <c r="AF1129" s="241"/>
      <c r="AG1129" s="241"/>
      <c r="AH1129" s="241"/>
      <c r="AI1129" s="241"/>
      <c r="AJ1129" s="242"/>
    </row>
    <row r="1130" hidden="1">
      <c r="A1130" s="241"/>
      <c r="B1130" s="241"/>
      <c r="C1130" s="241"/>
      <c r="D1130" s="241"/>
      <c r="E1130" s="241"/>
      <c r="F1130" s="241"/>
      <c r="G1130" s="241"/>
      <c r="H1130" s="241"/>
      <c r="I1130" s="241"/>
      <c r="J1130" s="241"/>
      <c r="K1130" s="241"/>
      <c r="L1130" s="242"/>
      <c r="M1130" s="241"/>
      <c r="N1130" s="241"/>
      <c r="O1130" s="241"/>
      <c r="P1130" s="241"/>
      <c r="Q1130" s="241"/>
      <c r="R1130" s="241"/>
      <c r="S1130" s="241"/>
      <c r="T1130" s="241"/>
      <c r="U1130" s="241"/>
      <c r="V1130" s="241"/>
      <c r="W1130" s="241"/>
      <c r="X1130" s="242"/>
      <c r="Y1130" s="241"/>
      <c r="Z1130" s="241"/>
      <c r="AA1130" s="241"/>
      <c r="AB1130" s="241"/>
      <c r="AC1130" s="241"/>
      <c r="AD1130" s="241"/>
      <c r="AE1130" s="241"/>
      <c r="AF1130" s="241"/>
      <c r="AG1130" s="241"/>
      <c r="AH1130" s="241"/>
      <c r="AI1130" s="241"/>
      <c r="AJ1130" s="242"/>
    </row>
    <row r="1131" hidden="1">
      <c r="A1131" s="241"/>
      <c r="B1131" s="241"/>
      <c r="C1131" s="241"/>
      <c r="D1131" s="241"/>
      <c r="E1131" s="241"/>
      <c r="F1131" s="241"/>
      <c r="G1131" s="241"/>
      <c r="H1131" s="241"/>
      <c r="I1131" s="241"/>
      <c r="J1131" s="241"/>
      <c r="K1131" s="241"/>
      <c r="L1131" s="242"/>
      <c r="M1131" s="241"/>
      <c r="N1131" s="241"/>
      <c r="O1131" s="241"/>
      <c r="P1131" s="241"/>
      <c r="Q1131" s="241"/>
      <c r="R1131" s="241"/>
      <c r="S1131" s="241"/>
      <c r="T1131" s="241"/>
      <c r="U1131" s="241"/>
      <c r="V1131" s="241"/>
      <c r="W1131" s="241"/>
      <c r="X1131" s="242"/>
      <c r="Y1131" s="241"/>
      <c r="Z1131" s="241"/>
      <c r="AA1131" s="241"/>
      <c r="AB1131" s="241"/>
      <c r="AC1131" s="241"/>
      <c r="AD1131" s="241"/>
      <c r="AE1131" s="241"/>
      <c r="AF1131" s="241"/>
      <c r="AG1131" s="241"/>
      <c r="AH1131" s="241"/>
      <c r="AI1131" s="241"/>
      <c r="AJ1131" s="242"/>
    </row>
    <row r="1132" hidden="1">
      <c r="A1132" s="241"/>
      <c r="B1132" s="241"/>
      <c r="C1132" s="241"/>
      <c r="D1132" s="241"/>
      <c r="E1132" s="241"/>
      <c r="F1132" s="241"/>
      <c r="G1132" s="241"/>
      <c r="H1132" s="241"/>
      <c r="I1132" s="241"/>
      <c r="J1132" s="241"/>
      <c r="K1132" s="241"/>
      <c r="L1132" s="242"/>
      <c r="M1132" s="241"/>
      <c r="N1132" s="241"/>
      <c r="O1132" s="241"/>
      <c r="P1132" s="241"/>
      <c r="Q1132" s="241"/>
      <c r="R1132" s="241"/>
      <c r="S1132" s="241"/>
      <c r="T1132" s="241"/>
      <c r="U1132" s="241"/>
      <c r="V1132" s="241"/>
      <c r="W1132" s="241"/>
      <c r="X1132" s="242"/>
      <c r="Y1132" s="241"/>
      <c r="Z1132" s="241"/>
      <c r="AA1132" s="241"/>
      <c r="AB1132" s="241"/>
      <c r="AC1132" s="241"/>
      <c r="AD1132" s="241"/>
      <c r="AE1132" s="241"/>
      <c r="AF1132" s="241"/>
      <c r="AG1132" s="241"/>
      <c r="AH1132" s="241"/>
      <c r="AI1132" s="241"/>
      <c r="AJ1132" s="242"/>
    </row>
    <row r="1133" hidden="1">
      <c r="A1133" s="241"/>
      <c r="B1133" s="241"/>
      <c r="C1133" s="241"/>
      <c r="D1133" s="241"/>
      <c r="E1133" s="241"/>
      <c r="F1133" s="241"/>
      <c r="G1133" s="241"/>
      <c r="H1133" s="241"/>
      <c r="I1133" s="241"/>
      <c r="J1133" s="241"/>
      <c r="K1133" s="241"/>
      <c r="L1133" s="242"/>
      <c r="M1133" s="241"/>
      <c r="N1133" s="241"/>
      <c r="O1133" s="241"/>
      <c r="P1133" s="241"/>
      <c r="Q1133" s="241"/>
      <c r="R1133" s="241"/>
      <c r="S1133" s="241"/>
      <c r="T1133" s="241"/>
      <c r="U1133" s="241"/>
      <c r="V1133" s="241"/>
      <c r="W1133" s="241"/>
      <c r="X1133" s="242"/>
      <c r="Y1133" s="241"/>
      <c r="Z1133" s="241"/>
      <c r="AA1133" s="241"/>
      <c r="AB1133" s="241"/>
      <c r="AC1133" s="241"/>
      <c r="AD1133" s="241"/>
      <c r="AE1133" s="241"/>
      <c r="AF1133" s="241"/>
      <c r="AG1133" s="241"/>
      <c r="AH1133" s="241"/>
      <c r="AI1133" s="241"/>
      <c r="AJ1133" s="242"/>
    </row>
    <row r="1134" hidden="1">
      <c r="A1134" s="241"/>
      <c r="B1134" s="241"/>
      <c r="C1134" s="241"/>
      <c r="D1134" s="241"/>
      <c r="E1134" s="241"/>
      <c r="F1134" s="241"/>
      <c r="G1134" s="241"/>
      <c r="H1134" s="241"/>
      <c r="I1134" s="241"/>
      <c r="J1134" s="241"/>
      <c r="K1134" s="241"/>
      <c r="L1134" s="242"/>
      <c r="M1134" s="241"/>
      <c r="N1134" s="241"/>
      <c r="O1134" s="241"/>
      <c r="P1134" s="241"/>
      <c r="Q1134" s="241"/>
      <c r="R1134" s="241"/>
      <c r="S1134" s="241"/>
      <c r="T1134" s="241"/>
      <c r="U1134" s="241"/>
      <c r="V1134" s="241"/>
      <c r="W1134" s="241"/>
      <c r="X1134" s="242"/>
      <c r="Y1134" s="241"/>
      <c r="Z1134" s="241"/>
      <c r="AA1134" s="241"/>
      <c r="AB1134" s="241"/>
      <c r="AC1134" s="241"/>
      <c r="AD1134" s="241"/>
      <c r="AE1134" s="241"/>
      <c r="AF1134" s="241"/>
      <c r="AG1134" s="241"/>
      <c r="AH1134" s="241"/>
      <c r="AI1134" s="241"/>
      <c r="AJ1134" s="242"/>
    </row>
    <row r="1135" hidden="1">
      <c r="A1135" s="241"/>
      <c r="B1135" s="241"/>
      <c r="C1135" s="241"/>
      <c r="D1135" s="241"/>
      <c r="E1135" s="241"/>
      <c r="F1135" s="241"/>
      <c r="G1135" s="241"/>
      <c r="H1135" s="241"/>
      <c r="I1135" s="241"/>
      <c r="J1135" s="241"/>
      <c r="K1135" s="241"/>
      <c r="L1135" s="242"/>
      <c r="M1135" s="241"/>
      <c r="N1135" s="241"/>
      <c r="O1135" s="241"/>
      <c r="P1135" s="241"/>
      <c r="Q1135" s="241"/>
      <c r="R1135" s="241"/>
      <c r="S1135" s="241"/>
      <c r="T1135" s="241"/>
      <c r="U1135" s="241"/>
      <c r="V1135" s="241"/>
      <c r="W1135" s="241"/>
      <c r="X1135" s="242"/>
      <c r="Y1135" s="241"/>
      <c r="Z1135" s="241"/>
      <c r="AA1135" s="241"/>
      <c r="AB1135" s="241"/>
      <c r="AC1135" s="241"/>
      <c r="AD1135" s="241"/>
      <c r="AE1135" s="241"/>
      <c r="AF1135" s="241"/>
      <c r="AG1135" s="241"/>
      <c r="AH1135" s="241"/>
      <c r="AI1135" s="241"/>
      <c r="AJ1135" s="242"/>
    </row>
    <row r="1136" hidden="1">
      <c r="A1136" s="241"/>
      <c r="B1136" s="241"/>
      <c r="C1136" s="241"/>
      <c r="D1136" s="241"/>
      <c r="E1136" s="241"/>
      <c r="F1136" s="241"/>
      <c r="G1136" s="241"/>
      <c r="H1136" s="241"/>
      <c r="I1136" s="241"/>
      <c r="J1136" s="241"/>
      <c r="K1136" s="241"/>
      <c r="L1136" s="242"/>
      <c r="M1136" s="241"/>
      <c r="N1136" s="241"/>
      <c r="O1136" s="241"/>
      <c r="P1136" s="241"/>
      <c r="Q1136" s="241"/>
      <c r="R1136" s="241"/>
      <c r="S1136" s="241"/>
      <c r="T1136" s="241"/>
      <c r="U1136" s="241"/>
      <c r="V1136" s="241"/>
      <c r="W1136" s="241"/>
      <c r="X1136" s="242"/>
      <c r="Y1136" s="241"/>
      <c r="Z1136" s="241"/>
      <c r="AA1136" s="241"/>
      <c r="AB1136" s="241"/>
      <c r="AC1136" s="241"/>
      <c r="AD1136" s="241"/>
      <c r="AE1136" s="241"/>
      <c r="AF1136" s="241"/>
      <c r="AG1136" s="241"/>
      <c r="AH1136" s="241"/>
      <c r="AI1136" s="241"/>
      <c r="AJ1136" s="242"/>
    </row>
    <row r="1137" hidden="1">
      <c r="A1137" s="241"/>
      <c r="B1137" s="241"/>
      <c r="C1137" s="241"/>
      <c r="D1137" s="241"/>
      <c r="E1137" s="241"/>
      <c r="F1137" s="241"/>
      <c r="G1137" s="241"/>
      <c r="H1137" s="241"/>
      <c r="I1137" s="241"/>
      <c r="J1137" s="241"/>
      <c r="K1137" s="241"/>
      <c r="L1137" s="242"/>
      <c r="M1137" s="241"/>
      <c r="N1137" s="241"/>
      <c r="O1137" s="241"/>
      <c r="P1137" s="241"/>
      <c r="Q1137" s="241"/>
      <c r="R1137" s="241"/>
      <c r="S1137" s="241"/>
      <c r="T1137" s="241"/>
      <c r="U1137" s="241"/>
      <c r="V1137" s="241"/>
      <c r="W1137" s="241"/>
      <c r="X1137" s="242"/>
      <c r="Y1137" s="241"/>
      <c r="Z1137" s="241"/>
      <c r="AA1137" s="241"/>
      <c r="AB1137" s="241"/>
      <c r="AC1137" s="241"/>
      <c r="AD1137" s="241"/>
      <c r="AE1137" s="241"/>
      <c r="AF1137" s="241"/>
      <c r="AG1137" s="241"/>
      <c r="AH1137" s="241"/>
      <c r="AI1137" s="241"/>
      <c r="AJ1137" s="242"/>
    </row>
    <row r="1138" hidden="1">
      <c r="A1138" s="241"/>
      <c r="B1138" s="241"/>
      <c r="C1138" s="241"/>
      <c r="D1138" s="241"/>
      <c r="E1138" s="241"/>
      <c r="F1138" s="241"/>
      <c r="G1138" s="241"/>
      <c r="H1138" s="241"/>
      <c r="I1138" s="241"/>
      <c r="J1138" s="241"/>
      <c r="K1138" s="241"/>
      <c r="L1138" s="242"/>
      <c r="M1138" s="241"/>
      <c r="N1138" s="241"/>
      <c r="O1138" s="241"/>
      <c r="P1138" s="241"/>
      <c r="Q1138" s="241"/>
      <c r="R1138" s="241"/>
      <c r="S1138" s="241"/>
      <c r="T1138" s="241"/>
      <c r="U1138" s="241"/>
      <c r="V1138" s="241"/>
      <c r="W1138" s="241"/>
      <c r="X1138" s="242"/>
      <c r="Y1138" s="241"/>
      <c r="Z1138" s="241"/>
      <c r="AA1138" s="241"/>
      <c r="AB1138" s="241"/>
      <c r="AC1138" s="241"/>
      <c r="AD1138" s="241"/>
      <c r="AE1138" s="241"/>
      <c r="AF1138" s="241"/>
      <c r="AG1138" s="241"/>
      <c r="AH1138" s="241"/>
      <c r="AI1138" s="241"/>
      <c r="AJ1138" s="242"/>
    </row>
    <row r="1139" hidden="1">
      <c r="A1139" s="241"/>
      <c r="B1139" s="241"/>
      <c r="C1139" s="241"/>
      <c r="D1139" s="241"/>
      <c r="E1139" s="241"/>
      <c r="F1139" s="241"/>
      <c r="G1139" s="241"/>
      <c r="H1139" s="241"/>
      <c r="I1139" s="241"/>
      <c r="J1139" s="241"/>
      <c r="K1139" s="241"/>
      <c r="L1139" s="242"/>
      <c r="M1139" s="241"/>
      <c r="N1139" s="241"/>
      <c r="O1139" s="241"/>
      <c r="P1139" s="241"/>
      <c r="Q1139" s="241"/>
      <c r="R1139" s="241"/>
      <c r="S1139" s="241"/>
      <c r="T1139" s="241"/>
      <c r="U1139" s="241"/>
      <c r="V1139" s="241"/>
      <c r="W1139" s="241"/>
      <c r="X1139" s="242"/>
      <c r="Y1139" s="241"/>
      <c r="Z1139" s="241"/>
      <c r="AA1139" s="241"/>
      <c r="AB1139" s="241"/>
      <c r="AC1139" s="241"/>
      <c r="AD1139" s="241"/>
      <c r="AE1139" s="241"/>
      <c r="AF1139" s="241"/>
      <c r="AG1139" s="241"/>
      <c r="AH1139" s="241"/>
      <c r="AI1139" s="241"/>
      <c r="AJ1139" s="242"/>
    </row>
    <row r="1140" hidden="1">
      <c r="A1140" s="241"/>
      <c r="B1140" s="241"/>
      <c r="C1140" s="241"/>
      <c r="D1140" s="241"/>
      <c r="E1140" s="241"/>
      <c r="F1140" s="241"/>
      <c r="G1140" s="241"/>
      <c r="H1140" s="241"/>
      <c r="I1140" s="241"/>
      <c r="J1140" s="241"/>
      <c r="K1140" s="241"/>
      <c r="L1140" s="242"/>
      <c r="M1140" s="241"/>
      <c r="N1140" s="241"/>
      <c r="O1140" s="241"/>
      <c r="P1140" s="241"/>
      <c r="Q1140" s="241"/>
      <c r="R1140" s="241"/>
      <c r="S1140" s="241"/>
      <c r="T1140" s="241"/>
      <c r="U1140" s="241"/>
      <c r="V1140" s="241"/>
      <c r="W1140" s="241"/>
      <c r="X1140" s="242"/>
      <c r="Y1140" s="241"/>
      <c r="Z1140" s="241"/>
      <c r="AA1140" s="241"/>
      <c r="AB1140" s="241"/>
      <c r="AC1140" s="241"/>
      <c r="AD1140" s="241"/>
      <c r="AE1140" s="241"/>
      <c r="AF1140" s="241"/>
      <c r="AG1140" s="241"/>
      <c r="AH1140" s="241"/>
      <c r="AI1140" s="241"/>
      <c r="AJ1140" s="242"/>
    </row>
    <row r="1141" hidden="1">
      <c r="A1141" s="241"/>
      <c r="B1141" s="241"/>
      <c r="C1141" s="241"/>
      <c r="D1141" s="241"/>
      <c r="E1141" s="241"/>
      <c r="F1141" s="241"/>
      <c r="G1141" s="241"/>
      <c r="H1141" s="241"/>
      <c r="I1141" s="241"/>
      <c r="J1141" s="241"/>
      <c r="K1141" s="241"/>
      <c r="L1141" s="242"/>
      <c r="M1141" s="241"/>
      <c r="N1141" s="241"/>
      <c r="O1141" s="241"/>
      <c r="P1141" s="241"/>
      <c r="Q1141" s="241"/>
      <c r="R1141" s="241"/>
      <c r="S1141" s="241"/>
      <c r="T1141" s="241"/>
      <c r="U1141" s="241"/>
      <c r="V1141" s="241"/>
      <c r="W1141" s="241"/>
      <c r="X1141" s="242"/>
      <c r="Y1141" s="241"/>
      <c r="Z1141" s="241"/>
      <c r="AA1141" s="241"/>
      <c r="AB1141" s="241"/>
      <c r="AC1141" s="241"/>
      <c r="AD1141" s="241"/>
      <c r="AE1141" s="241"/>
      <c r="AF1141" s="241"/>
      <c r="AG1141" s="241"/>
      <c r="AH1141" s="241"/>
      <c r="AI1141" s="241"/>
      <c r="AJ1141" s="242"/>
    </row>
    <row r="1142" hidden="1">
      <c r="A1142" s="241"/>
      <c r="B1142" s="241"/>
      <c r="C1142" s="241"/>
      <c r="D1142" s="241"/>
      <c r="E1142" s="241"/>
      <c r="F1142" s="241"/>
      <c r="G1142" s="241"/>
      <c r="H1142" s="241"/>
      <c r="I1142" s="241"/>
      <c r="J1142" s="241"/>
      <c r="K1142" s="241"/>
      <c r="L1142" s="242"/>
      <c r="M1142" s="241"/>
      <c r="N1142" s="241"/>
      <c r="O1142" s="241"/>
      <c r="P1142" s="241"/>
      <c r="Q1142" s="241"/>
      <c r="R1142" s="241"/>
      <c r="S1142" s="241"/>
      <c r="T1142" s="241"/>
      <c r="U1142" s="241"/>
      <c r="V1142" s="241"/>
      <c r="W1142" s="241"/>
      <c r="X1142" s="242"/>
      <c r="Y1142" s="241"/>
      <c r="Z1142" s="241"/>
      <c r="AA1142" s="241"/>
      <c r="AB1142" s="241"/>
      <c r="AC1142" s="241"/>
      <c r="AD1142" s="241"/>
      <c r="AE1142" s="241"/>
      <c r="AF1142" s="241"/>
      <c r="AG1142" s="241"/>
      <c r="AH1142" s="241"/>
      <c r="AI1142" s="241"/>
      <c r="AJ1142" s="242"/>
    </row>
    <row r="1143" hidden="1">
      <c r="A1143" s="241"/>
      <c r="B1143" s="241"/>
      <c r="C1143" s="241"/>
      <c r="D1143" s="241"/>
      <c r="E1143" s="241"/>
      <c r="F1143" s="241"/>
      <c r="G1143" s="241"/>
      <c r="H1143" s="241"/>
      <c r="I1143" s="241"/>
      <c r="J1143" s="241"/>
      <c r="K1143" s="241"/>
      <c r="L1143" s="242"/>
      <c r="M1143" s="241"/>
      <c r="N1143" s="241"/>
      <c r="O1143" s="241"/>
      <c r="P1143" s="241"/>
      <c r="Q1143" s="241"/>
      <c r="R1143" s="241"/>
      <c r="S1143" s="241"/>
      <c r="T1143" s="241"/>
      <c r="U1143" s="241"/>
      <c r="V1143" s="241"/>
      <c r="W1143" s="241"/>
      <c r="X1143" s="242"/>
      <c r="Y1143" s="241"/>
      <c r="Z1143" s="241"/>
      <c r="AA1143" s="241"/>
      <c r="AB1143" s="241"/>
      <c r="AC1143" s="241"/>
      <c r="AD1143" s="241"/>
      <c r="AE1143" s="241"/>
      <c r="AF1143" s="241"/>
      <c r="AG1143" s="241"/>
      <c r="AH1143" s="241"/>
      <c r="AI1143" s="241"/>
      <c r="AJ1143" s="242"/>
    </row>
    <row r="1144" hidden="1">
      <c r="A1144" s="241"/>
      <c r="B1144" s="241"/>
      <c r="C1144" s="241"/>
      <c r="D1144" s="241"/>
      <c r="E1144" s="241"/>
      <c r="F1144" s="241"/>
      <c r="G1144" s="241"/>
      <c r="H1144" s="241"/>
      <c r="I1144" s="241"/>
      <c r="J1144" s="241"/>
      <c r="K1144" s="241"/>
      <c r="L1144" s="242"/>
      <c r="M1144" s="241"/>
      <c r="N1144" s="241"/>
      <c r="O1144" s="241"/>
      <c r="P1144" s="241"/>
      <c r="Q1144" s="241"/>
      <c r="R1144" s="241"/>
      <c r="S1144" s="241"/>
      <c r="T1144" s="241"/>
      <c r="U1144" s="241"/>
      <c r="V1144" s="241"/>
      <c r="W1144" s="241"/>
      <c r="X1144" s="242"/>
      <c r="Y1144" s="241"/>
      <c r="Z1144" s="241"/>
      <c r="AA1144" s="241"/>
      <c r="AB1144" s="241"/>
      <c r="AC1144" s="241"/>
      <c r="AD1144" s="241"/>
      <c r="AE1144" s="241"/>
      <c r="AF1144" s="241"/>
      <c r="AG1144" s="241"/>
      <c r="AH1144" s="241"/>
      <c r="AI1144" s="241"/>
      <c r="AJ1144" s="242"/>
    </row>
    <row r="1145" hidden="1">
      <c r="A1145" s="241"/>
      <c r="B1145" s="241"/>
      <c r="C1145" s="241"/>
      <c r="D1145" s="241"/>
      <c r="E1145" s="241"/>
      <c r="F1145" s="241"/>
      <c r="G1145" s="241"/>
      <c r="H1145" s="241"/>
      <c r="I1145" s="241"/>
      <c r="J1145" s="241"/>
      <c r="K1145" s="241"/>
      <c r="L1145" s="242"/>
      <c r="M1145" s="241"/>
      <c r="N1145" s="241"/>
      <c r="O1145" s="241"/>
      <c r="P1145" s="241"/>
      <c r="Q1145" s="241"/>
      <c r="R1145" s="241"/>
      <c r="S1145" s="241"/>
      <c r="T1145" s="241"/>
      <c r="U1145" s="241"/>
      <c r="V1145" s="241"/>
      <c r="W1145" s="241"/>
      <c r="X1145" s="242"/>
      <c r="Y1145" s="241"/>
      <c r="Z1145" s="241"/>
      <c r="AA1145" s="241"/>
      <c r="AB1145" s="241"/>
      <c r="AC1145" s="241"/>
      <c r="AD1145" s="241"/>
      <c r="AE1145" s="241"/>
      <c r="AF1145" s="241"/>
      <c r="AG1145" s="241"/>
      <c r="AH1145" s="241"/>
      <c r="AI1145" s="241"/>
      <c r="AJ1145" s="242"/>
    </row>
    <row r="1146" hidden="1">
      <c r="A1146" s="241"/>
      <c r="B1146" s="241"/>
      <c r="C1146" s="241"/>
      <c r="D1146" s="241"/>
      <c r="E1146" s="241"/>
      <c r="F1146" s="241"/>
      <c r="G1146" s="241"/>
      <c r="H1146" s="241"/>
      <c r="I1146" s="241"/>
      <c r="J1146" s="241"/>
      <c r="K1146" s="241"/>
      <c r="L1146" s="242"/>
      <c r="M1146" s="241"/>
      <c r="N1146" s="241"/>
      <c r="O1146" s="241"/>
      <c r="P1146" s="241"/>
      <c r="Q1146" s="241"/>
      <c r="R1146" s="241"/>
      <c r="S1146" s="241"/>
      <c r="T1146" s="241"/>
      <c r="U1146" s="241"/>
      <c r="V1146" s="241"/>
      <c r="W1146" s="241"/>
      <c r="X1146" s="242"/>
      <c r="Y1146" s="241"/>
      <c r="Z1146" s="241"/>
      <c r="AA1146" s="241"/>
      <c r="AB1146" s="241"/>
      <c r="AC1146" s="241"/>
      <c r="AD1146" s="241"/>
      <c r="AE1146" s="241"/>
      <c r="AF1146" s="241"/>
      <c r="AG1146" s="241"/>
      <c r="AH1146" s="241"/>
      <c r="AI1146" s="241"/>
      <c r="AJ1146" s="242"/>
    </row>
    <row r="1147" hidden="1">
      <c r="A1147" s="241"/>
      <c r="B1147" s="241"/>
      <c r="C1147" s="241"/>
      <c r="D1147" s="241"/>
      <c r="E1147" s="241"/>
      <c r="F1147" s="241"/>
      <c r="G1147" s="241"/>
      <c r="H1147" s="241"/>
      <c r="I1147" s="241"/>
      <c r="J1147" s="241"/>
      <c r="K1147" s="241"/>
      <c r="L1147" s="242"/>
      <c r="M1147" s="241"/>
      <c r="N1147" s="241"/>
      <c r="O1147" s="241"/>
      <c r="P1147" s="241"/>
      <c r="Q1147" s="241"/>
      <c r="R1147" s="241"/>
      <c r="S1147" s="241"/>
      <c r="T1147" s="241"/>
      <c r="U1147" s="241"/>
      <c r="V1147" s="241"/>
      <c r="W1147" s="241"/>
      <c r="X1147" s="242"/>
      <c r="Y1147" s="241"/>
      <c r="Z1147" s="241"/>
      <c r="AA1147" s="241"/>
      <c r="AB1147" s="241"/>
      <c r="AC1147" s="241"/>
      <c r="AD1147" s="241"/>
      <c r="AE1147" s="241"/>
      <c r="AF1147" s="241"/>
      <c r="AG1147" s="241"/>
      <c r="AH1147" s="241"/>
      <c r="AI1147" s="241"/>
      <c r="AJ1147" s="242"/>
    </row>
    <row r="1148" hidden="1">
      <c r="A1148" s="241"/>
      <c r="B1148" s="241"/>
      <c r="C1148" s="241"/>
      <c r="D1148" s="241"/>
      <c r="E1148" s="241"/>
      <c r="F1148" s="241"/>
      <c r="G1148" s="241"/>
      <c r="H1148" s="241"/>
      <c r="I1148" s="241"/>
      <c r="J1148" s="241"/>
      <c r="K1148" s="241"/>
      <c r="L1148" s="242"/>
      <c r="M1148" s="241"/>
      <c r="N1148" s="241"/>
      <c r="O1148" s="241"/>
      <c r="P1148" s="241"/>
      <c r="Q1148" s="241"/>
      <c r="R1148" s="241"/>
      <c r="S1148" s="241"/>
      <c r="T1148" s="241"/>
      <c r="U1148" s="241"/>
      <c r="V1148" s="241"/>
      <c r="W1148" s="241"/>
      <c r="X1148" s="242"/>
      <c r="Y1148" s="241"/>
      <c r="Z1148" s="241"/>
      <c r="AA1148" s="241"/>
      <c r="AB1148" s="241"/>
      <c r="AC1148" s="241"/>
      <c r="AD1148" s="241"/>
      <c r="AE1148" s="241"/>
      <c r="AF1148" s="241"/>
      <c r="AG1148" s="241"/>
      <c r="AH1148" s="241"/>
      <c r="AI1148" s="241"/>
      <c r="AJ1148" s="242"/>
    </row>
    <row r="1149" hidden="1">
      <c r="A1149" s="241"/>
      <c r="B1149" s="241"/>
      <c r="C1149" s="241"/>
      <c r="D1149" s="241"/>
      <c r="E1149" s="241"/>
      <c r="F1149" s="241"/>
      <c r="G1149" s="241"/>
      <c r="H1149" s="241"/>
      <c r="I1149" s="241"/>
      <c r="J1149" s="241"/>
      <c r="K1149" s="241"/>
      <c r="L1149" s="242"/>
      <c r="M1149" s="241"/>
      <c r="N1149" s="241"/>
      <c r="O1149" s="241"/>
      <c r="P1149" s="241"/>
      <c r="Q1149" s="241"/>
      <c r="R1149" s="241"/>
      <c r="S1149" s="241"/>
      <c r="T1149" s="241"/>
      <c r="U1149" s="241"/>
      <c r="V1149" s="241"/>
      <c r="W1149" s="241"/>
      <c r="X1149" s="242"/>
      <c r="Y1149" s="241"/>
      <c r="Z1149" s="241"/>
      <c r="AA1149" s="241"/>
      <c r="AB1149" s="241"/>
      <c r="AC1149" s="241"/>
      <c r="AD1149" s="241"/>
      <c r="AE1149" s="241"/>
      <c r="AF1149" s="241"/>
      <c r="AG1149" s="241"/>
      <c r="AH1149" s="241"/>
      <c r="AI1149" s="241"/>
      <c r="AJ1149" s="242"/>
    </row>
    <row r="1150" hidden="1">
      <c r="A1150" s="241"/>
      <c r="B1150" s="241"/>
      <c r="C1150" s="241"/>
      <c r="D1150" s="241"/>
      <c r="E1150" s="241"/>
      <c r="F1150" s="241"/>
      <c r="G1150" s="241"/>
      <c r="H1150" s="241"/>
      <c r="I1150" s="241"/>
      <c r="J1150" s="241"/>
      <c r="K1150" s="241"/>
      <c r="L1150" s="242"/>
      <c r="M1150" s="241"/>
      <c r="N1150" s="241"/>
      <c r="O1150" s="241"/>
      <c r="P1150" s="241"/>
      <c r="Q1150" s="241"/>
      <c r="R1150" s="241"/>
      <c r="S1150" s="241"/>
      <c r="T1150" s="241"/>
      <c r="U1150" s="241"/>
      <c r="V1150" s="241"/>
      <c r="W1150" s="241"/>
      <c r="X1150" s="242"/>
      <c r="Y1150" s="241"/>
      <c r="Z1150" s="241"/>
      <c r="AA1150" s="241"/>
      <c r="AB1150" s="241"/>
      <c r="AC1150" s="241"/>
      <c r="AD1150" s="241"/>
      <c r="AE1150" s="241"/>
      <c r="AF1150" s="241"/>
      <c r="AG1150" s="241"/>
      <c r="AH1150" s="241"/>
      <c r="AI1150" s="241"/>
      <c r="AJ1150" s="242"/>
    </row>
    <row r="1151" hidden="1">
      <c r="A1151" s="241"/>
      <c r="B1151" s="241"/>
      <c r="C1151" s="241"/>
      <c r="D1151" s="241"/>
      <c r="E1151" s="241"/>
      <c r="F1151" s="241"/>
      <c r="G1151" s="241"/>
      <c r="H1151" s="241"/>
      <c r="I1151" s="241"/>
      <c r="J1151" s="241"/>
      <c r="K1151" s="241"/>
      <c r="L1151" s="242"/>
      <c r="M1151" s="241"/>
      <c r="N1151" s="241"/>
      <c r="O1151" s="241"/>
      <c r="P1151" s="241"/>
      <c r="Q1151" s="241"/>
      <c r="R1151" s="241"/>
      <c r="S1151" s="241"/>
      <c r="T1151" s="241"/>
      <c r="U1151" s="241"/>
      <c r="V1151" s="241"/>
      <c r="W1151" s="241"/>
      <c r="X1151" s="242"/>
      <c r="Y1151" s="241"/>
      <c r="Z1151" s="241"/>
      <c r="AA1151" s="241"/>
      <c r="AB1151" s="241"/>
      <c r="AC1151" s="241"/>
      <c r="AD1151" s="241"/>
      <c r="AE1151" s="241"/>
      <c r="AF1151" s="241"/>
      <c r="AG1151" s="241"/>
      <c r="AH1151" s="241"/>
      <c r="AI1151" s="241"/>
      <c r="AJ1151" s="242"/>
    </row>
    <row r="1152" hidden="1">
      <c r="A1152" s="241"/>
      <c r="B1152" s="241"/>
      <c r="C1152" s="241"/>
      <c r="D1152" s="241"/>
      <c r="E1152" s="241"/>
      <c r="F1152" s="241"/>
      <c r="G1152" s="241"/>
      <c r="H1152" s="241"/>
      <c r="I1152" s="241"/>
      <c r="J1152" s="241"/>
      <c r="K1152" s="241"/>
      <c r="L1152" s="242"/>
      <c r="M1152" s="241"/>
      <c r="N1152" s="241"/>
      <c r="O1152" s="241"/>
      <c r="P1152" s="241"/>
      <c r="Q1152" s="241"/>
      <c r="R1152" s="241"/>
      <c r="S1152" s="241"/>
      <c r="T1152" s="241"/>
      <c r="U1152" s="241"/>
      <c r="V1152" s="241"/>
      <c r="W1152" s="241"/>
      <c r="X1152" s="242"/>
      <c r="Y1152" s="241"/>
      <c r="Z1152" s="241"/>
      <c r="AA1152" s="241"/>
      <c r="AB1152" s="241"/>
      <c r="AC1152" s="241"/>
      <c r="AD1152" s="241"/>
      <c r="AE1152" s="241"/>
      <c r="AF1152" s="241"/>
      <c r="AG1152" s="241"/>
      <c r="AH1152" s="241"/>
      <c r="AI1152" s="241"/>
      <c r="AJ1152" s="242"/>
    </row>
    <row r="1153" hidden="1">
      <c r="A1153" s="241"/>
      <c r="B1153" s="241"/>
      <c r="C1153" s="241"/>
      <c r="D1153" s="241"/>
      <c r="E1153" s="241"/>
      <c r="F1153" s="241"/>
      <c r="G1153" s="241"/>
      <c r="H1153" s="241"/>
      <c r="I1153" s="241"/>
      <c r="J1153" s="241"/>
      <c r="K1153" s="241"/>
      <c r="L1153" s="242"/>
      <c r="M1153" s="241"/>
      <c r="N1153" s="241"/>
      <c r="O1153" s="241"/>
      <c r="P1153" s="241"/>
      <c r="Q1153" s="241"/>
      <c r="R1153" s="241"/>
      <c r="S1153" s="241"/>
      <c r="T1153" s="241"/>
      <c r="U1153" s="241"/>
      <c r="V1153" s="241"/>
      <c r="W1153" s="241"/>
      <c r="X1153" s="242"/>
      <c r="Y1153" s="241"/>
      <c r="Z1153" s="241"/>
      <c r="AA1153" s="241"/>
      <c r="AB1153" s="241"/>
      <c r="AC1153" s="241"/>
      <c r="AD1153" s="241"/>
      <c r="AE1153" s="241"/>
      <c r="AF1153" s="241"/>
      <c r="AG1153" s="241"/>
      <c r="AH1153" s="241"/>
      <c r="AI1153" s="241"/>
      <c r="AJ1153" s="242"/>
    </row>
    <row r="1154" hidden="1">
      <c r="A1154" s="241"/>
      <c r="B1154" s="241"/>
      <c r="C1154" s="241"/>
      <c r="D1154" s="241"/>
      <c r="E1154" s="241"/>
      <c r="F1154" s="241"/>
      <c r="G1154" s="241"/>
      <c r="H1154" s="241"/>
      <c r="I1154" s="241"/>
      <c r="J1154" s="241"/>
      <c r="K1154" s="241"/>
      <c r="L1154" s="242"/>
      <c r="M1154" s="241"/>
      <c r="N1154" s="241"/>
      <c r="O1154" s="241"/>
      <c r="P1154" s="241"/>
      <c r="Q1154" s="241"/>
      <c r="R1154" s="241"/>
      <c r="S1154" s="241"/>
      <c r="T1154" s="241"/>
      <c r="U1154" s="241"/>
      <c r="V1154" s="241"/>
      <c r="W1154" s="241"/>
      <c r="X1154" s="242"/>
      <c r="Y1154" s="241"/>
      <c r="Z1154" s="241"/>
      <c r="AA1154" s="241"/>
      <c r="AB1154" s="241"/>
      <c r="AC1154" s="241"/>
      <c r="AD1154" s="241"/>
      <c r="AE1154" s="241"/>
      <c r="AF1154" s="241"/>
      <c r="AG1154" s="241"/>
      <c r="AH1154" s="241"/>
      <c r="AI1154" s="241"/>
      <c r="AJ1154" s="242"/>
    </row>
    <row r="1155" hidden="1">
      <c r="A1155" s="241"/>
      <c r="B1155" s="241"/>
      <c r="C1155" s="241"/>
      <c r="D1155" s="241"/>
      <c r="E1155" s="241"/>
      <c r="F1155" s="241"/>
      <c r="G1155" s="241"/>
      <c r="H1155" s="241"/>
      <c r="I1155" s="241"/>
      <c r="J1155" s="241"/>
      <c r="K1155" s="241"/>
      <c r="L1155" s="242"/>
      <c r="M1155" s="241"/>
      <c r="N1155" s="241"/>
      <c r="O1155" s="241"/>
      <c r="P1155" s="241"/>
      <c r="Q1155" s="241"/>
      <c r="R1155" s="241"/>
      <c r="S1155" s="241"/>
      <c r="T1155" s="241"/>
      <c r="U1155" s="241"/>
      <c r="V1155" s="241"/>
      <c r="W1155" s="241"/>
      <c r="X1155" s="242"/>
      <c r="Y1155" s="241"/>
      <c r="Z1155" s="241"/>
      <c r="AA1155" s="241"/>
      <c r="AB1155" s="241"/>
      <c r="AC1155" s="241"/>
      <c r="AD1155" s="241"/>
      <c r="AE1155" s="241"/>
      <c r="AF1155" s="241"/>
      <c r="AG1155" s="241"/>
      <c r="AH1155" s="241"/>
      <c r="AI1155" s="241"/>
      <c r="AJ1155" s="242"/>
    </row>
    <row r="1156" hidden="1">
      <c r="A1156" s="241"/>
      <c r="B1156" s="241"/>
      <c r="C1156" s="241"/>
      <c r="D1156" s="241"/>
      <c r="E1156" s="241"/>
      <c r="F1156" s="241"/>
      <c r="G1156" s="241"/>
      <c r="H1156" s="241"/>
      <c r="I1156" s="241"/>
      <c r="J1156" s="241"/>
      <c r="K1156" s="241"/>
      <c r="L1156" s="242"/>
      <c r="M1156" s="241"/>
      <c r="N1156" s="241"/>
      <c r="O1156" s="241"/>
      <c r="P1156" s="241"/>
      <c r="Q1156" s="241"/>
      <c r="R1156" s="241"/>
      <c r="S1156" s="241"/>
      <c r="T1156" s="241"/>
      <c r="U1156" s="241"/>
      <c r="V1156" s="241"/>
      <c r="W1156" s="241"/>
      <c r="X1156" s="242"/>
      <c r="Y1156" s="241"/>
      <c r="Z1156" s="241"/>
      <c r="AA1156" s="241"/>
      <c r="AB1156" s="241"/>
      <c r="AC1156" s="241"/>
      <c r="AD1156" s="241"/>
      <c r="AE1156" s="241"/>
      <c r="AF1156" s="241"/>
      <c r="AG1156" s="241"/>
      <c r="AH1156" s="241"/>
      <c r="AI1156" s="241"/>
      <c r="AJ1156" s="242"/>
    </row>
    <row r="1157" hidden="1">
      <c r="A1157" s="241"/>
      <c r="B1157" s="241"/>
      <c r="C1157" s="241"/>
      <c r="D1157" s="241"/>
      <c r="E1157" s="241"/>
      <c r="F1157" s="241"/>
      <c r="G1157" s="241"/>
      <c r="H1157" s="241"/>
      <c r="I1157" s="241"/>
      <c r="J1157" s="241"/>
      <c r="K1157" s="241"/>
      <c r="L1157" s="242"/>
      <c r="M1157" s="241"/>
      <c r="N1157" s="241"/>
      <c r="O1157" s="241"/>
      <c r="P1157" s="241"/>
      <c r="Q1157" s="241"/>
      <c r="R1157" s="241"/>
      <c r="S1157" s="241"/>
      <c r="T1157" s="241"/>
      <c r="U1157" s="241"/>
      <c r="V1157" s="241"/>
      <c r="W1157" s="241"/>
      <c r="X1157" s="242"/>
      <c r="Y1157" s="241"/>
      <c r="Z1157" s="241"/>
      <c r="AA1157" s="241"/>
      <c r="AB1157" s="241"/>
      <c r="AC1157" s="241"/>
      <c r="AD1157" s="241"/>
      <c r="AE1157" s="241"/>
      <c r="AF1157" s="241"/>
      <c r="AG1157" s="241"/>
      <c r="AH1157" s="241"/>
      <c r="AI1157" s="241"/>
      <c r="AJ1157" s="242"/>
    </row>
    <row r="1158" hidden="1">
      <c r="A1158" s="241"/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2"/>
      <c r="M1158" s="241"/>
      <c r="N1158" s="241"/>
      <c r="O1158" s="241"/>
      <c r="P1158" s="241"/>
      <c r="Q1158" s="241"/>
      <c r="R1158" s="241"/>
      <c r="S1158" s="241"/>
      <c r="T1158" s="241"/>
      <c r="U1158" s="241"/>
      <c r="V1158" s="241"/>
      <c r="W1158" s="241"/>
      <c r="X1158" s="242"/>
      <c r="Y1158" s="241"/>
      <c r="Z1158" s="241"/>
      <c r="AA1158" s="241"/>
      <c r="AB1158" s="241"/>
      <c r="AC1158" s="241"/>
      <c r="AD1158" s="241"/>
      <c r="AE1158" s="241"/>
      <c r="AF1158" s="241"/>
      <c r="AG1158" s="241"/>
      <c r="AH1158" s="241"/>
      <c r="AI1158" s="241"/>
      <c r="AJ1158" s="242"/>
    </row>
    <row r="1159" hidden="1">
      <c r="A1159" s="241"/>
      <c r="B1159" s="241"/>
      <c r="C1159" s="241"/>
      <c r="D1159" s="241"/>
      <c r="E1159" s="241"/>
      <c r="F1159" s="241"/>
      <c r="G1159" s="241"/>
      <c r="H1159" s="241"/>
      <c r="I1159" s="241"/>
      <c r="J1159" s="241"/>
      <c r="K1159" s="241"/>
      <c r="L1159" s="242"/>
      <c r="M1159" s="241"/>
      <c r="N1159" s="241"/>
      <c r="O1159" s="241"/>
      <c r="P1159" s="241"/>
      <c r="Q1159" s="241"/>
      <c r="R1159" s="241"/>
      <c r="S1159" s="241"/>
      <c r="T1159" s="241"/>
      <c r="U1159" s="241"/>
      <c r="V1159" s="241"/>
      <c r="W1159" s="241"/>
      <c r="X1159" s="242"/>
      <c r="Y1159" s="241"/>
      <c r="Z1159" s="241"/>
      <c r="AA1159" s="241"/>
      <c r="AB1159" s="241"/>
      <c r="AC1159" s="241"/>
      <c r="AD1159" s="241"/>
      <c r="AE1159" s="241"/>
      <c r="AF1159" s="241"/>
      <c r="AG1159" s="241"/>
      <c r="AH1159" s="241"/>
      <c r="AI1159" s="241"/>
      <c r="AJ1159" s="242"/>
    </row>
    <row r="1160" hidden="1">
      <c r="A1160" s="241"/>
      <c r="B1160" s="241"/>
      <c r="C1160" s="241"/>
      <c r="D1160" s="241"/>
      <c r="E1160" s="241"/>
      <c r="F1160" s="241"/>
      <c r="G1160" s="241"/>
      <c r="H1160" s="241"/>
      <c r="I1160" s="241"/>
      <c r="J1160" s="241"/>
      <c r="K1160" s="241"/>
      <c r="L1160" s="242"/>
      <c r="M1160" s="241"/>
      <c r="N1160" s="241"/>
      <c r="O1160" s="241"/>
      <c r="P1160" s="241"/>
      <c r="Q1160" s="241"/>
      <c r="R1160" s="241"/>
      <c r="S1160" s="241"/>
      <c r="T1160" s="241"/>
      <c r="U1160" s="241"/>
      <c r="V1160" s="241"/>
      <c r="W1160" s="241"/>
      <c r="X1160" s="242"/>
      <c r="Y1160" s="241"/>
      <c r="Z1160" s="241"/>
      <c r="AA1160" s="241"/>
      <c r="AB1160" s="241"/>
      <c r="AC1160" s="241"/>
      <c r="AD1160" s="241"/>
      <c r="AE1160" s="241"/>
      <c r="AF1160" s="241"/>
      <c r="AG1160" s="241"/>
      <c r="AH1160" s="241"/>
      <c r="AI1160" s="241"/>
      <c r="AJ1160" s="242"/>
    </row>
    <row r="1161" hidden="1">
      <c r="A1161" s="241"/>
      <c r="B1161" s="241"/>
      <c r="C1161" s="241"/>
      <c r="D1161" s="241"/>
      <c r="E1161" s="241"/>
      <c r="F1161" s="241"/>
      <c r="G1161" s="241"/>
      <c r="H1161" s="241"/>
      <c r="I1161" s="241"/>
      <c r="J1161" s="241"/>
      <c r="K1161" s="241"/>
      <c r="L1161" s="242"/>
      <c r="M1161" s="241"/>
      <c r="N1161" s="241"/>
      <c r="O1161" s="241"/>
      <c r="P1161" s="241"/>
      <c r="Q1161" s="241"/>
      <c r="R1161" s="241"/>
      <c r="S1161" s="241"/>
      <c r="T1161" s="241"/>
      <c r="U1161" s="241"/>
      <c r="V1161" s="241"/>
      <c r="W1161" s="241"/>
      <c r="X1161" s="242"/>
      <c r="Y1161" s="241"/>
      <c r="Z1161" s="241"/>
      <c r="AA1161" s="241"/>
      <c r="AB1161" s="241"/>
      <c r="AC1161" s="241"/>
      <c r="AD1161" s="241"/>
      <c r="AE1161" s="241"/>
      <c r="AF1161" s="241"/>
      <c r="AG1161" s="241"/>
      <c r="AH1161" s="241"/>
      <c r="AI1161" s="241"/>
      <c r="AJ1161" s="242"/>
    </row>
    <row r="1162" hidden="1">
      <c r="A1162" s="241"/>
      <c r="B1162" s="241"/>
      <c r="C1162" s="241"/>
      <c r="D1162" s="241"/>
      <c r="E1162" s="241"/>
      <c r="F1162" s="241"/>
      <c r="G1162" s="241"/>
      <c r="H1162" s="241"/>
      <c r="I1162" s="241"/>
      <c r="J1162" s="241"/>
      <c r="K1162" s="241"/>
      <c r="L1162" s="242"/>
      <c r="M1162" s="241"/>
      <c r="N1162" s="241"/>
      <c r="O1162" s="241"/>
      <c r="P1162" s="241"/>
      <c r="Q1162" s="241"/>
      <c r="R1162" s="241"/>
      <c r="S1162" s="241"/>
      <c r="T1162" s="241"/>
      <c r="U1162" s="241"/>
      <c r="V1162" s="241"/>
      <c r="W1162" s="241"/>
      <c r="X1162" s="242"/>
      <c r="Y1162" s="241"/>
      <c r="Z1162" s="241"/>
      <c r="AA1162" s="241"/>
      <c r="AB1162" s="241"/>
      <c r="AC1162" s="241"/>
      <c r="AD1162" s="241"/>
      <c r="AE1162" s="241"/>
      <c r="AF1162" s="241"/>
      <c r="AG1162" s="241"/>
      <c r="AH1162" s="241"/>
      <c r="AI1162" s="241"/>
      <c r="AJ1162" s="242"/>
    </row>
    <row r="1163" hidden="1">
      <c r="A1163" s="241"/>
      <c r="B1163" s="241"/>
      <c r="C1163" s="241"/>
      <c r="D1163" s="241"/>
      <c r="E1163" s="241"/>
      <c r="F1163" s="241"/>
      <c r="G1163" s="241"/>
      <c r="H1163" s="241"/>
      <c r="I1163" s="241"/>
      <c r="J1163" s="241"/>
      <c r="K1163" s="241"/>
      <c r="L1163" s="242"/>
      <c r="M1163" s="241"/>
      <c r="N1163" s="241"/>
      <c r="O1163" s="241"/>
      <c r="P1163" s="241"/>
      <c r="Q1163" s="241"/>
      <c r="R1163" s="241"/>
      <c r="S1163" s="241"/>
      <c r="T1163" s="241"/>
      <c r="U1163" s="241"/>
      <c r="V1163" s="241"/>
      <c r="W1163" s="241"/>
      <c r="X1163" s="242"/>
      <c r="Y1163" s="241"/>
      <c r="Z1163" s="241"/>
      <c r="AA1163" s="241"/>
      <c r="AB1163" s="241"/>
      <c r="AC1163" s="241"/>
      <c r="AD1163" s="241"/>
      <c r="AE1163" s="241"/>
      <c r="AF1163" s="241"/>
      <c r="AG1163" s="241"/>
      <c r="AH1163" s="241"/>
      <c r="AI1163" s="241"/>
      <c r="AJ1163" s="242"/>
    </row>
    <row r="1164" hidden="1">
      <c r="A1164" s="241"/>
      <c r="B1164" s="241"/>
      <c r="C1164" s="241"/>
      <c r="D1164" s="241"/>
      <c r="E1164" s="241"/>
      <c r="F1164" s="241"/>
      <c r="G1164" s="241"/>
      <c r="H1164" s="241"/>
      <c r="I1164" s="241"/>
      <c r="J1164" s="241"/>
      <c r="K1164" s="241"/>
      <c r="L1164" s="242"/>
      <c r="M1164" s="241"/>
      <c r="N1164" s="241"/>
      <c r="O1164" s="241"/>
      <c r="P1164" s="241"/>
      <c r="Q1164" s="241"/>
      <c r="R1164" s="241"/>
      <c r="S1164" s="241"/>
      <c r="T1164" s="241"/>
      <c r="U1164" s="241"/>
      <c r="V1164" s="241"/>
      <c r="W1164" s="241"/>
      <c r="X1164" s="242"/>
      <c r="Y1164" s="241"/>
      <c r="Z1164" s="241"/>
      <c r="AA1164" s="241"/>
      <c r="AB1164" s="241"/>
      <c r="AC1164" s="241"/>
      <c r="AD1164" s="241"/>
      <c r="AE1164" s="241"/>
      <c r="AF1164" s="241"/>
      <c r="AG1164" s="241"/>
      <c r="AH1164" s="241"/>
      <c r="AI1164" s="241"/>
      <c r="AJ1164" s="242"/>
    </row>
    <row r="1165" hidden="1">
      <c r="A1165" s="241"/>
      <c r="B1165" s="241"/>
      <c r="C1165" s="241"/>
      <c r="D1165" s="241"/>
      <c r="E1165" s="241"/>
      <c r="F1165" s="241"/>
      <c r="G1165" s="241"/>
      <c r="H1165" s="241"/>
      <c r="I1165" s="241"/>
      <c r="J1165" s="241"/>
      <c r="K1165" s="241"/>
      <c r="L1165" s="242"/>
      <c r="M1165" s="241"/>
      <c r="N1165" s="241"/>
      <c r="O1165" s="241"/>
      <c r="P1165" s="241"/>
      <c r="Q1165" s="241"/>
      <c r="R1165" s="241"/>
      <c r="S1165" s="241"/>
      <c r="T1165" s="241"/>
      <c r="U1165" s="241"/>
      <c r="V1165" s="241"/>
      <c r="W1165" s="241"/>
      <c r="X1165" s="242"/>
      <c r="Y1165" s="241"/>
      <c r="Z1165" s="241"/>
      <c r="AA1165" s="241"/>
      <c r="AB1165" s="241"/>
      <c r="AC1165" s="241"/>
      <c r="AD1165" s="241"/>
      <c r="AE1165" s="241"/>
      <c r="AF1165" s="241"/>
      <c r="AG1165" s="241"/>
      <c r="AH1165" s="241"/>
      <c r="AI1165" s="241"/>
      <c r="AJ1165" s="242"/>
    </row>
    <row r="1166" hidden="1">
      <c r="A1166" s="241"/>
      <c r="B1166" s="241"/>
      <c r="C1166" s="241"/>
      <c r="D1166" s="241"/>
      <c r="E1166" s="241"/>
      <c r="F1166" s="241"/>
      <c r="G1166" s="241"/>
      <c r="H1166" s="241"/>
      <c r="I1166" s="241"/>
      <c r="J1166" s="241"/>
      <c r="K1166" s="241"/>
      <c r="L1166" s="242"/>
      <c r="M1166" s="241"/>
      <c r="N1166" s="241"/>
      <c r="O1166" s="241"/>
      <c r="P1166" s="241"/>
      <c r="Q1166" s="241"/>
      <c r="R1166" s="241"/>
      <c r="S1166" s="241"/>
      <c r="T1166" s="241"/>
      <c r="U1166" s="241"/>
      <c r="V1166" s="241"/>
      <c r="W1166" s="241"/>
      <c r="X1166" s="242"/>
      <c r="Y1166" s="241"/>
      <c r="Z1166" s="241"/>
      <c r="AA1166" s="241"/>
      <c r="AB1166" s="241"/>
      <c r="AC1166" s="241"/>
      <c r="AD1166" s="241"/>
      <c r="AE1166" s="241"/>
      <c r="AF1166" s="241"/>
      <c r="AG1166" s="241"/>
      <c r="AH1166" s="241"/>
      <c r="AI1166" s="241"/>
      <c r="AJ1166" s="242"/>
    </row>
    <row r="1167" hidden="1">
      <c r="A1167" s="241"/>
      <c r="B1167" s="241"/>
      <c r="C1167" s="241"/>
      <c r="D1167" s="241"/>
      <c r="E1167" s="241"/>
      <c r="F1167" s="241"/>
      <c r="G1167" s="241"/>
      <c r="H1167" s="241"/>
      <c r="I1167" s="241"/>
      <c r="J1167" s="241"/>
      <c r="K1167" s="241"/>
      <c r="L1167" s="242"/>
      <c r="M1167" s="241"/>
      <c r="N1167" s="241"/>
      <c r="O1167" s="241"/>
      <c r="P1167" s="241"/>
      <c r="Q1167" s="241"/>
      <c r="R1167" s="241"/>
      <c r="S1167" s="241"/>
      <c r="T1167" s="241"/>
      <c r="U1167" s="241"/>
      <c r="V1167" s="241"/>
      <c r="W1167" s="241"/>
      <c r="X1167" s="242"/>
      <c r="Y1167" s="241"/>
      <c r="Z1167" s="241"/>
      <c r="AA1167" s="241"/>
      <c r="AB1167" s="241"/>
      <c r="AC1167" s="241"/>
      <c r="AD1167" s="241"/>
      <c r="AE1167" s="241"/>
      <c r="AF1167" s="241"/>
      <c r="AG1167" s="241"/>
      <c r="AH1167" s="241"/>
      <c r="AI1167" s="241"/>
      <c r="AJ1167" s="242"/>
    </row>
    <row r="1168" hidden="1">
      <c r="A1168" s="241"/>
      <c r="B1168" s="241"/>
      <c r="C1168" s="241"/>
      <c r="D1168" s="241"/>
      <c r="E1168" s="241"/>
      <c r="F1168" s="241"/>
      <c r="G1168" s="241"/>
      <c r="H1168" s="241"/>
      <c r="I1168" s="241"/>
      <c r="J1168" s="241"/>
      <c r="K1168" s="241"/>
      <c r="L1168" s="242"/>
      <c r="M1168" s="241"/>
      <c r="N1168" s="241"/>
      <c r="O1168" s="241"/>
      <c r="P1168" s="241"/>
      <c r="Q1168" s="241"/>
      <c r="R1168" s="241"/>
      <c r="S1168" s="241"/>
      <c r="T1168" s="241"/>
      <c r="U1168" s="241"/>
      <c r="V1168" s="241"/>
      <c r="W1168" s="241"/>
      <c r="X1168" s="242"/>
      <c r="Y1168" s="241"/>
      <c r="Z1168" s="241"/>
      <c r="AA1168" s="241"/>
      <c r="AB1168" s="241"/>
      <c r="AC1168" s="241"/>
      <c r="AD1168" s="241"/>
      <c r="AE1168" s="241"/>
      <c r="AF1168" s="241"/>
      <c r="AG1168" s="241"/>
      <c r="AH1168" s="241"/>
      <c r="AI1168" s="241"/>
      <c r="AJ1168" s="242"/>
    </row>
    <row r="1169" hidden="1">
      <c r="A1169" s="241"/>
      <c r="B1169" s="241"/>
      <c r="C1169" s="241"/>
      <c r="D1169" s="241"/>
      <c r="E1169" s="241"/>
      <c r="F1169" s="241"/>
      <c r="G1169" s="241"/>
      <c r="H1169" s="241"/>
      <c r="I1169" s="241"/>
      <c r="J1169" s="241"/>
      <c r="K1169" s="241"/>
      <c r="L1169" s="242"/>
      <c r="M1169" s="241"/>
      <c r="N1169" s="241"/>
      <c r="O1169" s="241"/>
      <c r="P1169" s="241"/>
      <c r="Q1169" s="241"/>
      <c r="R1169" s="241"/>
      <c r="S1169" s="241"/>
      <c r="T1169" s="241"/>
      <c r="U1169" s="241"/>
      <c r="V1169" s="241"/>
      <c r="W1169" s="241"/>
      <c r="X1169" s="242"/>
      <c r="Y1169" s="241"/>
      <c r="Z1169" s="241"/>
      <c r="AA1169" s="241"/>
      <c r="AB1169" s="241"/>
      <c r="AC1169" s="241"/>
      <c r="AD1169" s="241"/>
      <c r="AE1169" s="241"/>
      <c r="AF1169" s="241"/>
      <c r="AG1169" s="241"/>
      <c r="AH1169" s="241"/>
      <c r="AI1169" s="241"/>
      <c r="AJ1169" s="242"/>
    </row>
    <row r="1170" hidden="1">
      <c r="A1170" s="241"/>
      <c r="B1170" s="241"/>
      <c r="C1170" s="241"/>
      <c r="D1170" s="241"/>
      <c r="E1170" s="241"/>
      <c r="F1170" s="241"/>
      <c r="G1170" s="241"/>
      <c r="H1170" s="241"/>
      <c r="I1170" s="241"/>
      <c r="J1170" s="241"/>
      <c r="K1170" s="241"/>
      <c r="L1170" s="242"/>
      <c r="M1170" s="241"/>
      <c r="N1170" s="241"/>
      <c r="O1170" s="241"/>
      <c r="P1170" s="241"/>
      <c r="Q1170" s="241"/>
      <c r="R1170" s="241"/>
      <c r="S1170" s="241"/>
      <c r="T1170" s="241"/>
      <c r="U1170" s="241"/>
      <c r="V1170" s="241"/>
      <c r="W1170" s="241"/>
      <c r="X1170" s="242"/>
      <c r="Y1170" s="241"/>
      <c r="Z1170" s="241"/>
      <c r="AA1170" s="241"/>
      <c r="AB1170" s="241"/>
      <c r="AC1170" s="241"/>
      <c r="AD1170" s="241"/>
      <c r="AE1170" s="241"/>
      <c r="AF1170" s="241"/>
      <c r="AG1170" s="241"/>
      <c r="AH1170" s="241"/>
      <c r="AI1170" s="241"/>
      <c r="AJ1170" s="242"/>
    </row>
    <row r="1171" hidden="1">
      <c r="A1171" s="241"/>
      <c r="B1171" s="241"/>
      <c r="C1171" s="241"/>
      <c r="D1171" s="241"/>
      <c r="E1171" s="241"/>
      <c r="F1171" s="241"/>
      <c r="G1171" s="241"/>
      <c r="H1171" s="241"/>
      <c r="I1171" s="241"/>
      <c r="J1171" s="241"/>
      <c r="K1171" s="241"/>
      <c r="L1171" s="242"/>
      <c r="M1171" s="241"/>
      <c r="N1171" s="241"/>
      <c r="O1171" s="241"/>
      <c r="P1171" s="241"/>
      <c r="Q1171" s="241"/>
      <c r="R1171" s="241"/>
      <c r="S1171" s="241"/>
      <c r="T1171" s="241"/>
      <c r="U1171" s="241"/>
      <c r="V1171" s="241"/>
      <c r="W1171" s="241"/>
      <c r="X1171" s="242"/>
      <c r="Y1171" s="241"/>
      <c r="Z1171" s="241"/>
      <c r="AA1171" s="241"/>
      <c r="AB1171" s="241"/>
      <c r="AC1171" s="241"/>
      <c r="AD1171" s="241"/>
      <c r="AE1171" s="241"/>
      <c r="AF1171" s="241"/>
      <c r="AG1171" s="241"/>
      <c r="AH1171" s="241"/>
      <c r="AI1171" s="241"/>
      <c r="AJ1171" s="242"/>
    </row>
    <row r="1172" hidden="1">
      <c r="A1172" s="241"/>
      <c r="B1172" s="241"/>
      <c r="C1172" s="241"/>
      <c r="D1172" s="241"/>
      <c r="E1172" s="241"/>
      <c r="F1172" s="241"/>
      <c r="G1172" s="241"/>
      <c r="H1172" s="241"/>
      <c r="I1172" s="241"/>
      <c r="J1172" s="241"/>
      <c r="K1172" s="241"/>
      <c r="L1172" s="242"/>
      <c r="M1172" s="241"/>
      <c r="N1172" s="241"/>
      <c r="O1172" s="241"/>
      <c r="P1172" s="241"/>
      <c r="Q1172" s="241"/>
      <c r="R1172" s="241"/>
      <c r="S1172" s="241"/>
      <c r="T1172" s="241"/>
      <c r="U1172" s="241"/>
      <c r="V1172" s="241"/>
      <c r="W1172" s="241"/>
      <c r="X1172" s="242"/>
      <c r="Y1172" s="241"/>
      <c r="Z1172" s="241"/>
      <c r="AA1172" s="241"/>
      <c r="AB1172" s="241"/>
      <c r="AC1172" s="241"/>
      <c r="AD1172" s="241"/>
      <c r="AE1172" s="241"/>
      <c r="AF1172" s="241"/>
      <c r="AG1172" s="241"/>
      <c r="AH1172" s="241"/>
      <c r="AI1172" s="241"/>
      <c r="AJ1172" s="242"/>
    </row>
    <row r="1173" hidden="1">
      <c r="A1173" s="241"/>
      <c r="B1173" s="241"/>
      <c r="C1173" s="241"/>
      <c r="D1173" s="241"/>
      <c r="E1173" s="241"/>
      <c r="F1173" s="241"/>
      <c r="G1173" s="241"/>
      <c r="H1173" s="241"/>
      <c r="I1173" s="241"/>
      <c r="J1173" s="241"/>
      <c r="K1173" s="241"/>
      <c r="L1173" s="242"/>
      <c r="M1173" s="241"/>
      <c r="N1173" s="241"/>
      <c r="O1173" s="241"/>
      <c r="P1173" s="241"/>
      <c r="Q1173" s="241"/>
      <c r="R1173" s="241"/>
      <c r="S1173" s="241"/>
      <c r="T1173" s="241"/>
      <c r="U1173" s="241"/>
      <c r="V1173" s="241"/>
      <c r="W1173" s="241"/>
      <c r="X1173" s="242"/>
      <c r="Y1173" s="241"/>
      <c r="Z1173" s="241"/>
      <c r="AA1173" s="241"/>
      <c r="AB1173" s="241"/>
      <c r="AC1173" s="241"/>
      <c r="AD1173" s="241"/>
      <c r="AE1173" s="241"/>
      <c r="AF1173" s="241"/>
      <c r="AG1173" s="241"/>
      <c r="AH1173" s="241"/>
      <c r="AI1173" s="241"/>
      <c r="AJ1173" s="242"/>
    </row>
    <row r="1174" hidden="1">
      <c r="A1174" s="241"/>
      <c r="B1174" s="241"/>
      <c r="C1174" s="241"/>
      <c r="D1174" s="241"/>
      <c r="E1174" s="241"/>
      <c r="F1174" s="241"/>
      <c r="G1174" s="241"/>
      <c r="H1174" s="241"/>
      <c r="I1174" s="241"/>
      <c r="J1174" s="241"/>
      <c r="K1174" s="241"/>
      <c r="L1174" s="242"/>
      <c r="M1174" s="241"/>
      <c r="N1174" s="241"/>
      <c r="O1174" s="241"/>
      <c r="P1174" s="241"/>
      <c r="Q1174" s="241"/>
      <c r="R1174" s="241"/>
      <c r="S1174" s="241"/>
      <c r="T1174" s="241"/>
      <c r="U1174" s="241"/>
      <c r="V1174" s="241"/>
      <c r="W1174" s="241"/>
      <c r="X1174" s="242"/>
      <c r="Y1174" s="241"/>
      <c r="Z1174" s="241"/>
      <c r="AA1174" s="241"/>
      <c r="AB1174" s="241"/>
      <c r="AC1174" s="241"/>
      <c r="AD1174" s="241"/>
      <c r="AE1174" s="241"/>
      <c r="AF1174" s="241"/>
      <c r="AG1174" s="241"/>
      <c r="AH1174" s="241"/>
      <c r="AI1174" s="241"/>
      <c r="AJ1174" s="242"/>
    </row>
    <row r="1175" hidden="1">
      <c r="A1175" s="241"/>
      <c r="B1175" s="241"/>
      <c r="C1175" s="241"/>
      <c r="D1175" s="241"/>
      <c r="E1175" s="241"/>
      <c r="F1175" s="241"/>
      <c r="G1175" s="241"/>
      <c r="H1175" s="241"/>
      <c r="I1175" s="241"/>
      <c r="J1175" s="241"/>
      <c r="K1175" s="241"/>
      <c r="L1175" s="242"/>
      <c r="M1175" s="241"/>
      <c r="N1175" s="241"/>
      <c r="O1175" s="241"/>
      <c r="P1175" s="241"/>
      <c r="Q1175" s="241"/>
      <c r="R1175" s="241"/>
      <c r="S1175" s="241"/>
      <c r="T1175" s="241"/>
      <c r="U1175" s="241"/>
      <c r="V1175" s="241"/>
      <c r="W1175" s="241"/>
      <c r="X1175" s="242"/>
      <c r="Y1175" s="241"/>
      <c r="Z1175" s="241"/>
      <c r="AA1175" s="241"/>
      <c r="AB1175" s="241"/>
      <c r="AC1175" s="241"/>
      <c r="AD1175" s="241"/>
      <c r="AE1175" s="241"/>
      <c r="AF1175" s="241"/>
      <c r="AG1175" s="241"/>
      <c r="AH1175" s="241"/>
      <c r="AI1175" s="241"/>
      <c r="AJ1175" s="242"/>
    </row>
    <row r="1176" hidden="1">
      <c r="A1176" s="241"/>
      <c r="B1176" s="241"/>
      <c r="C1176" s="241"/>
      <c r="D1176" s="241"/>
      <c r="E1176" s="241"/>
      <c r="F1176" s="241"/>
      <c r="G1176" s="241"/>
      <c r="H1176" s="241"/>
      <c r="I1176" s="241"/>
      <c r="J1176" s="241"/>
      <c r="K1176" s="241"/>
      <c r="L1176" s="242"/>
      <c r="M1176" s="241"/>
      <c r="N1176" s="241"/>
      <c r="O1176" s="241"/>
      <c r="P1176" s="241"/>
      <c r="Q1176" s="241"/>
      <c r="R1176" s="241"/>
      <c r="S1176" s="241"/>
      <c r="T1176" s="241"/>
      <c r="U1176" s="241"/>
      <c r="V1176" s="241"/>
      <c r="W1176" s="241"/>
      <c r="X1176" s="242"/>
      <c r="Y1176" s="241"/>
      <c r="Z1176" s="241"/>
      <c r="AA1176" s="241"/>
      <c r="AB1176" s="241"/>
      <c r="AC1176" s="241"/>
      <c r="AD1176" s="241"/>
      <c r="AE1176" s="241"/>
      <c r="AF1176" s="241"/>
      <c r="AG1176" s="241"/>
      <c r="AH1176" s="241"/>
      <c r="AI1176" s="241"/>
      <c r="AJ1176" s="242"/>
    </row>
    <row r="1177" hidden="1">
      <c r="A1177" s="241"/>
      <c r="B1177" s="241"/>
      <c r="C1177" s="241"/>
      <c r="D1177" s="241"/>
      <c r="E1177" s="241"/>
      <c r="F1177" s="241"/>
      <c r="G1177" s="241"/>
      <c r="H1177" s="241"/>
      <c r="I1177" s="241"/>
      <c r="J1177" s="241"/>
      <c r="K1177" s="241"/>
      <c r="L1177" s="242"/>
      <c r="M1177" s="241"/>
      <c r="N1177" s="241"/>
      <c r="O1177" s="241"/>
      <c r="P1177" s="241"/>
      <c r="Q1177" s="241"/>
      <c r="R1177" s="241"/>
      <c r="S1177" s="241"/>
      <c r="T1177" s="241"/>
      <c r="U1177" s="241"/>
      <c r="V1177" s="241"/>
      <c r="W1177" s="241"/>
      <c r="X1177" s="242"/>
      <c r="Y1177" s="241"/>
      <c r="Z1177" s="241"/>
      <c r="AA1177" s="241"/>
      <c r="AB1177" s="241"/>
      <c r="AC1177" s="241"/>
      <c r="AD1177" s="241"/>
      <c r="AE1177" s="241"/>
      <c r="AF1177" s="241"/>
      <c r="AG1177" s="241"/>
      <c r="AH1177" s="241"/>
      <c r="AI1177" s="241"/>
      <c r="AJ1177" s="242"/>
    </row>
    <row r="1178" hidden="1">
      <c r="A1178" s="241"/>
      <c r="B1178" s="241"/>
      <c r="C1178" s="241"/>
      <c r="D1178" s="241"/>
      <c r="E1178" s="241"/>
      <c r="F1178" s="241"/>
      <c r="G1178" s="241"/>
      <c r="H1178" s="241"/>
      <c r="I1178" s="241"/>
      <c r="J1178" s="241"/>
      <c r="K1178" s="241"/>
      <c r="L1178" s="242"/>
      <c r="M1178" s="241"/>
      <c r="N1178" s="241"/>
      <c r="O1178" s="241"/>
      <c r="P1178" s="241"/>
      <c r="Q1178" s="241"/>
      <c r="R1178" s="241"/>
      <c r="S1178" s="241"/>
      <c r="T1178" s="241"/>
      <c r="U1178" s="241"/>
      <c r="V1178" s="241"/>
      <c r="W1178" s="241"/>
      <c r="X1178" s="242"/>
      <c r="Y1178" s="241"/>
      <c r="Z1178" s="241"/>
      <c r="AA1178" s="241"/>
      <c r="AB1178" s="241"/>
      <c r="AC1178" s="241"/>
      <c r="AD1178" s="241"/>
      <c r="AE1178" s="241"/>
      <c r="AF1178" s="241"/>
      <c r="AG1178" s="241"/>
      <c r="AH1178" s="241"/>
      <c r="AI1178" s="241"/>
      <c r="AJ1178" s="242"/>
    </row>
    <row r="1179" hidden="1">
      <c r="A1179" s="241"/>
      <c r="B1179" s="241"/>
      <c r="C1179" s="241"/>
      <c r="D1179" s="241"/>
      <c r="E1179" s="241"/>
      <c r="F1179" s="241"/>
      <c r="G1179" s="241"/>
      <c r="H1179" s="241"/>
      <c r="I1179" s="241"/>
      <c r="J1179" s="241"/>
      <c r="K1179" s="241"/>
      <c r="L1179" s="242"/>
      <c r="M1179" s="241"/>
      <c r="N1179" s="241"/>
      <c r="O1179" s="241"/>
      <c r="P1179" s="241"/>
      <c r="Q1179" s="241"/>
      <c r="R1179" s="241"/>
      <c r="S1179" s="241"/>
      <c r="T1179" s="241"/>
      <c r="U1179" s="241"/>
      <c r="V1179" s="241"/>
      <c r="W1179" s="241"/>
      <c r="X1179" s="242"/>
      <c r="Y1179" s="241"/>
      <c r="Z1179" s="241"/>
      <c r="AA1179" s="241"/>
      <c r="AB1179" s="241"/>
      <c r="AC1179" s="241"/>
      <c r="AD1179" s="241"/>
      <c r="AE1179" s="241"/>
      <c r="AF1179" s="241"/>
      <c r="AG1179" s="241"/>
      <c r="AH1179" s="241"/>
      <c r="AI1179" s="241"/>
      <c r="AJ1179" s="242"/>
    </row>
    <row r="1180" hidden="1">
      <c r="A1180" s="241"/>
      <c r="B1180" s="241"/>
      <c r="C1180" s="241"/>
      <c r="D1180" s="241"/>
      <c r="E1180" s="241"/>
      <c r="F1180" s="241"/>
      <c r="G1180" s="241"/>
      <c r="H1180" s="241"/>
      <c r="I1180" s="241"/>
      <c r="J1180" s="241"/>
      <c r="K1180" s="241"/>
      <c r="L1180" s="242"/>
      <c r="M1180" s="241"/>
      <c r="N1180" s="241"/>
      <c r="O1180" s="241"/>
      <c r="P1180" s="241"/>
      <c r="Q1180" s="241"/>
      <c r="R1180" s="241"/>
      <c r="S1180" s="241"/>
      <c r="T1180" s="241"/>
      <c r="U1180" s="241"/>
      <c r="V1180" s="241"/>
      <c r="W1180" s="241"/>
      <c r="X1180" s="242"/>
      <c r="Y1180" s="241"/>
      <c r="Z1180" s="241"/>
      <c r="AA1180" s="241"/>
      <c r="AB1180" s="241"/>
      <c r="AC1180" s="241"/>
      <c r="AD1180" s="241"/>
      <c r="AE1180" s="241"/>
      <c r="AF1180" s="241"/>
      <c r="AG1180" s="241"/>
      <c r="AH1180" s="241"/>
      <c r="AI1180" s="241"/>
      <c r="AJ1180" s="242"/>
    </row>
    <row r="1181" hidden="1">
      <c r="A1181" s="241"/>
      <c r="B1181" s="241"/>
      <c r="C1181" s="241"/>
      <c r="D1181" s="241"/>
      <c r="E1181" s="241"/>
      <c r="F1181" s="241"/>
      <c r="G1181" s="241"/>
      <c r="H1181" s="241"/>
      <c r="I1181" s="241"/>
      <c r="J1181" s="241"/>
      <c r="K1181" s="241"/>
      <c r="L1181" s="242"/>
      <c r="M1181" s="241"/>
      <c r="N1181" s="241"/>
      <c r="O1181" s="241"/>
      <c r="P1181" s="241"/>
      <c r="Q1181" s="241"/>
      <c r="R1181" s="241"/>
      <c r="S1181" s="241"/>
      <c r="T1181" s="241"/>
      <c r="U1181" s="241"/>
      <c r="V1181" s="241"/>
      <c r="W1181" s="241"/>
      <c r="X1181" s="242"/>
      <c r="Y1181" s="241"/>
      <c r="Z1181" s="241"/>
      <c r="AA1181" s="241"/>
      <c r="AB1181" s="241"/>
      <c r="AC1181" s="241"/>
      <c r="AD1181" s="241"/>
      <c r="AE1181" s="241"/>
      <c r="AF1181" s="241"/>
      <c r="AG1181" s="241"/>
      <c r="AH1181" s="241"/>
      <c r="AI1181" s="241"/>
      <c r="AJ1181" s="242"/>
    </row>
    <row r="1182" hidden="1">
      <c r="A1182" s="241"/>
      <c r="B1182" s="241"/>
      <c r="C1182" s="241"/>
      <c r="D1182" s="241"/>
      <c r="E1182" s="241"/>
      <c r="F1182" s="241"/>
      <c r="G1182" s="241"/>
      <c r="H1182" s="241"/>
      <c r="I1182" s="241"/>
      <c r="J1182" s="241"/>
      <c r="K1182" s="241"/>
      <c r="L1182" s="242"/>
      <c r="M1182" s="241"/>
      <c r="N1182" s="241"/>
      <c r="O1182" s="241"/>
      <c r="P1182" s="241"/>
      <c r="Q1182" s="241"/>
      <c r="R1182" s="241"/>
      <c r="S1182" s="241"/>
      <c r="T1182" s="241"/>
      <c r="U1182" s="241"/>
      <c r="V1182" s="241"/>
      <c r="W1182" s="241"/>
      <c r="X1182" s="242"/>
      <c r="Y1182" s="241"/>
      <c r="Z1182" s="241"/>
      <c r="AA1182" s="241"/>
      <c r="AB1182" s="241"/>
      <c r="AC1182" s="241"/>
      <c r="AD1182" s="241"/>
      <c r="AE1182" s="241"/>
      <c r="AF1182" s="241"/>
      <c r="AG1182" s="241"/>
      <c r="AH1182" s="241"/>
      <c r="AI1182" s="241"/>
      <c r="AJ1182" s="242"/>
    </row>
    <row r="1183" hidden="1">
      <c r="A1183" s="241"/>
      <c r="B1183" s="241"/>
      <c r="C1183" s="241"/>
      <c r="D1183" s="241"/>
      <c r="E1183" s="241"/>
      <c r="F1183" s="241"/>
      <c r="G1183" s="241"/>
      <c r="H1183" s="241"/>
      <c r="I1183" s="241"/>
      <c r="J1183" s="241"/>
      <c r="K1183" s="241"/>
      <c r="L1183" s="242"/>
      <c r="M1183" s="241"/>
      <c r="N1183" s="241"/>
      <c r="O1183" s="241"/>
      <c r="P1183" s="241"/>
      <c r="Q1183" s="241"/>
      <c r="R1183" s="241"/>
      <c r="S1183" s="241"/>
      <c r="T1183" s="241"/>
      <c r="U1183" s="241"/>
      <c r="V1183" s="241"/>
      <c r="W1183" s="241"/>
      <c r="X1183" s="242"/>
      <c r="Y1183" s="241"/>
      <c r="Z1183" s="241"/>
      <c r="AA1183" s="241"/>
      <c r="AB1183" s="241"/>
      <c r="AC1183" s="241"/>
      <c r="AD1183" s="241"/>
      <c r="AE1183" s="241"/>
      <c r="AF1183" s="241"/>
      <c r="AG1183" s="241"/>
      <c r="AH1183" s="241"/>
      <c r="AI1183" s="241"/>
      <c r="AJ1183" s="242"/>
    </row>
    <row r="1184" hidden="1">
      <c r="A1184" s="241"/>
      <c r="B1184" s="241"/>
      <c r="C1184" s="241"/>
      <c r="D1184" s="241"/>
      <c r="E1184" s="241"/>
      <c r="F1184" s="241"/>
      <c r="G1184" s="241"/>
      <c r="H1184" s="241"/>
      <c r="I1184" s="241"/>
      <c r="J1184" s="241"/>
      <c r="K1184" s="241"/>
      <c r="L1184" s="242"/>
      <c r="M1184" s="241"/>
      <c r="N1184" s="241"/>
      <c r="O1184" s="241"/>
      <c r="P1184" s="241"/>
      <c r="Q1184" s="241"/>
      <c r="R1184" s="241"/>
      <c r="S1184" s="241"/>
      <c r="T1184" s="241"/>
      <c r="U1184" s="241"/>
      <c r="V1184" s="241"/>
      <c r="W1184" s="241"/>
      <c r="X1184" s="242"/>
      <c r="Y1184" s="241"/>
      <c r="Z1184" s="241"/>
      <c r="AA1184" s="241"/>
      <c r="AB1184" s="241"/>
      <c r="AC1184" s="241"/>
      <c r="AD1184" s="241"/>
      <c r="AE1184" s="241"/>
      <c r="AF1184" s="241"/>
      <c r="AG1184" s="241"/>
      <c r="AH1184" s="241"/>
      <c r="AI1184" s="241"/>
      <c r="AJ1184" s="242"/>
    </row>
    <row r="1185" hidden="1">
      <c r="A1185" s="241"/>
      <c r="B1185" s="241"/>
      <c r="C1185" s="241"/>
      <c r="D1185" s="241"/>
      <c r="E1185" s="241"/>
      <c r="F1185" s="241"/>
      <c r="G1185" s="241"/>
      <c r="H1185" s="241"/>
      <c r="I1185" s="241"/>
      <c r="J1185" s="241"/>
      <c r="K1185" s="241"/>
      <c r="L1185" s="242"/>
      <c r="M1185" s="241"/>
      <c r="N1185" s="241"/>
      <c r="O1185" s="241"/>
      <c r="P1185" s="241"/>
      <c r="Q1185" s="241"/>
      <c r="R1185" s="241"/>
      <c r="S1185" s="241"/>
      <c r="T1185" s="241"/>
      <c r="U1185" s="241"/>
      <c r="V1185" s="241"/>
      <c r="W1185" s="241"/>
      <c r="X1185" s="242"/>
      <c r="Y1185" s="241"/>
      <c r="Z1185" s="241"/>
      <c r="AA1185" s="241"/>
      <c r="AB1185" s="241"/>
      <c r="AC1185" s="241"/>
      <c r="AD1185" s="241"/>
      <c r="AE1185" s="241"/>
      <c r="AF1185" s="241"/>
      <c r="AG1185" s="241"/>
      <c r="AH1185" s="241"/>
      <c r="AI1185" s="241"/>
      <c r="AJ1185" s="242"/>
    </row>
    <row r="1186" hidden="1">
      <c r="A1186" s="241"/>
      <c r="B1186" s="241"/>
      <c r="C1186" s="241"/>
      <c r="D1186" s="241"/>
      <c r="E1186" s="241"/>
      <c r="F1186" s="241"/>
      <c r="G1186" s="241"/>
      <c r="H1186" s="241"/>
      <c r="I1186" s="241"/>
      <c r="J1186" s="241"/>
      <c r="K1186" s="241"/>
      <c r="L1186" s="242"/>
      <c r="M1186" s="241"/>
      <c r="N1186" s="241"/>
      <c r="O1186" s="241"/>
      <c r="P1186" s="241"/>
      <c r="Q1186" s="241"/>
      <c r="R1186" s="241"/>
      <c r="S1186" s="241"/>
      <c r="T1186" s="241"/>
      <c r="U1186" s="241"/>
      <c r="V1186" s="241"/>
      <c r="W1186" s="241"/>
      <c r="X1186" s="242"/>
      <c r="Y1186" s="241"/>
      <c r="Z1186" s="241"/>
      <c r="AA1186" s="241"/>
      <c r="AB1186" s="241"/>
      <c r="AC1186" s="241"/>
      <c r="AD1186" s="241"/>
      <c r="AE1186" s="241"/>
      <c r="AF1186" s="241"/>
      <c r="AG1186" s="241"/>
      <c r="AH1186" s="241"/>
      <c r="AI1186" s="241"/>
      <c r="AJ1186" s="242"/>
    </row>
    <row r="1187" hidden="1">
      <c r="A1187" s="241"/>
      <c r="B1187" s="241"/>
      <c r="C1187" s="241"/>
      <c r="D1187" s="241"/>
      <c r="E1187" s="241"/>
      <c r="F1187" s="241"/>
      <c r="G1187" s="241"/>
      <c r="H1187" s="241"/>
      <c r="I1187" s="241"/>
      <c r="J1187" s="241"/>
      <c r="K1187" s="241"/>
      <c r="L1187" s="242"/>
      <c r="M1187" s="241"/>
      <c r="N1187" s="241"/>
      <c r="O1187" s="241"/>
      <c r="P1187" s="241"/>
      <c r="Q1187" s="241"/>
      <c r="R1187" s="241"/>
      <c r="S1187" s="241"/>
      <c r="T1187" s="241"/>
      <c r="U1187" s="241"/>
      <c r="V1187" s="241"/>
      <c r="W1187" s="241"/>
      <c r="X1187" s="242"/>
      <c r="Y1187" s="241"/>
      <c r="Z1187" s="241"/>
      <c r="AA1187" s="241"/>
      <c r="AB1187" s="241"/>
      <c r="AC1187" s="241"/>
      <c r="AD1187" s="241"/>
      <c r="AE1187" s="241"/>
      <c r="AF1187" s="241"/>
      <c r="AG1187" s="241"/>
      <c r="AH1187" s="241"/>
      <c r="AI1187" s="241"/>
      <c r="AJ1187" s="242"/>
    </row>
    <row r="1188" hidden="1">
      <c r="A1188" s="241"/>
      <c r="B1188" s="241"/>
      <c r="C1188" s="241"/>
      <c r="D1188" s="241"/>
      <c r="E1188" s="241"/>
      <c r="F1188" s="241"/>
      <c r="G1188" s="241"/>
      <c r="H1188" s="241"/>
      <c r="I1188" s="241"/>
      <c r="J1188" s="241"/>
      <c r="K1188" s="241"/>
      <c r="L1188" s="242"/>
      <c r="M1188" s="241"/>
      <c r="N1188" s="241"/>
      <c r="O1188" s="241"/>
      <c r="P1188" s="241"/>
      <c r="Q1188" s="241"/>
      <c r="R1188" s="241"/>
      <c r="S1188" s="241"/>
      <c r="T1188" s="241"/>
      <c r="U1188" s="241"/>
      <c r="V1188" s="241"/>
      <c r="W1188" s="241"/>
      <c r="X1188" s="242"/>
      <c r="Y1188" s="241"/>
      <c r="Z1188" s="241"/>
      <c r="AA1188" s="241"/>
      <c r="AB1188" s="241"/>
      <c r="AC1188" s="241"/>
      <c r="AD1188" s="241"/>
      <c r="AE1188" s="241"/>
      <c r="AF1188" s="241"/>
      <c r="AG1188" s="241"/>
      <c r="AH1188" s="241"/>
      <c r="AI1188" s="241"/>
      <c r="AJ1188" s="242"/>
    </row>
    <row r="1189" hidden="1">
      <c r="A1189" s="241"/>
      <c r="B1189" s="241"/>
      <c r="C1189" s="241"/>
      <c r="D1189" s="241"/>
      <c r="E1189" s="241"/>
      <c r="F1189" s="241"/>
      <c r="G1189" s="241"/>
      <c r="H1189" s="241"/>
      <c r="I1189" s="241"/>
      <c r="J1189" s="241"/>
      <c r="K1189" s="241"/>
      <c r="L1189" s="242"/>
      <c r="M1189" s="241"/>
      <c r="N1189" s="241"/>
      <c r="O1189" s="241"/>
      <c r="P1189" s="241"/>
      <c r="Q1189" s="241"/>
      <c r="R1189" s="241"/>
      <c r="S1189" s="241"/>
      <c r="T1189" s="241"/>
      <c r="U1189" s="241"/>
      <c r="V1189" s="241"/>
      <c r="W1189" s="241"/>
      <c r="X1189" s="242"/>
      <c r="Y1189" s="241"/>
      <c r="Z1189" s="241"/>
      <c r="AA1189" s="241"/>
      <c r="AB1189" s="241"/>
      <c r="AC1189" s="241"/>
      <c r="AD1189" s="241"/>
      <c r="AE1189" s="241"/>
      <c r="AF1189" s="241"/>
      <c r="AG1189" s="241"/>
      <c r="AH1189" s="241"/>
      <c r="AI1189" s="241"/>
      <c r="AJ1189" s="242"/>
    </row>
    <row r="1190" hidden="1">
      <c r="A1190" s="241"/>
      <c r="B1190" s="241"/>
      <c r="C1190" s="241"/>
      <c r="D1190" s="241"/>
      <c r="E1190" s="241"/>
      <c r="F1190" s="241"/>
      <c r="G1190" s="241"/>
      <c r="H1190" s="241"/>
      <c r="I1190" s="241"/>
      <c r="J1190" s="241"/>
      <c r="K1190" s="241"/>
      <c r="L1190" s="242"/>
      <c r="M1190" s="241"/>
      <c r="N1190" s="241"/>
      <c r="O1190" s="241"/>
      <c r="P1190" s="241"/>
      <c r="Q1190" s="241"/>
      <c r="R1190" s="241"/>
      <c r="S1190" s="241"/>
      <c r="T1190" s="241"/>
      <c r="U1190" s="241"/>
      <c r="V1190" s="241"/>
      <c r="W1190" s="241"/>
      <c r="X1190" s="242"/>
      <c r="Y1190" s="241"/>
      <c r="Z1190" s="241"/>
      <c r="AA1190" s="241"/>
      <c r="AB1190" s="241"/>
      <c r="AC1190" s="241"/>
      <c r="AD1190" s="241"/>
      <c r="AE1190" s="241"/>
      <c r="AF1190" s="241"/>
      <c r="AG1190" s="241"/>
      <c r="AH1190" s="241"/>
      <c r="AI1190" s="241"/>
      <c r="AJ1190" s="242"/>
    </row>
    <row r="1191" hidden="1">
      <c r="A1191" s="241"/>
      <c r="B1191" s="241"/>
      <c r="C1191" s="241"/>
      <c r="D1191" s="241"/>
      <c r="E1191" s="241"/>
      <c r="F1191" s="241"/>
      <c r="G1191" s="241"/>
      <c r="H1191" s="241"/>
      <c r="I1191" s="241"/>
      <c r="J1191" s="241"/>
      <c r="K1191" s="241"/>
      <c r="L1191" s="242"/>
      <c r="M1191" s="241"/>
      <c r="N1191" s="241"/>
      <c r="O1191" s="241"/>
      <c r="P1191" s="241"/>
      <c r="Q1191" s="241"/>
      <c r="R1191" s="241"/>
      <c r="S1191" s="241"/>
      <c r="T1191" s="241"/>
      <c r="U1191" s="241"/>
      <c r="V1191" s="241"/>
      <c r="W1191" s="241"/>
      <c r="X1191" s="242"/>
      <c r="Y1191" s="241"/>
      <c r="Z1191" s="241"/>
      <c r="AA1191" s="241"/>
      <c r="AB1191" s="241"/>
      <c r="AC1191" s="241"/>
      <c r="AD1191" s="241"/>
      <c r="AE1191" s="241"/>
      <c r="AF1191" s="241"/>
      <c r="AG1191" s="241"/>
      <c r="AH1191" s="241"/>
      <c r="AI1191" s="241"/>
      <c r="AJ1191" s="242"/>
    </row>
    <row r="1192" hidden="1">
      <c r="A1192" s="241"/>
      <c r="B1192" s="241"/>
      <c r="C1192" s="241"/>
      <c r="D1192" s="241"/>
      <c r="E1192" s="241"/>
      <c r="F1192" s="241"/>
      <c r="G1192" s="241"/>
      <c r="H1192" s="241"/>
      <c r="I1192" s="241"/>
      <c r="J1192" s="241"/>
      <c r="K1192" s="241"/>
      <c r="L1192" s="242"/>
      <c r="M1192" s="241"/>
      <c r="N1192" s="241"/>
      <c r="O1192" s="241"/>
      <c r="P1192" s="241"/>
      <c r="Q1192" s="241"/>
      <c r="R1192" s="241"/>
      <c r="S1192" s="241"/>
      <c r="T1192" s="241"/>
      <c r="U1192" s="241"/>
      <c r="V1192" s="241"/>
      <c r="W1192" s="241"/>
      <c r="X1192" s="242"/>
      <c r="Y1192" s="241"/>
      <c r="Z1192" s="241"/>
      <c r="AA1192" s="241"/>
      <c r="AB1192" s="241"/>
      <c r="AC1192" s="241"/>
      <c r="AD1192" s="241"/>
      <c r="AE1192" s="241"/>
      <c r="AF1192" s="241"/>
      <c r="AG1192" s="241"/>
      <c r="AH1192" s="241"/>
      <c r="AI1192" s="241"/>
      <c r="AJ1192" s="242"/>
    </row>
    <row r="1193" hidden="1">
      <c r="A1193" s="241"/>
      <c r="B1193" s="241"/>
      <c r="C1193" s="241"/>
      <c r="D1193" s="241"/>
      <c r="E1193" s="241"/>
      <c r="F1193" s="241"/>
      <c r="G1193" s="241"/>
      <c r="H1193" s="241"/>
      <c r="I1193" s="241"/>
      <c r="J1193" s="241"/>
      <c r="K1193" s="241"/>
      <c r="L1193" s="242"/>
      <c r="M1193" s="241"/>
      <c r="N1193" s="241"/>
      <c r="O1193" s="241"/>
      <c r="P1193" s="241"/>
      <c r="Q1193" s="241"/>
      <c r="R1193" s="241"/>
      <c r="S1193" s="241"/>
      <c r="T1193" s="241"/>
      <c r="U1193" s="241"/>
      <c r="V1193" s="241"/>
      <c r="W1193" s="241"/>
      <c r="X1193" s="242"/>
      <c r="Y1193" s="241"/>
      <c r="Z1193" s="241"/>
      <c r="AA1193" s="241"/>
      <c r="AB1193" s="241"/>
      <c r="AC1193" s="241"/>
      <c r="AD1193" s="241"/>
      <c r="AE1193" s="241"/>
      <c r="AF1193" s="241"/>
      <c r="AG1193" s="241"/>
      <c r="AH1193" s="241"/>
      <c r="AI1193" s="241"/>
      <c r="AJ1193" s="242"/>
    </row>
    <row r="1194" hidden="1">
      <c r="A1194" s="241"/>
      <c r="B1194" s="241"/>
      <c r="C1194" s="241"/>
      <c r="D1194" s="241"/>
      <c r="E1194" s="241"/>
      <c r="F1194" s="241"/>
      <c r="G1194" s="241"/>
      <c r="H1194" s="241"/>
      <c r="I1194" s="241"/>
      <c r="J1194" s="241"/>
      <c r="K1194" s="241"/>
      <c r="L1194" s="242"/>
      <c r="M1194" s="241"/>
      <c r="N1194" s="241"/>
      <c r="O1194" s="241"/>
      <c r="P1194" s="241"/>
      <c r="Q1194" s="241"/>
      <c r="R1194" s="241"/>
      <c r="S1194" s="241"/>
      <c r="T1194" s="241"/>
      <c r="U1194" s="241"/>
      <c r="V1194" s="241"/>
      <c r="W1194" s="241"/>
      <c r="X1194" s="242"/>
      <c r="Y1194" s="241"/>
      <c r="Z1194" s="241"/>
      <c r="AA1194" s="241"/>
      <c r="AB1194" s="241"/>
      <c r="AC1194" s="241"/>
      <c r="AD1194" s="241"/>
      <c r="AE1194" s="241"/>
      <c r="AF1194" s="241"/>
      <c r="AG1194" s="241"/>
      <c r="AH1194" s="241"/>
      <c r="AI1194" s="241"/>
      <c r="AJ1194" s="242"/>
    </row>
    <row r="1195" hidden="1">
      <c r="A1195" s="241"/>
      <c r="B1195" s="241"/>
      <c r="C1195" s="241"/>
      <c r="D1195" s="241"/>
      <c r="E1195" s="241"/>
      <c r="F1195" s="241"/>
      <c r="G1195" s="241"/>
      <c r="H1195" s="241"/>
      <c r="I1195" s="241"/>
      <c r="J1195" s="241"/>
      <c r="K1195" s="241"/>
      <c r="L1195" s="242"/>
      <c r="M1195" s="241"/>
      <c r="N1195" s="241"/>
      <c r="O1195" s="241"/>
      <c r="P1195" s="241"/>
      <c r="Q1195" s="241"/>
      <c r="R1195" s="241"/>
      <c r="S1195" s="241"/>
      <c r="T1195" s="241"/>
      <c r="U1195" s="241"/>
      <c r="V1195" s="241"/>
      <c r="W1195" s="241"/>
      <c r="X1195" s="242"/>
      <c r="Y1195" s="241"/>
      <c r="Z1195" s="241"/>
      <c r="AA1195" s="241"/>
      <c r="AB1195" s="241"/>
      <c r="AC1195" s="241"/>
      <c r="AD1195" s="241"/>
      <c r="AE1195" s="241"/>
      <c r="AF1195" s="241"/>
      <c r="AG1195" s="241"/>
      <c r="AH1195" s="241"/>
      <c r="AI1195" s="241"/>
      <c r="AJ1195" s="242"/>
    </row>
    <row r="1196" hidden="1">
      <c r="A1196" s="241"/>
      <c r="B1196" s="241"/>
      <c r="C1196" s="241"/>
      <c r="D1196" s="241"/>
      <c r="E1196" s="241"/>
      <c r="F1196" s="241"/>
      <c r="G1196" s="241"/>
      <c r="H1196" s="241"/>
      <c r="I1196" s="241"/>
      <c r="J1196" s="241"/>
      <c r="K1196" s="241"/>
      <c r="L1196" s="242"/>
      <c r="M1196" s="241"/>
      <c r="N1196" s="241"/>
      <c r="O1196" s="241"/>
      <c r="P1196" s="241"/>
      <c r="Q1196" s="241"/>
      <c r="R1196" s="241"/>
      <c r="S1196" s="241"/>
      <c r="T1196" s="241"/>
      <c r="U1196" s="241"/>
      <c r="V1196" s="241"/>
      <c r="W1196" s="241"/>
      <c r="X1196" s="242"/>
      <c r="Y1196" s="241"/>
      <c r="Z1196" s="241"/>
      <c r="AA1196" s="241"/>
      <c r="AB1196" s="241"/>
      <c r="AC1196" s="241"/>
      <c r="AD1196" s="241"/>
      <c r="AE1196" s="241"/>
      <c r="AF1196" s="241"/>
      <c r="AG1196" s="241"/>
      <c r="AH1196" s="241"/>
      <c r="AI1196" s="241"/>
      <c r="AJ1196" s="242"/>
    </row>
    <row r="1197" hidden="1">
      <c r="A1197" s="241"/>
      <c r="B1197" s="241"/>
      <c r="C1197" s="241"/>
      <c r="D1197" s="241"/>
      <c r="E1197" s="241"/>
      <c r="F1197" s="241"/>
      <c r="G1197" s="241"/>
      <c r="H1197" s="241"/>
      <c r="I1197" s="241"/>
      <c r="J1197" s="241"/>
      <c r="K1197" s="241"/>
      <c r="L1197" s="242"/>
      <c r="M1197" s="241"/>
      <c r="N1197" s="241"/>
      <c r="O1197" s="241"/>
      <c r="P1197" s="241"/>
      <c r="Q1197" s="241"/>
      <c r="R1197" s="241"/>
      <c r="S1197" s="241"/>
      <c r="T1197" s="241"/>
      <c r="U1197" s="241"/>
      <c r="V1197" s="241"/>
      <c r="W1197" s="241"/>
      <c r="X1197" s="242"/>
      <c r="Y1197" s="241"/>
      <c r="Z1197" s="241"/>
      <c r="AA1197" s="241"/>
      <c r="AB1197" s="241"/>
      <c r="AC1197" s="241"/>
      <c r="AD1197" s="241"/>
      <c r="AE1197" s="241"/>
      <c r="AF1197" s="241"/>
      <c r="AG1197" s="241"/>
      <c r="AH1197" s="241"/>
      <c r="AI1197" s="241"/>
      <c r="AJ1197" s="242"/>
    </row>
    <row r="1198" hidden="1">
      <c r="A1198" s="241"/>
      <c r="B1198" s="241"/>
      <c r="C1198" s="241"/>
      <c r="D1198" s="241"/>
      <c r="E1198" s="241"/>
      <c r="F1198" s="241"/>
      <c r="G1198" s="241"/>
      <c r="H1198" s="241"/>
      <c r="I1198" s="241"/>
      <c r="J1198" s="241"/>
      <c r="K1198" s="241"/>
      <c r="L1198" s="242"/>
      <c r="M1198" s="241"/>
      <c r="N1198" s="241"/>
      <c r="O1198" s="241"/>
      <c r="P1198" s="241"/>
      <c r="Q1198" s="241"/>
      <c r="R1198" s="241"/>
      <c r="S1198" s="241"/>
      <c r="T1198" s="241"/>
      <c r="U1198" s="241"/>
      <c r="V1198" s="241"/>
      <c r="W1198" s="241"/>
      <c r="X1198" s="242"/>
      <c r="Y1198" s="241"/>
      <c r="Z1198" s="241"/>
      <c r="AA1198" s="241"/>
      <c r="AB1198" s="241"/>
      <c r="AC1198" s="241"/>
      <c r="AD1198" s="241"/>
      <c r="AE1198" s="241"/>
      <c r="AF1198" s="241"/>
      <c r="AG1198" s="241"/>
      <c r="AH1198" s="241"/>
      <c r="AI1198" s="241"/>
      <c r="AJ1198" s="242"/>
    </row>
    <row r="1199" hidden="1">
      <c r="A1199" s="241"/>
      <c r="B1199" s="241"/>
      <c r="C1199" s="241"/>
      <c r="D1199" s="241"/>
      <c r="E1199" s="241"/>
      <c r="F1199" s="241"/>
      <c r="G1199" s="241"/>
      <c r="H1199" s="241"/>
      <c r="I1199" s="241"/>
      <c r="J1199" s="241"/>
      <c r="K1199" s="241"/>
      <c r="L1199" s="242"/>
      <c r="M1199" s="241"/>
      <c r="N1199" s="241"/>
      <c r="O1199" s="241"/>
      <c r="P1199" s="241"/>
      <c r="Q1199" s="241"/>
      <c r="R1199" s="241"/>
      <c r="S1199" s="241"/>
      <c r="T1199" s="241"/>
      <c r="U1199" s="241"/>
      <c r="V1199" s="241"/>
      <c r="W1199" s="241"/>
      <c r="X1199" s="242"/>
      <c r="Y1199" s="241"/>
      <c r="Z1199" s="241"/>
      <c r="AA1199" s="241"/>
      <c r="AB1199" s="241"/>
      <c r="AC1199" s="241"/>
      <c r="AD1199" s="241"/>
      <c r="AE1199" s="241"/>
      <c r="AF1199" s="241"/>
      <c r="AG1199" s="241"/>
      <c r="AH1199" s="241"/>
      <c r="AI1199" s="241"/>
      <c r="AJ1199" s="242"/>
    </row>
    <row r="1200" hidden="1">
      <c r="A1200" s="241"/>
      <c r="B1200" s="241"/>
      <c r="C1200" s="241"/>
      <c r="D1200" s="241"/>
      <c r="E1200" s="241"/>
      <c r="F1200" s="241"/>
      <c r="G1200" s="241"/>
      <c r="H1200" s="241"/>
      <c r="I1200" s="241"/>
      <c r="J1200" s="241"/>
      <c r="K1200" s="241"/>
      <c r="L1200" s="242"/>
      <c r="M1200" s="241"/>
      <c r="N1200" s="241"/>
      <c r="O1200" s="241"/>
      <c r="P1200" s="241"/>
      <c r="Q1200" s="241"/>
      <c r="R1200" s="241"/>
      <c r="S1200" s="241"/>
      <c r="T1200" s="241"/>
      <c r="U1200" s="241"/>
      <c r="V1200" s="241"/>
      <c r="W1200" s="241"/>
      <c r="X1200" s="242"/>
      <c r="Y1200" s="241"/>
      <c r="Z1200" s="241"/>
      <c r="AA1200" s="241"/>
      <c r="AB1200" s="241"/>
      <c r="AC1200" s="241"/>
      <c r="AD1200" s="241"/>
      <c r="AE1200" s="241"/>
      <c r="AF1200" s="241"/>
      <c r="AG1200" s="241"/>
      <c r="AH1200" s="241"/>
      <c r="AI1200" s="241"/>
      <c r="AJ1200" s="242"/>
    </row>
    <row r="1201" hidden="1">
      <c r="A1201" s="241"/>
      <c r="B1201" s="241"/>
      <c r="C1201" s="241"/>
      <c r="D1201" s="241"/>
      <c r="E1201" s="241"/>
      <c r="F1201" s="241"/>
      <c r="G1201" s="241"/>
      <c r="H1201" s="241"/>
      <c r="I1201" s="241"/>
      <c r="J1201" s="241"/>
      <c r="K1201" s="241"/>
      <c r="L1201" s="242"/>
      <c r="M1201" s="241"/>
      <c r="N1201" s="241"/>
      <c r="O1201" s="241"/>
      <c r="P1201" s="241"/>
      <c r="Q1201" s="241"/>
      <c r="R1201" s="241"/>
      <c r="S1201" s="241"/>
      <c r="T1201" s="241"/>
      <c r="U1201" s="241"/>
      <c r="V1201" s="241"/>
      <c r="W1201" s="241"/>
      <c r="X1201" s="242"/>
      <c r="Y1201" s="241"/>
      <c r="Z1201" s="241"/>
      <c r="AA1201" s="241"/>
      <c r="AB1201" s="241"/>
      <c r="AC1201" s="241"/>
      <c r="AD1201" s="241"/>
      <c r="AE1201" s="241"/>
      <c r="AF1201" s="241"/>
      <c r="AG1201" s="241"/>
      <c r="AH1201" s="241"/>
      <c r="AI1201" s="241"/>
      <c r="AJ1201" s="242"/>
    </row>
    <row r="1202" hidden="1">
      <c r="A1202" s="241"/>
      <c r="B1202" s="241"/>
      <c r="C1202" s="241"/>
      <c r="D1202" s="241"/>
      <c r="E1202" s="241"/>
      <c r="F1202" s="241"/>
      <c r="G1202" s="241"/>
      <c r="H1202" s="241"/>
      <c r="I1202" s="241"/>
      <c r="J1202" s="241"/>
      <c r="K1202" s="241"/>
      <c r="L1202" s="242"/>
      <c r="M1202" s="241"/>
      <c r="N1202" s="241"/>
      <c r="O1202" s="241"/>
      <c r="P1202" s="241"/>
      <c r="Q1202" s="241"/>
      <c r="R1202" s="241"/>
      <c r="S1202" s="241"/>
      <c r="T1202" s="241"/>
      <c r="U1202" s="241"/>
      <c r="V1202" s="241"/>
      <c r="W1202" s="241"/>
      <c r="X1202" s="242"/>
      <c r="Y1202" s="241"/>
      <c r="Z1202" s="241"/>
      <c r="AA1202" s="241"/>
      <c r="AB1202" s="241"/>
      <c r="AC1202" s="241"/>
      <c r="AD1202" s="241"/>
      <c r="AE1202" s="241"/>
      <c r="AF1202" s="241"/>
      <c r="AG1202" s="241"/>
      <c r="AH1202" s="241"/>
      <c r="AI1202" s="241"/>
      <c r="AJ1202" s="242"/>
    </row>
    <row r="1203" hidden="1">
      <c r="A1203" s="241"/>
      <c r="B1203" s="241"/>
      <c r="C1203" s="241"/>
      <c r="D1203" s="241"/>
      <c r="E1203" s="241"/>
      <c r="F1203" s="241"/>
      <c r="G1203" s="241"/>
      <c r="H1203" s="241"/>
      <c r="I1203" s="241"/>
      <c r="J1203" s="241"/>
      <c r="K1203" s="241"/>
      <c r="L1203" s="242"/>
      <c r="M1203" s="241"/>
      <c r="N1203" s="241"/>
      <c r="O1203" s="241"/>
      <c r="P1203" s="241"/>
      <c r="Q1203" s="241"/>
      <c r="R1203" s="241"/>
      <c r="S1203" s="241"/>
      <c r="T1203" s="241"/>
      <c r="U1203" s="241"/>
      <c r="V1203" s="241"/>
      <c r="W1203" s="241"/>
      <c r="X1203" s="242"/>
      <c r="Y1203" s="241"/>
      <c r="Z1203" s="241"/>
      <c r="AA1203" s="241"/>
      <c r="AB1203" s="241"/>
      <c r="AC1203" s="241"/>
      <c r="AD1203" s="241"/>
      <c r="AE1203" s="241"/>
      <c r="AF1203" s="241"/>
      <c r="AG1203" s="241"/>
      <c r="AH1203" s="241"/>
      <c r="AI1203" s="241"/>
      <c r="AJ1203" s="242"/>
    </row>
    <row r="1204" hidden="1">
      <c r="A1204" s="241"/>
      <c r="B1204" s="241"/>
      <c r="C1204" s="241"/>
      <c r="D1204" s="241"/>
      <c r="E1204" s="241"/>
      <c r="F1204" s="241"/>
      <c r="G1204" s="241"/>
      <c r="H1204" s="241"/>
      <c r="I1204" s="241"/>
      <c r="J1204" s="241"/>
      <c r="K1204" s="241"/>
      <c r="L1204" s="242"/>
      <c r="M1204" s="241"/>
      <c r="N1204" s="241"/>
      <c r="O1204" s="241"/>
      <c r="P1204" s="241"/>
      <c r="Q1204" s="241"/>
      <c r="R1204" s="241"/>
      <c r="S1204" s="241"/>
      <c r="T1204" s="241"/>
      <c r="U1204" s="241"/>
      <c r="V1204" s="241"/>
      <c r="W1204" s="241"/>
      <c r="X1204" s="242"/>
      <c r="Y1204" s="241"/>
      <c r="Z1204" s="241"/>
      <c r="AA1204" s="241"/>
      <c r="AB1204" s="241"/>
      <c r="AC1204" s="241"/>
      <c r="AD1204" s="241"/>
      <c r="AE1204" s="241"/>
      <c r="AF1204" s="241"/>
      <c r="AG1204" s="241"/>
      <c r="AH1204" s="241"/>
      <c r="AI1204" s="241"/>
      <c r="AJ1204" s="242"/>
    </row>
    <row r="1205" hidden="1">
      <c r="A1205" s="241"/>
      <c r="B1205" s="241"/>
      <c r="C1205" s="241"/>
      <c r="D1205" s="241"/>
      <c r="E1205" s="241"/>
      <c r="F1205" s="241"/>
      <c r="G1205" s="241"/>
      <c r="H1205" s="241"/>
      <c r="I1205" s="241"/>
      <c r="J1205" s="241"/>
      <c r="K1205" s="241"/>
      <c r="L1205" s="242"/>
      <c r="M1205" s="241"/>
      <c r="N1205" s="241"/>
      <c r="O1205" s="241"/>
      <c r="P1205" s="241"/>
      <c r="Q1205" s="241"/>
      <c r="R1205" s="241"/>
      <c r="S1205" s="241"/>
      <c r="T1205" s="241"/>
      <c r="U1205" s="241"/>
      <c r="V1205" s="241"/>
      <c r="W1205" s="241"/>
      <c r="X1205" s="242"/>
      <c r="Y1205" s="241"/>
      <c r="Z1205" s="241"/>
      <c r="AA1205" s="241"/>
      <c r="AB1205" s="241"/>
      <c r="AC1205" s="241"/>
      <c r="AD1205" s="241"/>
      <c r="AE1205" s="241"/>
      <c r="AF1205" s="241"/>
      <c r="AG1205" s="241"/>
      <c r="AH1205" s="241"/>
      <c r="AI1205" s="241"/>
      <c r="AJ1205" s="242"/>
    </row>
    <row r="1206" hidden="1">
      <c r="A1206" s="241"/>
      <c r="B1206" s="241"/>
      <c r="C1206" s="241"/>
      <c r="D1206" s="241"/>
      <c r="E1206" s="241"/>
      <c r="F1206" s="241"/>
      <c r="G1206" s="241"/>
      <c r="H1206" s="241"/>
      <c r="I1206" s="241"/>
      <c r="J1206" s="241"/>
      <c r="K1206" s="241"/>
      <c r="L1206" s="242"/>
      <c r="M1206" s="241"/>
      <c r="N1206" s="241"/>
      <c r="O1206" s="241"/>
      <c r="P1206" s="241"/>
      <c r="Q1206" s="241"/>
      <c r="R1206" s="241"/>
      <c r="S1206" s="241"/>
      <c r="T1206" s="241"/>
      <c r="U1206" s="241"/>
      <c r="V1206" s="241"/>
      <c r="W1206" s="241"/>
      <c r="X1206" s="242"/>
      <c r="Y1206" s="241"/>
      <c r="Z1206" s="241"/>
      <c r="AA1206" s="241"/>
      <c r="AB1206" s="241"/>
      <c r="AC1206" s="241"/>
      <c r="AD1206" s="241"/>
      <c r="AE1206" s="241"/>
      <c r="AF1206" s="241"/>
      <c r="AG1206" s="241"/>
      <c r="AH1206" s="241"/>
      <c r="AI1206" s="241"/>
      <c r="AJ1206" s="242"/>
    </row>
    <row r="1207" hidden="1">
      <c r="A1207" s="241"/>
      <c r="B1207" s="241"/>
      <c r="C1207" s="241"/>
      <c r="D1207" s="241"/>
      <c r="E1207" s="241"/>
      <c r="F1207" s="241"/>
      <c r="G1207" s="241"/>
      <c r="H1207" s="241"/>
      <c r="I1207" s="241"/>
      <c r="J1207" s="241"/>
      <c r="K1207" s="241"/>
      <c r="L1207" s="242"/>
      <c r="M1207" s="241"/>
      <c r="N1207" s="241"/>
      <c r="O1207" s="241"/>
      <c r="P1207" s="241"/>
      <c r="Q1207" s="241"/>
      <c r="R1207" s="241"/>
      <c r="S1207" s="241"/>
      <c r="T1207" s="241"/>
      <c r="U1207" s="241"/>
      <c r="V1207" s="241"/>
      <c r="W1207" s="241"/>
      <c r="X1207" s="242"/>
      <c r="Y1207" s="241"/>
      <c r="Z1207" s="241"/>
      <c r="AA1207" s="241"/>
      <c r="AB1207" s="241"/>
      <c r="AC1207" s="241"/>
      <c r="AD1207" s="241"/>
      <c r="AE1207" s="241"/>
      <c r="AF1207" s="241"/>
      <c r="AG1207" s="241"/>
      <c r="AH1207" s="241"/>
      <c r="AI1207" s="241"/>
      <c r="AJ1207" s="242"/>
    </row>
    <row r="1208" hidden="1">
      <c r="A1208" s="241"/>
      <c r="B1208" s="241"/>
      <c r="C1208" s="241"/>
      <c r="D1208" s="241"/>
      <c r="E1208" s="241"/>
      <c r="F1208" s="241"/>
      <c r="G1208" s="241"/>
      <c r="H1208" s="241"/>
      <c r="I1208" s="241"/>
      <c r="J1208" s="241"/>
      <c r="K1208" s="241"/>
      <c r="L1208" s="242"/>
      <c r="M1208" s="241"/>
      <c r="N1208" s="241"/>
      <c r="O1208" s="241"/>
      <c r="P1208" s="241"/>
      <c r="Q1208" s="241"/>
      <c r="R1208" s="241"/>
      <c r="S1208" s="241"/>
      <c r="T1208" s="241"/>
      <c r="U1208" s="241"/>
      <c r="V1208" s="241"/>
      <c r="W1208" s="241"/>
      <c r="X1208" s="242"/>
      <c r="Y1208" s="241"/>
      <c r="Z1208" s="241"/>
      <c r="AA1208" s="241"/>
      <c r="AB1208" s="241"/>
      <c r="AC1208" s="241"/>
      <c r="AD1208" s="241"/>
      <c r="AE1208" s="241"/>
      <c r="AF1208" s="241"/>
      <c r="AG1208" s="241"/>
      <c r="AH1208" s="241"/>
      <c r="AI1208" s="241"/>
      <c r="AJ1208" s="242"/>
    </row>
    <row r="1209" hidden="1">
      <c r="A1209" s="241"/>
      <c r="B1209" s="241"/>
      <c r="C1209" s="241"/>
      <c r="D1209" s="241"/>
      <c r="E1209" s="241"/>
      <c r="F1209" s="241"/>
      <c r="G1209" s="241"/>
      <c r="H1209" s="241"/>
      <c r="I1209" s="241"/>
      <c r="J1209" s="241"/>
      <c r="K1209" s="241"/>
      <c r="L1209" s="242"/>
      <c r="M1209" s="241"/>
      <c r="N1209" s="241"/>
      <c r="O1209" s="241"/>
      <c r="P1209" s="241"/>
      <c r="Q1209" s="241"/>
      <c r="R1209" s="241"/>
      <c r="S1209" s="241"/>
      <c r="T1209" s="241"/>
      <c r="U1209" s="241"/>
      <c r="V1209" s="241"/>
      <c r="W1209" s="241"/>
      <c r="X1209" s="242"/>
      <c r="Y1209" s="241"/>
      <c r="Z1209" s="241"/>
      <c r="AA1209" s="241"/>
      <c r="AB1209" s="241"/>
      <c r="AC1209" s="241"/>
      <c r="AD1209" s="241"/>
      <c r="AE1209" s="241"/>
      <c r="AF1209" s="241"/>
      <c r="AG1209" s="241"/>
      <c r="AH1209" s="241"/>
      <c r="AI1209" s="241"/>
      <c r="AJ1209" s="242"/>
    </row>
    <row r="1210" hidden="1">
      <c r="A1210" s="241"/>
      <c r="B1210" s="241"/>
      <c r="C1210" s="241"/>
      <c r="D1210" s="241"/>
      <c r="E1210" s="241"/>
      <c r="F1210" s="241"/>
      <c r="G1210" s="241"/>
      <c r="H1210" s="241"/>
      <c r="I1210" s="241"/>
      <c r="J1210" s="241"/>
      <c r="K1210" s="241"/>
      <c r="L1210" s="242"/>
      <c r="M1210" s="241"/>
      <c r="N1210" s="241"/>
      <c r="O1210" s="241"/>
      <c r="P1210" s="241"/>
      <c r="Q1210" s="241"/>
      <c r="R1210" s="241"/>
      <c r="S1210" s="241"/>
      <c r="T1210" s="241"/>
      <c r="U1210" s="241"/>
      <c r="V1210" s="241"/>
      <c r="W1210" s="241"/>
      <c r="X1210" s="242"/>
      <c r="Y1210" s="241"/>
      <c r="Z1210" s="241"/>
      <c r="AA1210" s="241"/>
      <c r="AB1210" s="241"/>
      <c r="AC1210" s="241"/>
      <c r="AD1210" s="241"/>
      <c r="AE1210" s="241"/>
      <c r="AF1210" s="241"/>
      <c r="AG1210" s="241"/>
      <c r="AH1210" s="241"/>
      <c r="AI1210" s="241"/>
      <c r="AJ1210" s="242"/>
    </row>
    <row r="1211" hidden="1">
      <c r="A1211" s="241"/>
      <c r="B1211" s="241"/>
      <c r="C1211" s="241"/>
      <c r="D1211" s="241"/>
      <c r="E1211" s="241"/>
      <c r="F1211" s="241"/>
      <c r="G1211" s="241"/>
      <c r="H1211" s="241"/>
      <c r="I1211" s="241"/>
      <c r="J1211" s="241"/>
      <c r="K1211" s="241"/>
      <c r="L1211" s="242"/>
      <c r="M1211" s="241"/>
      <c r="N1211" s="241"/>
      <c r="O1211" s="241"/>
      <c r="P1211" s="241"/>
      <c r="Q1211" s="241"/>
      <c r="R1211" s="241"/>
      <c r="S1211" s="241"/>
      <c r="T1211" s="241"/>
      <c r="U1211" s="241"/>
      <c r="V1211" s="241"/>
      <c r="W1211" s="241"/>
      <c r="X1211" s="242"/>
      <c r="Y1211" s="241"/>
      <c r="Z1211" s="241"/>
      <c r="AA1211" s="241"/>
      <c r="AB1211" s="241"/>
      <c r="AC1211" s="241"/>
      <c r="AD1211" s="241"/>
      <c r="AE1211" s="241"/>
      <c r="AF1211" s="241"/>
      <c r="AG1211" s="241"/>
      <c r="AH1211" s="241"/>
      <c r="AI1211" s="241"/>
      <c r="AJ1211" s="242"/>
    </row>
    <row r="1212" hidden="1">
      <c r="A1212" s="241"/>
      <c r="B1212" s="241"/>
      <c r="C1212" s="241"/>
      <c r="D1212" s="241"/>
      <c r="E1212" s="241"/>
      <c r="F1212" s="241"/>
      <c r="G1212" s="241"/>
      <c r="H1212" s="241"/>
      <c r="I1212" s="241"/>
      <c r="J1212" s="241"/>
      <c r="K1212" s="241"/>
      <c r="L1212" s="242"/>
      <c r="M1212" s="241"/>
      <c r="N1212" s="241"/>
      <c r="O1212" s="241"/>
      <c r="P1212" s="241"/>
      <c r="Q1212" s="241"/>
      <c r="R1212" s="241"/>
      <c r="S1212" s="241"/>
      <c r="T1212" s="241"/>
      <c r="U1212" s="241"/>
      <c r="V1212" s="241"/>
      <c r="W1212" s="241"/>
      <c r="X1212" s="242"/>
      <c r="Y1212" s="241"/>
      <c r="Z1212" s="241"/>
      <c r="AA1212" s="241"/>
      <c r="AB1212" s="241"/>
      <c r="AC1212" s="241"/>
      <c r="AD1212" s="241"/>
      <c r="AE1212" s="241"/>
      <c r="AF1212" s="241"/>
      <c r="AG1212" s="241"/>
      <c r="AH1212" s="241"/>
      <c r="AI1212" s="241"/>
      <c r="AJ1212" s="242"/>
    </row>
    <row r="1213" hidden="1">
      <c r="A1213" s="241"/>
      <c r="B1213" s="241"/>
      <c r="C1213" s="241"/>
      <c r="D1213" s="241"/>
      <c r="E1213" s="241"/>
      <c r="F1213" s="241"/>
      <c r="G1213" s="241"/>
      <c r="H1213" s="241"/>
      <c r="I1213" s="241"/>
      <c r="J1213" s="241"/>
      <c r="K1213" s="241"/>
      <c r="L1213" s="242"/>
      <c r="M1213" s="241"/>
      <c r="N1213" s="241"/>
      <c r="O1213" s="241"/>
      <c r="P1213" s="241"/>
      <c r="Q1213" s="241"/>
      <c r="R1213" s="241"/>
      <c r="S1213" s="241"/>
      <c r="T1213" s="241"/>
      <c r="U1213" s="241"/>
      <c r="V1213" s="241"/>
      <c r="W1213" s="241"/>
      <c r="X1213" s="242"/>
      <c r="Y1213" s="241"/>
      <c r="Z1213" s="241"/>
      <c r="AA1213" s="241"/>
      <c r="AB1213" s="241"/>
      <c r="AC1213" s="241"/>
      <c r="AD1213" s="241"/>
      <c r="AE1213" s="241"/>
      <c r="AF1213" s="241"/>
      <c r="AG1213" s="241"/>
      <c r="AH1213" s="241"/>
      <c r="AI1213" s="241"/>
      <c r="AJ1213" s="242"/>
    </row>
    <row r="1214" hidden="1">
      <c r="A1214" s="241"/>
      <c r="B1214" s="241"/>
      <c r="C1214" s="241"/>
      <c r="D1214" s="241"/>
      <c r="E1214" s="241"/>
      <c r="F1214" s="241"/>
      <c r="G1214" s="241"/>
      <c r="H1214" s="241"/>
      <c r="I1214" s="241"/>
      <c r="J1214" s="241"/>
      <c r="K1214" s="241"/>
      <c r="L1214" s="242"/>
      <c r="M1214" s="241"/>
      <c r="N1214" s="241"/>
      <c r="O1214" s="241"/>
      <c r="P1214" s="241"/>
      <c r="Q1214" s="241"/>
      <c r="R1214" s="241"/>
      <c r="S1214" s="241"/>
      <c r="T1214" s="241"/>
      <c r="U1214" s="241"/>
      <c r="V1214" s="241"/>
      <c r="W1214" s="241"/>
      <c r="X1214" s="242"/>
      <c r="Y1214" s="241"/>
      <c r="Z1214" s="241"/>
      <c r="AA1214" s="241"/>
      <c r="AB1214" s="241"/>
      <c r="AC1214" s="241"/>
      <c r="AD1214" s="241"/>
      <c r="AE1214" s="241"/>
      <c r="AF1214" s="241"/>
      <c r="AG1214" s="241"/>
      <c r="AH1214" s="241"/>
      <c r="AI1214" s="241"/>
      <c r="AJ1214" s="242"/>
    </row>
    <row r="1215" hidden="1">
      <c r="A1215" s="241"/>
      <c r="B1215" s="241"/>
      <c r="C1215" s="241"/>
      <c r="D1215" s="241"/>
      <c r="E1215" s="241"/>
      <c r="F1215" s="241"/>
      <c r="G1215" s="241"/>
      <c r="H1215" s="241"/>
      <c r="I1215" s="241"/>
      <c r="J1215" s="241"/>
      <c r="K1215" s="241"/>
      <c r="L1215" s="242"/>
      <c r="M1215" s="241"/>
      <c r="N1215" s="241"/>
      <c r="O1215" s="241"/>
      <c r="P1215" s="241"/>
      <c r="Q1215" s="241"/>
      <c r="R1215" s="241"/>
      <c r="S1215" s="241"/>
      <c r="T1215" s="241"/>
      <c r="U1215" s="241"/>
      <c r="V1215" s="241"/>
      <c r="W1215" s="241"/>
      <c r="X1215" s="242"/>
      <c r="Y1215" s="241"/>
      <c r="Z1215" s="241"/>
      <c r="AA1215" s="241"/>
      <c r="AB1215" s="241"/>
      <c r="AC1215" s="241"/>
      <c r="AD1215" s="241"/>
      <c r="AE1215" s="241"/>
      <c r="AF1215" s="241"/>
      <c r="AG1215" s="241"/>
      <c r="AH1215" s="241"/>
      <c r="AI1215" s="241"/>
      <c r="AJ1215" s="242"/>
    </row>
    <row r="1216" hidden="1">
      <c r="A1216" s="241"/>
      <c r="B1216" s="241"/>
      <c r="C1216" s="241"/>
      <c r="D1216" s="241"/>
      <c r="E1216" s="241"/>
      <c r="F1216" s="241"/>
      <c r="G1216" s="241"/>
      <c r="H1216" s="241"/>
      <c r="I1216" s="241"/>
      <c r="J1216" s="241"/>
      <c r="K1216" s="241"/>
      <c r="L1216" s="242"/>
      <c r="M1216" s="241"/>
      <c r="N1216" s="241"/>
      <c r="O1216" s="241"/>
      <c r="P1216" s="241"/>
      <c r="Q1216" s="241"/>
      <c r="R1216" s="241"/>
      <c r="S1216" s="241"/>
      <c r="T1216" s="241"/>
      <c r="U1216" s="241"/>
      <c r="V1216" s="241"/>
      <c r="W1216" s="241"/>
      <c r="X1216" s="242"/>
      <c r="Y1216" s="241"/>
      <c r="Z1216" s="241"/>
      <c r="AA1216" s="241"/>
      <c r="AB1216" s="241"/>
      <c r="AC1216" s="241"/>
      <c r="AD1216" s="241"/>
      <c r="AE1216" s="241"/>
      <c r="AF1216" s="241"/>
      <c r="AG1216" s="241"/>
      <c r="AH1216" s="241"/>
      <c r="AI1216" s="241"/>
      <c r="AJ1216" s="242"/>
    </row>
    <row r="1217" hidden="1">
      <c r="A1217" s="241"/>
      <c r="B1217" s="241"/>
      <c r="C1217" s="241"/>
      <c r="D1217" s="241"/>
      <c r="E1217" s="241"/>
      <c r="F1217" s="241"/>
      <c r="G1217" s="241"/>
      <c r="H1217" s="241"/>
      <c r="I1217" s="241"/>
      <c r="J1217" s="241"/>
      <c r="K1217" s="241"/>
      <c r="L1217" s="242"/>
      <c r="M1217" s="241"/>
      <c r="N1217" s="241"/>
      <c r="O1217" s="241"/>
      <c r="P1217" s="241"/>
      <c r="Q1217" s="241"/>
      <c r="R1217" s="241"/>
      <c r="S1217" s="241"/>
      <c r="T1217" s="241"/>
      <c r="U1217" s="241"/>
      <c r="V1217" s="241"/>
      <c r="W1217" s="241"/>
      <c r="X1217" s="242"/>
      <c r="Y1217" s="241"/>
      <c r="Z1217" s="241"/>
      <c r="AA1217" s="241"/>
      <c r="AB1217" s="241"/>
      <c r="AC1217" s="241"/>
      <c r="AD1217" s="241"/>
      <c r="AE1217" s="241"/>
      <c r="AF1217" s="241"/>
      <c r="AG1217" s="241"/>
      <c r="AH1217" s="241"/>
      <c r="AI1217" s="241"/>
      <c r="AJ1217" s="242"/>
    </row>
    <row r="1218" hidden="1">
      <c r="A1218" s="241"/>
      <c r="B1218" s="241"/>
      <c r="C1218" s="241"/>
      <c r="D1218" s="241"/>
      <c r="E1218" s="241"/>
      <c r="F1218" s="241"/>
      <c r="G1218" s="241"/>
      <c r="H1218" s="241"/>
      <c r="I1218" s="241"/>
      <c r="J1218" s="241"/>
      <c r="K1218" s="241"/>
      <c r="L1218" s="242"/>
      <c r="M1218" s="241"/>
      <c r="N1218" s="241"/>
      <c r="O1218" s="241"/>
      <c r="P1218" s="241"/>
      <c r="Q1218" s="241"/>
      <c r="R1218" s="241"/>
      <c r="S1218" s="241"/>
      <c r="T1218" s="241"/>
      <c r="U1218" s="241"/>
      <c r="V1218" s="241"/>
      <c r="W1218" s="241"/>
      <c r="X1218" s="242"/>
      <c r="Y1218" s="241"/>
      <c r="Z1218" s="241"/>
      <c r="AA1218" s="241"/>
      <c r="AB1218" s="241"/>
      <c r="AC1218" s="241"/>
      <c r="AD1218" s="241"/>
      <c r="AE1218" s="241"/>
      <c r="AF1218" s="241"/>
      <c r="AG1218" s="241"/>
      <c r="AH1218" s="241"/>
      <c r="AI1218" s="241"/>
      <c r="AJ1218" s="242"/>
    </row>
    <row r="1219" hidden="1">
      <c r="A1219" s="241"/>
      <c r="B1219" s="241"/>
      <c r="C1219" s="241"/>
      <c r="D1219" s="241"/>
      <c r="E1219" s="241"/>
      <c r="F1219" s="241"/>
      <c r="G1219" s="241"/>
      <c r="H1219" s="241"/>
      <c r="I1219" s="241"/>
      <c r="J1219" s="241"/>
      <c r="K1219" s="241"/>
      <c r="L1219" s="242"/>
      <c r="M1219" s="241"/>
      <c r="N1219" s="241"/>
      <c r="O1219" s="241"/>
      <c r="P1219" s="241"/>
      <c r="Q1219" s="241"/>
      <c r="R1219" s="241"/>
      <c r="S1219" s="241"/>
      <c r="T1219" s="241"/>
      <c r="U1219" s="241"/>
      <c r="V1219" s="241"/>
      <c r="W1219" s="241"/>
      <c r="X1219" s="242"/>
      <c r="Y1219" s="241"/>
      <c r="Z1219" s="241"/>
      <c r="AA1219" s="241"/>
      <c r="AB1219" s="241"/>
      <c r="AC1219" s="241"/>
      <c r="AD1219" s="241"/>
      <c r="AE1219" s="241"/>
      <c r="AF1219" s="241"/>
      <c r="AG1219" s="241"/>
      <c r="AH1219" s="241"/>
      <c r="AI1219" s="241"/>
      <c r="AJ1219" s="242"/>
    </row>
    <row r="1220" hidden="1">
      <c r="A1220" s="241"/>
      <c r="B1220" s="241"/>
      <c r="C1220" s="241"/>
      <c r="D1220" s="241"/>
      <c r="E1220" s="241"/>
      <c r="F1220" s="241"/>
      <c r="G1220" s="241"/>
      <c r="H1220" s="241"/>
      <c r="I1220" s="241"/>
      <c r="J1220" s="241"/>
      <c r="K1220" s="241"/>
      <c r="L1220" s="242"/>
      <c r="M1220" s="241"/>
      <c r="N1220" s="241"/>
      <c r="O1220" s="241"/>
      <c r="P1220" s="241"/>
      <c r="Q1220" s="241"/>
      <c r="R1220" s="241"/>
      <c r="S1220" s="241"/>
      <c r="T1220" s="241"/>
      <c r="U1220" s="241"/>
      <c r="V1220" s="241"/>
      <c r="W1220" s="241"/>
      <c r="X1220" s="242"/>
      <c r="Y1220" s="241"/>
      <c r="Z1220" s="241"/>
      <c r="AA1220" s="241"/>
      <c r="AB1220" s="241"/>
      <c r="AC1220" s="241"/>
      <c r="AD1220" s="241"/>
      <c r="AE1220" s="241"/>
      <c r="AF1220" s="241"/>
      <c r="AG1220" s="241"/>
      <c r="AH1220" s="241"/>
      <c r="AI1220" s="241"/>
      <c r="AJ1220" s="242"/>
    </row>
    <row r="1221" hidden="1">
      <c r="A1221" s="241"/>
      <c r="B1221" s="241"/>
      <c r="C1221" s="241"/>
      <c r="D1221" s="241"/>
      <c r="E1221" s="241"/>
      <c r="F1221" s="241"/>
      <c r="G1221" s="241"/>
      <c r="H1221" s="241"/>
      <c r="I1221" s="241"/>
      <c r="J1221" s="241"/>
      <c r="K1221" s="241"/>
      <c r="L1221" s="242"/>
      <c r="M1221" s="241"/>
      <c r="N1221" s="241"/>
      <c r="O1221" s="241"/>
      <c r="P1221" s="241"/>
      <c r="Q1221" s="241"/>
      <c r="R1221" s="241"/>
      <c r="S1221" s="241"/>
      <c r="T1221" s="241"/>
      <c r="U1221" s="241"/>
      <c r="V1221" s="241"/>
      <c r="W1221" s="241"/>
      <c r="X1221" s="242"/>
      <c r="Y1221" s="241"/>
      <c r="Z1221" s="241"/>
      <c r="AA1221" s="241"/>
      <c r="AB1221" s="241"/>
      <c r="AC1221" s="241"/>
      <c r="AD1221" s="241"/>
      <c r="AE1221" s="241"/>
      <c r="AF1221" s="241"/>
      <c r="AG1221" s="241"/>
      <c r="AH1221" s="241"/>
      <c r="AI1221" s="241"/>
      <c r="AJ1221" s="242"/>
    </row>
    <row r="1222" hidden="1">
      <c r="A1222" s="241"/>
      <c r="B1222" s="241"/>
      <c r="C1222" s="241"/>
      <c r="D1222" s="241"/>
      <c r="E1222" s="241"/>
      <c r="F1222" s="241"/>
      <c r="G1222" s="241"/>
      <c r="H1222" s="241"/>
      <c r="I1222" s="241"/>
      <c r="J1222" s="241"/>
      <c r="K1222" s="241"/>
      <c r="L1222" s="242"/>
      <c r="M1222" s="241"/>
      <c r="N1222" s="241"/>
      <c r="O1222" s="241"/>
      <c r="P1222" s="241"/>
      <c r="Q1222" s="241"/>
      <c r="R1222" s="241"/>
      <c r="S1222" s="241"/>
      <c r="T1222" s="241"/>
      <c r="U1222" s="241"/>
      <c r="V1222" s="241"/>
      <c r="W1222" s="241"/>
      <c r="X1222" s="242"/>
      <c r="Y1222" s="241"/>
      <c r="Z1222" s="241"/>
      <c r="AA1222" s="241"/>
      <c r="AB1222" s="241"/>
      <c r="AC1222" s="241"/>
      <c r="AD1222" s="241"/>
      <c r="AE1222" s="241"/>
      <c r="AF1222" s="241"/>
      <c r="AG1222" s="241"/>
      <c r="AH1222" s="241"/>
      <c r="AI1222" s="241"/>
      <c r="AJ1222" s="242"/>
    </row>
    <row r="1223" hidden="1">
      <c r="A1223" s="241"/>
      <c r="B1223" s="241"/>
      <c r="C1223" s="241"/>
      <c r="D1223" s="241"/>
      <c r="E1223" s="241"/>
      <c r="F1223" s="241"/>
      <c r="G1223" s="241"/>
      <c r="H1223" s="241"/>
      <c r="I1223" s="241"/>
      <c r="J1223" s="241"/>
      <c r="K1223" s="241"/>
      <c r="L1223" s="242"/>
      <c r="M1223" s="241"/>
      <c r="N1223" s="241"/>
      <c r="O1223" s="241"/>
      <c r="P1223" s="241"/>
      <c r="Q1223" s="241"/>
      <c r="R1223" s="241"/>
      <c r="S1223" s="241"/>
      <c r="T1223" s="241"/>
      <c r="U1223" s="241"/>
      <c r="V1223" s="241"/>
      <c r="W1223" s="241"/>
      <c r="X1223" s="242"/>
      <c r="Y1223" s="241"/>
      <c r="Z1223" s="241"/>
      <c r="AA1223" s="241"/>
      <c r="AB1223" s="241"/>
      <c r="AC1223" s="241"/>
      <c r="AD1223" s="241"/>
      <c r="AE1223" s="241"/>
      <c r="AF1223" s="241"/>
      <c r="AG1223" s="241"/>
      <c r="AH1223" s="241"/>
      <c r="AI1223" s="241"/>
      <c r="AJ1223" s="242"/>
    </row>
    <row r="1224" hidden="1">
      <c r="A1224" s="241"/>
      <c r="B1224" s="241"/>
      <c r="C1224" s="241"/>
      <c r="D1224" s="241"/>
      <c r="E1224" s="241"/>
      <c r="F1224" s="241"/>
      <c r="G1224" s="241"/>
      <c r="H1224" s="241"/>
      <c r="I1224" s="241"/>
      <c r="J1224" s="241"/>
      <c r="K1224" s="241"/>
      <c r="L1224" s="242"/>
      <c r="M1224" s="241"/>
      <c r="N1224" s="241"/>
      <c r="O1224" s="241"/>
      <c r="P1224" s="241"/>
      <c r="Q1224" s="241"/>
      <c r="R1224" s="241"/>
      <c r="S1224" s="241"/>
      <c r="T1224" s="241"/>
      <c r="U1224" s="241"/>
      <c r="V1224" s="241"/>
      <c r="W1224" s="241"/>
      <c r="X1224" s="242"/>
      <c r="Y1224" s="241"/>
      <c r="Z1224" s="241"/>
      <c r="AA1224" s="241"/>
      <c r="AB1224" s="241"/>
      <c r="AC1224" s="241"/>
      <c r="AD1224" s="241"/>
      <c r="AE1224" s="241"/>
      <c r="AF1224" s="241"/>
      <c r="AG1224" s="241"/>
      <c r="AH1224" s="241"/>
      <c r="AI1224" s="241"/>
      <c r="AJ1224" s="242"/>
    </row>
    <row r="1225" hidden="1">
      <c r="A1225" s="241"/>
      <c r="B1225" s="241"/>
      <c r="C1225" s="241"/>
      <c r="D1225" s="241"/>
      <c r="E1225" s="241"/>
      <c r="F1225" s="241"/>
      <c r="G1225" s="241"/>
      <c r="H1225" s="241"/>
      <c r="I1225" s="241"/>
      <c r="J1225" s="241"/>
      <c r="K1225" s="241"/>
      <c r="L1225" s="242"/>
      <c r="M1225" s="241"/>
      <c r="N1225" s="241"/>
      <c r="O1225" s="241"/>
      <c r="P1225" s="241"/>
      <c r="Q1225" s="241"/>
      <c r="R1225" s="241"/>
      <c r="S1225" s="241"/>
      <c r="T1225" s="241"/>
      <c r="U1225" s="241"/>
      <c r="V1225" s="241"/>
      <c r="W1225" s="241"/>
      <c r="X1225" s="242"/>
      <c r="Y1225" s="241"/>
      <c r="Z1225" s="241"/>
      <c r="AA1225" s="241"/>
      <c r="AB1225" s="241"/>
      <c r="AC1225" s="241"/>
      <c r="AD1225" s="241"/>
      <c r="AE1225" s="241"/>
      <c r="AF1225" s="241"/>
      <c r="AG1225" s="241"/>
      <c r="AH1225" s="241"/>
      <c r="AI1225" s="241"/>
      <c r="AJ1225" s="242"/>
    </row>
    <row r="1226" hidden="1">
      <c r="A1226" s="241"/>
      <c r="B1226" s="241"/>
      <c r="C1226" s="241"/>
      <c r="D1226" s="241"/>
      <c r="E1226" s="241"/>
      <c r="F1226" s="241"/>
      <c r="G1226" s="241"/>
      <c r="H1226" s="241"/>
      <c r="I1226" s="241"/>
      <c r="J1226" s="241"/>
      <c r="K1226" s="241"/>
      <c r="L1226" s="242"/>
      <c r="M1226" s="241"/>
      <c r="N1226" s="241"/>
      <c r="O1226" s="241"/>
      <c r="P1226" s="241"/>
      <c r="Q1226" s="241"/>
      <c r="R1226" s="241"/>
      <c r="S1226" s="241"/>
      <c r="T1226" s="241"/>
      <c r="U1226" s="241"/>
      <c r="V1226" s="241"/>
      <c r="W1226" s="241"/>
      <c r="X1226" s="242"/>
      <c r="Y1226" s="241"/>
      <c r="Z1226" s="241"/>
      <c r="AA1226" s="241"/>
      <c r="AB1226" s="241"/>
      <c r="AC1226" s="241"/>
      <c r="AD1226" s="241"/>
      <c r="AE1226" s="241"/>
      <c r="AF1226" s="241"/>
      <c r="AG1226" s="241"/>
      <c r="AH1226" s="241"/>
      <c r="AI1226" s="241"/>
      <c r="AJ1226" s="242"/>
    </row>
    <row r="1227" hidden="1">
      <c r="A1227" s="241"/>
      <c r="B1227" s="241"/>
      <c r="C1227" s="241"/>
      <c r="D1227" s="241"/>
      <c r="E1227" s="241"/>
      <c r="F1227" s="241"/>
      <c r="G1227" s="241"/>
      <c r="H1227" s="241"/>
      <c r="I1227" s="241"/>
      <c r="J1227" s="241"/>
      <c r="K1227" s="241"/>
      <c r="L1227" s="242"/>
      <c r="M1227" s="241"/>
      <c r="N1227" s="241"/>
      <c r="O1227" s="241"/>
      <c r="P1227" s="241"/>
      <c r="Q1227" s="241"/>
      <c r="R1227" s="241"/>
      <c r="S1227" s="241"/>
      <c r="T1227" s="241"/>
      <c r="U1227" s="241"/>
      <c r="V1227" s="241"/>
      <c r="W1227" s="241"/>
      <c r="X1227" s="242"/>
      <c r="Y1227" s="241"/>
      <c r="Z1227" s="241"/>
      <c r="AA1227" s="241"/>
      <c r="AB1227" s="241"/>
      <c r="AC1227" s="241"/>
      <c r="AD1227" s="241"/>
      <c r="AE1227" s="241"/>
      <c r="AF1227" s="241"/>
      <c r="AG1227" s="241"/>
      <c r="AH1227" s="241"/>
      <c r="AI1227" s="241"/>
      <c r="AJ1227" s="242"/>
    </row>
    <row r="1228" hidden="1">
      <c r="A1228" s="241"/>
      <c r="B1228" s="241"/>
      <c r="C1228" s="241"/>
      <c r="D1228" s="241"/>
      <c r="E1228" s="241"/>
      <c r="F1228" s="241"/>
      <c r="G1228" s="241"/>
      <c r="H1228" s="241"/>
      <c r="I1228" s="241"/>
      <c r="J1228" s="241"/>
      <c r="K1228" s="241"/>
      <c r="L1228" s="242"/>
      <c r="M1228" s="241"/>
      <c r="N1228" s="241"/>
      <c r="O1228" s="241"/>
      <c r="P1228" s="241"/>
      <c r="Q1228" s="241"/>
      <c r="R1228" s="241"/>
      <c r="S1228" s="241"/>
      <c r="T1228" s="241"/>
      <c r="U1228" s="241"/>
      <c r="V1228" s="241"/>
      <c r="W1228" s="241"/>
      <c r="X1228" s="242"/>
      <c r="Y1228" s="241"/>
      <c r="Z1228" s="241"/>
      <c r="AA1228" s="241"/>
      <c r="AB1228" s="241"/>
      <c r="AC1228" s="241"/>
      <c r="AD1228" s="241"/>
      <c r="AE1228" s="241"/>
      <c r="AF1228" s="241"/>
      <c r="AG1228" s="241"/>
      <c r="AH1228" s="241"/>
      <c r="AI1228" s="241"/>
      <c r="AJ1228" s="242"/>
    </row>
    <row r="1229" hidden="1">
      <c r="A1229" s="241"/>
      <c r="B1229" s="241"/>
      <c r="C1229" s="241"/>
      <c r="D1229" s="241"/>
      <c r="E1229" s="241"/>
      <c r="F1229" s="241"/>
      <c r="G1229" s="241"/>
      <c r="H1229" s="241"/>
      <c r="I1229" s="241"/>
      <c r="J1229" s="241"/>
      <c r="K1229" s="241"/>
      <c r="L1229" s="242"/>
      <c r="M1229" s="241"/>
      <c r="N1229" s="241"/>
      <c r="O1229" s="241"/>
      <c r="P1229" s="241"/>
      <c r="Q1229" s="241"/>
      <c r="R1229" s="241"/>
      <c r="S1229" s="241"/>
      <c r="T1229" s="241"/>
      <c r="U1229" s="241"/>
      <c r="V1229" s="241"/>
      <c r="W1229" s="241"/>
      <c r="X1229" s="242"/>
      <c r="Y1229" s="241"/>
      <c r="Z1229" s="241"/>
      <c r="AA1229" s="241"/>
      <c r="AB1229" s="241"/>
      <c r="AC1229" s="241"/>
      <c r="AD1229" s="241"/>
      <c r="AE1229" s="241"/>
      <c r="AF1229" s="241"/>
      <c r="AG1229" s="241"/>
      <c r="AH1229" s="241"/>
      <c r="AI1229" s="241"/>
      <c r="AJ1229" s="242"/>
    </row>
    <row r="1230" hidden="1">
      <c r="A1230" s="241"/>
      <c r="B1230" s="241"/>
      <c r="C1230" s="241"/>
      <c r="D1230" s="241"/>
      <c r="E1230" s="241"/>
      <c r="F1230" s="241"/>
      <c r="G1230" s="241"/>
      <c r="H1230" s="241"/>
      <c r="I1230" s="241"/>
      <c r="J1230" s="241"/>
      <c r="K1230" s="241"/>
      <c r="L1230" s="242"/>
      <c r="M1230" s="241"/>
      <c r="N1230" s="241"/>
      <c r="O1230" s="241"/>
      <c r="P1230" s="241"/>
      <c r="Q1230" s="241"/>
      <c r="R1230" s="241"/>
      <c r="S1230" s="241"/>
      <c r="T1230" s="241"/>
      <c r="U1230" s="241"/>
      <c r="V1230" s="241"/>
      <c r="W1230" s="241"/>
      <c r="X1230" s="242"/>
      <c r="Y1230" s="241"/>
      <c r="Z1230" s="241"/>
      <c r="AA1230" s="241"/>
      <c r="AB1230" s="241"/>
      <c r="AC1230" s="241"/>
      <c r="AD1230" s="241"/>
      <c r="AE1230" s="241"/>
      <c r="AF1230" s="241"/>
      <c r="AG1230" s="241"/>
      <c r="AH1230" s="241"/>
      <c r="AI1230" s="241"/>
      <c r="AJ1230" s="242"/>
    </row>
    <row r="1231" hidden="1">
      <c r="A1231" s="241"/>
      <c r="B1231" s="241"/>
      <c r="C1231" s="241"/>
      <c r="D1231" s="241"/>
      <c r="E1231" s="241"/>
      <c r="F1231" s="241"/>
      <c r="G1231" s="241"/>
      <c r="H1231" s="241"/>
      <c r="I1231" s="241"/>
      <c r="J1231" s="241"/>
      <c r="K1231" s="241"/>
      <c r="L1231" s="242"/>
      <c r="M1231" s="241"/>
      <c r="N1231" s="241"/>
      <c r="O1231" s="241"/>
      <c r="P1231" s="241"/>
      <c r="Q1231" s="241"/>
      <c r="R1231" s="241"/>
      <c r="S1231" s="241"/>
      <c r="T1231" s="241"/>
      <c r="U1231" s="241"/>
      <c r="V1231" s="241"/>
      <c r="W1231" s="241"/>
      <c r="X1231" s="242"/>
      <c r="Y1231" s="241"/>
      <c r="Z1231" s="241"/>
      <c r="AA1231" s="241"/>
      <c r="AB1231" s="241"/>
      <c r="AC1231" s="241"/>
      <c r="AD1231" s="241"/>
      <c r="AE1231" s="241"/>
      <c r="AF1231" s="241"/>
      <c r="AG1231" s="241"/>
      <c r="AH1231" s="241"/>
      <c r="AI1231" s="241"/>
      <c r="AJ1231" s="242"/>
    </row>
    <row r="1232" hidden="1">
      <c r="A1232" s="241"/>
      <c r="B1232" s="241"/>
      <c r="C1232" s="241"/>
      <c r="D1232" s="241"/>
      <c r="E1232" s="241"/>
      <c r="F1232" s="241"/>
      <c r="G1232" s="241"/>
      <c r="H1232" s="241"/>
      <c r="I1232" s="241"/>
      <c r="J1232" s="241"/>
      <c r="K1232" s="241"/>
      <c r="L1232" s="242"/>
      <c r="M1232" s="241"/>
      <c r="N1232" s="241"/>
      <c r="O1232" s="241"/>
      <c r="P1232" s="241"/>
      <c r="Q1232" s="241"/>
      <c r="R1232" s="241"/>
      <c r="S1232" s="241"/>
      <c r="T1232" s="241"/>
      <c r="U1232" s="241"/>
      <c r="V1232" s="241"/>
      <c r="W1232" s="241"/>
      <c r="X1232" s="242"/>
      <c r="Y1232" s="241"/>
      <c r="Z1232" s="241"/>
      <c r="AA1232" s="241"/>
      <c r="AB1232" s="241"/>
      <c r="AC1232" s="241"/>
      <c r="AD1232" s="241"/>
      <c r="AE1232" s="241"/>
      <c r="AF1232" s="241"/>
      <c r="AG1232" s="241"/>
      <c r="AH1232" s="241"/>
      <c r="AI1232" s="241"/>
      <c r="AJ1232" s="242"/>
    </row>
    <row r="1233" hidden="1">
      <c r="A1233" s="241"/>
      <c r="B1233" s="241"/>
      <c r="C1233" s="241"/>
      <c r="D1233" s="241"/>
      <c r="E1233" s="241"/>
      <c r="F1233" s="241"/>
      <c r="G1233" s="241"/>
      <c r="H1233" s="241"/>
      <c r="I1233" s="241"/>
      <c r="J1233" s="241"/>
      <c r="K1233" s="241"/>
      <c r="L1233" s="242"/>
      <c r="M1233" s="241"/>
      <c r="N1233" s="241"/>
      <c r="O1233" s="241"/>
      <c r="P1233" s="241"/>
      <c r="Q1233" s="241"/>
      <c r="R1233" s="241"/>
      <c r="S1233" s="241"/>
      <c r="T1233" s="241"/>
      <c r="U1233" s="241"/>
      <c r="V1233" s="241"/>
      <c r="W1233" s="241"/>
      <c r="X1233" s="242"/>
      <c r="Y1233" s="241"/>
      <c r="Z1233" s="241"/>
      <c r="AA1233" s="241"/>
      <c r="AB1233" s="241"/>
      <c r="AC1233" s="241"/>
      <c r="AD1233" s="241"/>
      <c r="AE1233" s="241"/>
      <c r="AF1233" s="241"/>
      <c r="AG1233" s="241"/>
      <c r="AH1233" s="241"/>
      <c r="AI1233" s="241"/>
      <c r="AJ1233" s="242"/>
    </row>
    <row r="1234" hidden="1">
      <c r="A1234" s="241"/>
      <c r="B1234" s="241"/>
      <c r="C1234" s="241"/>
      <c r="D1234" s="241"/>
      <c r="E1234" s="241"/>
      <c r="F1234" s="241"/>
      <c r="G1234" s="241"/>
      <c r="H1234" s="241"/>
      <c r="I1234" s="241"/>
      <c r="J1234" s="241"/>
      <c r="K1234" s="241"/>
      <c r="L1234" s="242"/>
      <c r="M1234" s="241"/>
      <c r="N1234" s="241"/>
      <c r="O1234" s="241"/>
      <c r="P1234" s="241"/>
      <c r="Q1234" s="241"/>
      <c r="R1234" s="241"/>
      <c r="S1234" s="241"/>
      <c r="T1234" s="241"/>
      <c r="U1234" s="241"/>
      <c r="V1234" s="241"/>
      <c r="W1234" s="241"/>
      <c r="X1234" s="242"/>
      <c r="Y1234" s="241"/>
      <c r="Z1234" s="241"/>
      <c r="AA1234" s="241"/>
      <c r="AB1234" s="241"/>
      <c r="AC1234" s="241"/>
      <c r="AD1234" s="241"/>
      <c r="AE1234" s="241"/>
      <c r="AF1234" s="241"/>
      <c r="AG1234" s="241"/>
      <c r="AH1234" s="241"/>
      <c r="AI1234" s="241"/>
      <c r="AJ1234" s="242"/>
    </row>
    <row r="1235" hidden="1">
      <c r="A1235" s="241"/>
      <c r="B1235" s="241"/>
      <c r="C1235" s="241"/>
      <c r="D1235" s="241"/>
      <c r="E1235" s="241"/>
      <c r="F1235" s="241"/>
      <c r="G1235" s="241"/>
      <c r="H1235" s="241"/>
      <c r="I1235" s="241"/>
      <c r="J1235" s="241"/>
      <c r="K1235" s="241"/>
      <c r="L1235" s="242"/>
      <c r="M1235" s="241"/>
      <c r="N1235" s="241"/>
      <c r="O1235" s="241"/>
      <c r="P1235" s="241"/>
      <c r="Q1235" s="241"/>
      <c r="R1235" s="241"/>
      <c r="S1235" s="241"/>
      <c r="T1235" s="241"/>
      <c r="U1235" s="241"/>
      <c r="V1235" s="241"/>
      <c r="W1235" s="241"/>
      <c r="X1235" s="242"/>
      <c r="Y1235" s="241"/>
      <c r="Z1235" s="241"/>
      <c r="AA1235" s="241"/>
      <c r="AB1235" s="241"/>
      <c r="AC1235" s="241"/>
      <c r="AD1235" s="241"/>
      <c r="AE1235" s="241"/>
      <c r="AF1235" s="241"/>
      <c r="AG1235" s="241"/>
      <c r="AH1235" s="241"/>
      <c r="AI1235" s="241"/>
      <c r="AJ1235" s="242"/>
    </row>
    <row r="1236" hidden="1">
      <c r="A1236" s="241"/>
      <c r="B1236" s="241"/>
      <c r="C1236" s="241"/>
      <c r="D1236" s="241"/>
      <c r="E1236" s="241"/>
      <c r="F1236" s="241"/>
      <c r="G1236" s="241"/>
      <c r="H1236" s="241"/>
      <c r="I1236" s="241"/>
      <c r="J1236" s="241"/>
      <c r="K1236" s="241"/>
      <c r="L1236" s="242"/>
      <c r="M1236" s="241"/>
      <c r="N1236" s="241"/>
      <c r="O1236" s="241"/>
      <c r="P1236" s="241"/>
      <c r="Q1236" s="241"/>
      <c r="R1236" s="241"/>
      <c r="S1236" s="241"/>
      <c r="T1236" s="241"/>
      <c r="U1236" s="241"/>
      <c r="V1236" s="241"/>
      <c r="W1236" s="241"/>
      <c r="X1236" s="242"/>
      <c r="Y1236" s="241"/>
      <c r="Z1236" s="241"/>
      <c r="AA1236" s="241"/>
      <c r="AB1236" s="241"/>
      <c r="AC1236" s="241"/>
      <c r="AD1236" s="241"/>
      <c r="AE1236" s="241"/>
      <c r="AF1236" s="241"/>
      <c r="AG1236" s="241"/>
      <c r="AH1236" s="241"/>
      <c r="AI1236" s="241"/>
      <c r="AJ1236" s="242"/>
    </row>
    <row r="1237" hidden="1">
      <c r="A1237" s="241"/>
      <c r="B1237" s="241"/>
      <c r="C1237" s="241"/>
      <c r="D1237" s="241"/>
      <c r="E1237" s="241"/>
      <c r="F1237" s="241"/>
      <c r="G1237" s="241"/>
      <c r="H1237" s="241"/>
      <c r="I1237" s="241"/>
      <c r="J1237" s="241"/>
      <c r="K1237" s="241"/>
      <c r="L1237" s="242"/>
      <c r="M1237" s="241"/>
      <c r="N1237" s="241"/>
      <c r="O1237" s="241"/>
      <c r="P1237" s="241"/>
      <c r="Q1237" s="241"/>
      <c r="R1237" s="241"/>
      <c r="S1237" s="241"/>
      <c r="T1237" s="241"/>
      <c r="U1237" s="241"/>
      <c r="V1237" s="241"/>
      <c r="W1237" s="241"/>
      <c r="X1237" s="242"/>
      <c r="Y1237" s="241"/>
      <c r="Z1237" s="241"/>
      <c r="AA1237" s="241"/>
      <c r="AB1237" s="241"/>
      <c r="AC1237" s="241"/>
      <c r="AD1237" s="241"/>
      <c r="AE1237" s="241"/>
      <c r="AF1237" s="241"/>
      <c r="AG1237" s="241"/>
      <c r="AH1237" s="241"/>
      <c r="AI1237" s="241"/>
      <c r="AJ1237" s="242"/>
    </row>
    <row r="1238" hidden="1">
      <c r="A1238" s="241"/>
      <c r="B1238" s="241"/>
      <c r="C1238" s="241"/>
      <c r="D1238" s="241"/>
      <c r="E1238" s="241"/>
      <c r="F1238" s="241"/>
      <c r="G1238" s="241"/>
      <c r="H1238" s="241"/>
      <c r="I1238" s="241"/>
      <c r="J1238" s="241"/>
      <c r="K1238" s="241"/>
      <c r="L1238" s="242"/>
      <c r="M1238" s="241"/>
      <c r="N1238" s="241"/>
      <c r="O1238" s="241"/>
      <c r="P1238" s="241"/>
      <c r="Q1238" s="241"/>
      <c r="R1238" s="241"/>
      <c r="S1238" s="241"/>
      <c r="T1238" s="241"/>
      <c r="U1238" s="241"/>
      <c r="V1238" s="241"/>
      <c r="W1238" s="241"/>
      <c r="X1238" s="242"/>
      <c r="Y1238" s="241"/>
      <c r="Z1238" s="241"/>
      <c r="AA1238" s="241"/>
      <c r="AB1238" s="241"/>
      <c r="AC1238" s="241"/>
      <c r="AD1238" s="241"/>
      <c r="AE1238" s="241"/>
      <c r="AF1238" s="241"/>
      <c r="AG1238" s="241"/>
      <c r="AH1238" s="241"/>
      <c r="AI1238" s="241"/>
      <c r="AJ1238" s="242"/>
    </row>
    <row r="1239" hidden="1">
      <c r="A1239" s="241"/>
      <c r="B1239" s="241"/>
      <c r="C1239" s="241"/>
      <c r="D1239" s="241"/>
      <c r="E1239" s="241"/>
      <c r="F1239" s="241"/>
      <c r="G1239" s="241"/>
      <c r="H1239" s="241"/>
      <c r="I1239" s="241"/>
      <c r="J1239" s="241"/>
      <c r="K1239" s="241"/>
      <c r="L1239" s="242"/>
      <c r="M1239" s="241"/>
      <c r="N1239" s="241"/>
      <c r="O1239" s="241"/>
      <c r="P1239" s="241"/>
      <c r="Q1239" s="241"/>
      <c r="R1239" s="241"/>
      <c r="S1239" s="241"/>
      <c r="T1239" s="241"/>
      <c r="U1239" s="241"/>
      <c r="V1239" s="241"/>
      <c r="W1239" s="241"/>
      <c r="X1239" s="242"/>
      <c r="Y1239" s="241"/>
      <c r="Z1239" s="241"/>
      <c r="AA1239" s="241"/>
      <c r="AB1239" s="241"/>
      <c r="AC1239" s="241"/>
      <c r="AD1239" s="241"/>
      <c r="AE1239" s="241"/>
      <c r="AF1239" s="241"/>
      <c r="AG1239" s="241"/>
      <c r="AH1239" s="241"/>
      <c r="AI1239" s="241"/>
      <c r="AJ1239" s="242"/>
    </row>
    <row r="1240" hidden="1">
      <c r="A1240" s="241"/>
      <c r="B1240" s="241"/>
      <c r="C1240" s="241"/>
      <c r="D1240" s="241"/>
      <c r="E1240" s="241"/>
      <c r="F1240" s="241"/>
      <c r="G1240" s="241"/>
      <c r="H1240" s="241"/>
      <c r="I1240" s="241"/>
      <c r="J1240" s="241"/>
      <c r="K1240" s="241"/>
      <c r="L1240" s="242"/>
      <c r="M1240" s="241"/>
      <c r="N1240" s="241"/>
      <c r="O1240" s="241"/>
      <c r="P1240" s="241"/>
      <c r="Q1240" s="241"/>
      <c r="R1240" s="241"/>
      <c r="S1240" s="241"/>
      <c r="T1240" s="241"/>
      <c r="U1240" s="241"/>
      <c r="V1240" s="241"/>
      <c r="W1240" s="241"/>
      <c r="X1240" s="242"/>
      <c r="Y1240" s="241"/>
      <c r="Z1240" s="241"/>
      <c r="AA1240" s="241"/>
      <c r="AB1240" s="241"/>
      <c r="AC1240" s="241"/>
      <c r="AD1240" s="241"/>
      <c r="AE1240" s="241"/>
      <c r="AF1240" s="241"/>
      <c r="AG1240" s="241"/>
      <c r="AH1240" s="241"/>
      <c r="AI1240" s="241"/>
      <c r="AJ1240" s="242"/>
    </row>
    <row r="1241" hidden="1">
      <c r="A1241" s="241"/>
      <c r="B1241" s="241"/>
      <c r="C1241" s="241"/>
      <c r="D1241" s="241"/>
      <c r="E1241" s="241"/>
      <c r="F1241" s="241"/>
      <c r="G1241" s="241"/>
      <c r="H1241" s="241"/>
      <c r="I1241" s="241"/>
      <c r="J1241" s="241"/>
      <c r="K1241" s="241"/>
      <c r="L1241" s="242"/>
      <c r="M1241" s="241"/>
      <c r="N1241" s="241"/>
      <c r="O1241" s="241"/>
      <c r="P1241" s="241"/>
      <c r="Q1241" s="241"/>
      <c r="R1241" s="241"/>
      <c r="S1241" s="241"/>
      <c r="T1241" s="241"/>
      <c r="U1241" s="241"/>
      <c r="V1241" s="241"/>
      <c r="W1241" s="241"/>
      <c r="X1241" s="242"/>
      <c r="Y1241" s="241"/>
      <c r="Z1241" s="241"/>
      <c r="AA1241" s="241"/>
      <c r="AB1241" s="241"/>
      <c r="AC1241" s="241"/>
      <c r="AD1241" s="241"/>
      <c r="AE1241" s="241"/>
      <c r="AF1241" s="241"/>
      <c r="AG1241" s="241"/>
      <c r="AH1241" s="241"/>
      <c r="AI1241" s="241"/>
      <c r="AJ1241" s="242"/>
    </row>
    <row r="1242" hidden="1">
      <c r="A1242" s="241"/>
      <c r="B1242" s="241"/>
      <c r="C1242" s="241"/>
      <c r="D1242" s="241"/>
      <c r="E1242" s="241"/>
      <c r="F1242" s="241"/>
      <c r="G1242" s="241"/>
      <c r="H1242" s="241"/>
      <c r="I1242" s="241"/>
      <c r="J1242" s="241"/>
      <c r="K1242" s="241"/>
      <c r="L1242" s="242"/>
      <c r="M1242" s="241"/>
      <c r="N1242" s="241"/>
      <c r="O1242" s="241"/>
      <c r="P1242" s="241"/>
      <c r="Q1242" s="241"/>
      <c r="R1242" s="241"/>
      <c r="S1242" s="241"/>
      <c r="T1242" s="241"/>
      <c r="U1242" s="241"/>
      <c r="V1242" s="241"/>
      <c r="W1242" s="241"/>
      <c r="X1242" s="242"/>
      <c r="Y1242" s="241"/>
      <c r="Z1242" s="241"/>
      <c r="AA1242" s="241"/>
      <c r="AB1242" s="241"/>
      <c r="AC1242" s="241"/>
      <c r="AD1242" s="241"/>
      <c r="AE1242" s="241"/>
      <c r="AF1242" s="241"/>
      <c r="AG1242" s="241"/>
      <c r="AH1242" s="241"/>
      <c r="AI1242" s="241"/>
      <c r="AJ1242" s="242"/>
    </row>
    <row r="1243" hidden="1">
      <c r="A1243" s="241"/>
      <c r="B1243" s="241"/>
      <c r="C1243" s="241"/>
      <c r="D1243" s="241"/>
      <c r="E1243" s="241"/>
      <c r="F1243" s="241"/>
      <c r="G1243" s="241"/>
      <c r="H1243" s="241"/>
      <c r="I1243" s="241"/>
      <c r="J1243" s="241"/>
      <c r="K1243" s="241"/>
      <c r="L1243" s="242"/>
      <c r="M1243" s="241"/>
      <c r="N1243" s="241"/>
      <c r="O1243" s="241"/>
      <c r="P1243" s="241"/>
      <c r="Q1243" s="241"/>
      <c r="R1243" s="241"/>
      <c r="S1243" s="241"/>
      <c r="T1243" s="241"/>
      <c r="U1243" s="241"/>
      <c r="V1243" s="241"/>
      <c r="W1243" s="241"/>
      <c r="X1243" s="242"/>
      <c r="Y1243" s="241"/>
      <c r="Z1243" s="241"/>
      <c r="AA1243" s="241"/>
      <c r="AB1243" s="241"/>
      <c r="AC1243" s="241"/>
      <c r="AD1243" s="241"/>
      <c r="AE1243" s="241"/>
      <c r="AF1243" s="241"/>
      <c r="AG1243" s="241"/>
      <c r="AH1243" s="241"/>
      <c r="AI1243" s="241"/>
      <c r="AJ1243" s="242"/>
    </row>
    <row r="1244" hidden="1">
      <c r="A1244" s="241"/>
      <c r="B1244" s="241"/>
      <c r="C1244" s="241"/>
      <c r="D1244" s="241"/>
      <c r="E1244" s="241"/>
      <c r="F1244" s="241"/>
      <c r="G1244" s="241"/>
      <c r="H1244" s="241"/>
      <c r="I1244" s="241"/>
      <c r="J1244" s="241"/>
      <c r="K1244" s="241"/>
      <c r="L1244" s="242"/>
      <c r="M1244" s="241"/>
      <c r="N1244" s="241"/>
      <c r="O1244" s="241"/>
      <c r="P1244" s="241"/>
      <c r="Q1244" s="241"/>
      <c r="R1244" s="241"/>
      <c r="S1244" s="241"/>
      <c r="T1244" s="241"/>
      <c r="U1244" s="241"/>
      <c r="V1244" s="241"/>
      <c r="W1244" s="241"/>
      <c r="X1244" s="242"/>
      <c r="Y1244" s="241"/>
      <c r="Z1244" s="241"/>
      <c r="AA1244" s="241"/>
      <c r="AB1244" s="241"/>
      <c r="AC1244" s="241"/>
      <c r="AD1244" s="241"/>
      <c r="AE1244" s="241"/>
      <c r="AF1244" s="241"/>
      <c r="AG1244" s="241"/>
      <c r="AH1244" s="241"/>
      <c r="AI1244" s="241"/>
      <c r="AJ1244" s="242"/>
    </row>
    <row r="1245" hidden="1">
      <c r="A1245" s="241"/>
      <c r="B1245" s="241"/>
      <c r="C1245" s="241"/>
      <c r="D1245" s="241"/>
      <c r="E1245" s="241"/>
      <c r="F1245" s="241"/>
      <c r="G1245" s="241"/>
      <c r="H1245" s="241"/>
      <c r="I1245" s="241"/>
      <c r="J1245" s="241"/>
      <c r="K1245" s="241"/>
      <c r="L1245" s="242"/>
      <c r="M1245" s="241"/>
      <c r="N1245" s="241"/>
      <c r="O1245" s="241"/>
      <c r="P1245" s="241"/>
      <c r="Q1245" s="241"/>
      <c r="R1245" s="241"/>
      <c r="S1245" s="241"/>
      <c r="T1245" s="241"/>
      <c r="U1245" s="241"/>
      <c r="V1245" s="241"/>
      <c r="W1245" s="241"/>
      <c r="X1245" s="242"/>
      <c r="Y1245" s="241"/>
      <c r="Z1245" s="241"/>
      <c r="AA1245" s="241"/>
      <c r="AB1245" s="241"/>
      <c r="AC1245" s="241"/>
      <c r="AD1245" s="241"/>
      <c r="AE1245" s="241"/>
      <c r="AF1245" s="241"/>
      <c r="AG1245" s="241"/>
      <c r="AH1245" s="241"/>
      <c r="AI1245" s="241"/>
      <c r="AJ1245" s="242"/>
    </row>
    <row r="1246" hidden="1">
      <c r="A1246" s="241"/>
      <c r="B1246" s="241"/>
      <c r="C1246" s="241"/>
      <c r="D1246" s="241"/>
      <c r="E1246" s="241"/>
      <c r="F1246" s="241"/>
      <c r="G1246" s="241"/>
      <c r="H1246" s="241"/>
      <c r="I1246" s="241"/>
      <c r="J1246" s="241"/>
      <c r="K1246" s="241"/>
      <c r="L1246" s="242"/>
      <c r="M1246" s="241"/>
      <c r="N1246" s="241"/>
      <c r="O1246" s="241"/>
      <c r="P1246" s="241"/>
      <c r="Q1246" s="241"/>
      <c r="R1246" s="241"/>
      <c r="S1246" s="241"/>
      <c r="T1246" s="241"/>
      <c r="U1246" s="241"/>
      <c r="V1246" s="241"/>
      <c r="W1246" s="241"/>
      <c r="X1246" s="242"/>
      <c r="Y1246" s="241"/>
      <c r="Z1246" s="241"/>
      <c r="AA1246" s="241"/>
      <c r="AB1246" s="241"/>
      <c r="AC1246" s="241"/>
      <c r="AD1246" s="241"/>
      <c r="AE1246" s="241"/>
      <c r="AF1246" s="241"/>
      <c r="AG1246" s="241"/>
      <c r="AH1246" s="241"/>
      <c r="AI1246" s="241"/>
      <c r="AJ1246" s="242"/>
    </row>
    <row r="1247" hidden="1">
      <c r="A1247" s="241"/>
      <c r="B1247" s="241"/>
      <c r="C1247" s="241"/>
      <c r="D1247" s="241"/>
      <c r="E1247" s="241"/>
      <c r="F1247" s="241"/>
      <c r="G1247" s="241"/>
      <c r="H1247" s="241"/>
      <c r="I1247" s="241"/>
      <c r="J1247" s="241"/>
      <c r="K1247" s="241"/>
      <c r="L1247" s="242"/>
      <c r="M1247" s="241"/>
      <c r="N1247" s="241"/>
      <c r="O1247" s="241"/>
      <c r="P1247" s="241"/>
      <c r="Q1247" s="241"/>
      <c r="R1247" s="241"/>
      <c r="S1247" s="241"/>
      <c r="T1247" s="241"/>
      <c r="U1247" s="241"/>
      <c r="V1247" s="241"/>
      <c r="W1247" s="241"/>
      <c r="X1247" s="242"/>
      <c r="Y1247" s="241"/>
      <c r="Z1247" s="241"/>
      <c r="AA1247" s="241"/>
      <c r="AB1247" s="241"/>
      <c r="AC1247" s="241"/>
      <c r="AD1247" s="241"/>
      <c r="AE1247" s="241"/>
      <c r="AF1247" s="241"/>
      <c r="AG1247" s="241"/>
      <c r="AH1247" s="241"/>
      <c r="AI1247" s="241"/>
      <c r="AJ1247" s="242"/>
    </row>
    <row r="1248" hidden="1">
      <c r="A1248" s="241"/>
      <c r="B1248" s="241"/>
      <c r="C1248" s="241"/>
      <c r="D1248" s="241"/>
      <c r="E1248" s="241"/>
      <c r="F1248" s="241"/>
      <c r="G1248" s="241"/>
      <c r="H1248" s="241"/>
      <c r="I1248" s="241"/>
      <c r="J1248" s="241"/>
      <c r="K1248" s="241"/>
      <c r="L1248" s="242"/>
      <c r="M1248" s="241"/>
      <c r="N1248" s="241"/>
      <c r="O1248" s="241"/>
      <c r="P1248" s="241"/>
      <c r="Q1248" s="241"/>
      <c r="R1248" s="241"/>
      <c r="S1248" s="241"/>
      <c r="T1248" s="241"/>
      <c r="U1248" s="241"/>
      <c r="V1248" s="241"/>
      <c r="W1248" s="241"/>
      <c r="X1248" s="242"/>
      <c r="Y1248" s="241"/>
      <c r="Z1248" s="241"/>
      <c r="AA1248" s="241"/>
      <c r="AB1248" s="241"/>
      <c r="AC1248" s="241"/>
      <c r="AD1248" s="241"/>
      <c r="AE1248" s="241"/>
      <c r="AF1248" s="241"/>
      <c r="AG1248" s="241"/>
      <c r="AH1248" s="241"/>
      <c r="AI1248" s="241"/>
      <c r="AJ1248" s="242"/>
    </row>
    <row r="1249" hidden="1">
      <c r="A1249" s="241"/>
      <c r="B1249" s="241"/>
      <c r="C1249" s="241"/>
      <c r="D1249" s="241"/>
      <c r="E1249" s="241"/>
      <c r="F1249" s="241"/>
      <c r="G1249" s="241"/>
      <c r="H1249" s="241"/>
      <c r="I1249" s="241"/>
      <c r="J1249" s="241"/>
      <c r="K1249" s="241"/>
      <c r="L1249" s="242"/>
      <c r="M1249" s="241"/>
      <c r="N1249" s="241"/>
      <c r="O1249" s="241"/>
      <c r="P1249" s="241"/>
      <c r="Q1249" s="241"/>
      <c r="R1249" s="241"/>
      <c r="S1249" s="241"/>
      <c r="T1249" s="241"/>
      <c r="U1249" s="241"/>
      <c r="V1249" s="241"/>
      <c r="W1249" s="241"/>
      <c r="X1249" s="242"/>
      <c r="Y1249" s="241"/>
      <c r="Z1249" s="241"/>
      <c r="AA1249" s="241"/>
      <c r="AB1249" s="241"/>
      <c r="AC1249" s="241"/>
      <c r="AD1249" s="241"/>
      <c r="AE1249" s="241"/>
      <c r="AF1249" s="241"/>
      <c r="AG1249" s="241"/>
      <c r="AH1249" s="241"/>
      <c r="AI1249" s="241"/>
      <c r="AJ1249" s="242"/>
    </row>
    <row r="1250" hidden="1">
      <c r="A1250" s="241"/>
      <c r="B1250" s="241"/>
      <c r="C1250" s="241"/>
      <c r="D1250" s="241"/>
      <c r="E1250" s="241"/>
      <c r="F1250" s="241"/>
      <c r="G1250" s="241"/>
      <c r="H1250" s="241"/>
      <c r="I1250" s="241"/>
      <c r="J1250" s="241"/>
      <c r="K1250" s="241"/>
      <c r="L1250" s="242"/>
      <c r="M1250" s="241"/>
      <c r="N1250" s="241"/>
      <c r="O1250" s="241"/>
      <c r="P1250" s="241"/>
      <c r="Q1250" s="241"/>
      <c r="R1250" s="241"/>
      <c r="S1250" s="241"/>
      <c r="T1250" s="241"/>
      <c r="U1250" s="241"/>
      <c r="V1250" s="241"/>
      <c r="W1250" s="241"/>
      <c r="X1250" s="242"/>
      <c r="Y1250" s="241"/>
      <c r="Z1250" s="241"/>
      <c r="AA1250" s="241"/>
      <c r="AB1250" s="241"/>
      <c r="AC1250" s="241"/>
      <c r="AD1250" s="241"/>
      <c r="AE1250" s="241"/>
      <c r="AF1250" s="241"/>
      <c r="AG1250" s="241"/>
      <c r="AH1250" s="241"/>
      <c r="AI1250" s="241"/>
      <c r="AJ1250" s="242"/>
    </row>
    <row r="1251" hidden="1">
      <c r="A1251" s="241"/>
      <c r="B1251" s="241"/>
      <c r="C1251" s="241"/>
      <c r="D1251" s="241"/>
      <c r="E1251" s="241"/>
      <c r="F1251" s="241"/>
      <c r="G1251" s="241"/>
      <c r="H1251" s="241"/>
      <c r="I1251" s="241"/>
      <c r="J1251" s="241"/>
      <c r="K1251" s="241"/>
      <c r="L1251" s="242"/>
      <c r="M1251" s="241"/>
      <c r="N1251" s="241"/>
      <c r="O1251" s="241"/>
      <c r="P1251" s="241"/>
      <c r="Q1251" s="241"/>
      <c r="R1251" s="241"/>
      <c r="S1251" s="241"/>
      <c r="T1251" s="241"/>
      <c r="U1251" s="241"/>
      <c r="V1251" s="241"/>
      <c r="W1251" s="241"/>
      <c r="X1251" s="242"/>
      <c r="Y1251" s="241"/>
      <c r="Z1251" s="241"/>
      <c r="AA1251" s="241"/>
      <c r="AB1251" s="241"/>
      <c r="AC1251" s="241"/>
      <c r="AD1251" s="241"/>
      <c r="AE1251" s="241"/>
      <c r="AF1251" s="241"/>
      <c r="AG1251" s="241"/>
      <c r="AH1251" s="241"/>
      <c r="AI1251" s="241"/>
      <c r="AJ1251" s="242"/>
    </row>
    <row r="1252" hidden="1">
      <c r="A1252" s="241"/>
      <c r="B1252" s="241"/>
      <c r="C1252" s="241"/>
      <c r="D1252" s="241"/>
      <c r="E1252" s="241"/>
      <c r="F1252" s="241"/>
      <c r="G1252" s="241"/>
      <c r="H1252" s="241"/>
      <c r="I1252" s="241"/>
      <c r="J1252" s="241"/>
      <c r="K1252" s="241"/>
      <c r="L1252" s="242"/>
      <c r="M1252" s="241"/>
      <c r="N1252" s="241"/>
      <c r="O1252" s="241"/>
      <c r="P1252" s="241"/>
      <c r="Q1252" s="241"/>
      <c r="R1252" s="241"/>
      <c r="S1252" s="241"/>
      <c r="T1252" s="241"/>
      <c r="U1252" s="241"/>
      <c r="V1252" s="241"/>
      <c r="W1252" s="241"/>
      <c r="X1252" s="242"/>
      <c r="Y1252" s="241"/>
      <c r="Z1252" s="241"/>
      <c r="AA1252" s="241"/>
      <c r="AB1252" s="241"/>
      <c r="AC1252" s="241"/>
      <c r="AD1252" s="241"/>
      <c r="AE1252" s="241"/>
      <c r="AF1252" s="241"/>
      <c r="AG1252" s="241"/>
      <c r="AH1252" s="241"/>
      <c r="AI1252" s="241"/>
      <c r="AJ1252" s="242"/>
    </row>
    <row r="1253" hidden="1">
      <c r="A1253" s="241"/>
      <c r="B1253" s="241"/>
      <c r="C1253" s="241"/>
      <c r="D1253" s="241"/>
      <c r="E1253" s="241"/>
      <c r="F1253" s="241"/>
      <c r="G1253" s="241"/>
      <c r="H1253" s="241"/>
      <c r="I1253" s="241"/>
      <c r="J1253" s="241"/>
      <c r="K1253" s="241"/>
      <c r="L1253" s="242"/>
      <c r="M1253" s="241"/>
      <c r="N1253" s="241"/>
      <c r="O1253" s="241"/>
      <c r="P1253" s="241"/>
      <c r="Q1253" s="241"/>
      <c r="R1253" s="241"/>
      <c r="S1253" s="241"/>
      <c r="T1253" s="241"/>
      <c r="U1253" s="241"/>
      <c r="V1253" s="241"/>
      <c r="W1253" s="241"/>
      <c r="X1253" s="242"/>
      <c r="Y1253" s="241"/>
      <c r="Z1253" s="241"/>
      <c r="AA1253" s="241"/>
      <c r="AB1253" s="241"/>
      <c r="AC1253" s="241"/>
      <c r="AD1253" s="241"/>
      <c r="AE1253" s="241"/>
      <c r="AF1253" s="241"/>
      <c r="AG1253" s="241"/>
      <c r="AH1253" s="241"/>
      <c r="AI1253" s="241"/>
      <c r="AJ1253" s="242"/>
    </row>
    <row r="1254" hidden="1">
      <c r="A1254" s="241"/>
      <c r="B1254" s="241"/>
      <c r="C1254" s="241"/>
      <c r="D1254" s="241"/>
      <c r="E1254" s="241"/>
      <c r="F1254" s="241"/>
      <c r="G1254" s="241"/>
      <c r="H1254" s="241"/>
      <c r="I1254" s="241"/>
      <c r="J1254" s="241"/>
      <c r="K1254" s="241"/>
      <c r="L1254" s="242"/>
      <c r="M1254" s="241"/>
      <c r="N1254" s="241"/>
      <c r="O1254" s="241"/>
      <c r="P1254" s="241"/>
      <c r="Q1254" s="241"/>
      <c r="R1254" s="241"/>
      <c r="S1254" s="241"/>
      <c r="T1254" s="241"/>
      <c r="U1254" s="241"/>
      <c r="V1254" s="241"/>
      <c r="W1254" s="241"/>
      <c r="X1254" s="242"/>
      <c r="Y1254" s="241"/>
      <c r="Z1254" s="241"/>
      <c r="AA1254" s="241"/>
      <c r="AB1254" s="241"/>
      <c r="AC1254" s="241"/>
      <c r="AD1254" s="241"/>
      <c r="AE1254" s="241"/>
      <c r="AF1254" s="241"/>
      <c r="AG1254" s="241"/>
      <c r="AH1254" s="241"/>
      <c r="AI1254" s="241"/>
      <c r="AJ1254" s="242"/>
    </row>
    <row r="1255" hidden="1">
      <c r="A1255" s="241"/>
      <c r="B1255" s="241"/>
      <c r="C1255" s="241"/>
      <c r="D1255" s="241"/>
      <c r="E1255" s="241"/>
      <c r="F1255" s="241"/>
      <c r="G1255" s="241"/>
      <c r="H1255" s="241"/>
      <c r="I1255" s="241"/>
      <c r="J1255" s="241"/>
      <c r="K1255" s="241"/>
      <c r="L1255" s="242"/>
      <c r="M1255" s="241"/>
      <c r="N1255" s="241"/>
      <c r="O1255" s="241"/>
      <c r="P1255" s="241"/>
      <c r="Q1255" s="241"/>
      <c r="R1255" s="241"/>
      <c r="S1255" s="241"/>
      <c r="T1255" s="241"/>
      <c r="U1255" s="241"/>
      <c r="V1255" s="241"/>
      <c r="W1255" s="241"/>
      <c r="X1255" s="242"/>
      <c r="Y1255" s="241"/>
      <c r="Z1255" s="241"/>
      <c r="AA1255" s="241"/>
      <c r="AB1255" s="241"/>
      <c r="AC1255" s="241"/>
      <c r="AD1255" s="241"/>
      <c r="AE1255" s="241"/>
      <c r="AF1255" s="241"/>
      <c r="AG1255" s="241"/>
      <c r="AH1255" s="241"/>
      <c r="AI1255" s="241"/>
      <c r="AJ1255" s="242"/>
    </row>
    <row r="1256" hidden="1">
      <c r="A1256" s="241"/>
      <c r="B1256" s="241"/>
      <c r="C1256" s="241"/>
      <c r="D1256" s="241"/>
      <c r="E1256" s="241"/>
      <c r="F1256" s="241"/>
      <c r="G1256" s="241"/>
      <c r="H1256" s="241"/>
      <c r="I1256" s="241"/>
      <c r="J1256" s="241"/>
      <c r="K1256" s="241"/>
      <c r="L1256" s="242"/>
      <c r="M1256" s="241"/>
      <c r="N1256" s="241"/>
      <c r="O1256" s="241"/>
      <c r="P1256" s="241"/>
      <c r="Q1256" s="241"/>
      <c r="R1256" s="241"/>
      <c r="S1256" s="241"/>
      <c r="T1256" s="241"/>
      <c r="U1256" s="241"/>
      <c r="V1256" s="241"/>
      <c r="W1256" s="241"/>
      <c r="X1256" s="242"/>
      <c r="Y1256" s="241"/>
      <c r="Z1256" s="241"/>
      <c r="AA1256" s="241"/>
      <c r="AB1256" s="241"/>
      <c r="AC1256" s="241"/>
      <c r="AD1256" s="241"/>
      <c r="AE1256" s="241"/>
      <c r="AF1256" s="241"/>
      <c r="AG1256" s="241"/>
      <c r="AH1256" s="241"/>
      <c r="AI1256" s="241"/>
      <c r="AJ1256" s="242"/>
    </row>
    <row r="1257" hidden="1">
      <c r="A1257" s="241"/>
      <c r="B1257" s="241"/>
      <c r="C1257" s="241"/>
      <c r="D1257" s="241"/>
      <c r="E1257" s="241"/>
      <c r="F1257" s="241"/>
      <c r="G1257" s="241"/>
      <c r="H1257" s="241"/>
      <c r="I1257" s="241"/>
      <c r="J1257" s="241"/>
      <c r="K1257" s="241"/>
      <c r="L1257" s="242"/>
      <c r="M1257" s="241"/>
      <c r="N1257" s="241"/>
      <c r="O1257" s="241"/>
      <c r="P1257" s="241"/>
      <c r="Q1257" s="241"/>
      <c r="R1257" s="241"/>
      <c r="S1257" s="241"/>
      <c r="T1257" s="241"/>
      <c r="U1257" s="241"/>
      <c r="V1257" s="241"/>
      <c r="W1257" s="241"/>
      <c r="X1257" s="242"/>
      <c r="Y1257" s="241"/>
      <c r="Z1257" s="241"/>
      <c r="AA1257" s="241"/>
      <c r="AB1257" s="241"/>
      <c r="AC1257" s="241"/>
      <c r="AD1257" s="241"/>
      <c r="AE1257" s="241"/>
      <c r="AF1257" s="241"/>
      <c r="AG1257" s="241"/>
      <c r="AH1257" s="241"/>
      <c r="AI1257" s="241"/>
      <c r="AJ1257" s="242"/>
    </row>
    <row r="1258" hidden="1">
      <c r="A1258" s="241"/>
      <c r="B1258" s="241"/>
      <c r="C1258" s="241"/>
      <c r="D1258" s="241"/>
      <c r="E1258" s="241"/>
      <c r="F1258" s="241"/>
      <c r="G1258" s="241"/>
      <c r="H1258" s="241"/>
      <c r="I1258" s="241"/>
      <c r="J1258" s="241"/>
      <c r="K1258" s="241"/>
      <c r="L1258" s="242"/>
      <c r="M1258" s="241"/>
      <c r="N1258" s="241"/>
      <c r="O1258" s="241"/>
      <c r="P1258" s="241"/>
      <c r="Q1258" s="241"/>
      <c r="R1258" s="241"/>
      <c r="S1258" s="241"/>
      <c r="T1258" s="241"/>
      <c r="U1258" s="241"/>
      <c r="V1258" s="241"/>
      <c r="W1258" s="241"/>
      <c r="X1258" s="242"/>
      <c r="Y1258" s="241"/>
      <c r="Z1258" s="241"/>
      <c r="AA1258" s="241"/>
      <c r="AB1258" s="241"/>
      <c r="AC1258" s="241"/>
      <c r="AD1258" s="241"/>
      <c r="AE1258" s="241"/>
      <c r="AF1258" s="241"/>
      <c r="AG1258" s="241"/>
      <c r="AH1258" s="241"/>
      <c r="AI1258" s="241"/>
      <c r="AJ1258" s="242"/>
    </row>
    <row r="1259" hidden="1">
      <c r="A1259" s="241"/>
      <c r="B1259" s="241"/>
      <c r="C1259" s="241"/>
      <c r="D1259" s="241"/>
      <c r="E1259" s="241"/>
      <c r="F1259" s="241"/>
      <c r="G1259" s="241"/>
      <c r="H1259" s="241"/>
      <c r="I1259" s="241"/>
      <c r="J1259" s="241"/>
      <c r="K1259" s="241"/>
      <c r="L1259" s="242"/>
      <c r="M1259" s="241"/>
      <c r="N1259" s="241"/>
      <c r="O1259" s="241"/>
      <c r="P1259" s="241"/>
      <c r="Q1259" s="241"/>
      <c r="R1259" s="241"/>
      <c r="S1259" s="241"/>
      <c r="T1259" s="241"/>
      <c r="U1259" s="241"/>
      <c r="V1259" s="241"/>
      <c r="W1259" s="241"/>
      <c r="X1259" s="242"/>
      <c r="Y1259" s="241"/>
      <c r="Z1259" s="241"/>
      <c r="AA1259" s="241"/>
      <c r="AB1259" s="241"/>
      <c r="AC1259" s="241"/>
      <c r="AD1259" s="241"/>
      <c r="AE1259" s="241"/>
      <c r="AF1259" s="241"/>
      <c r="AG1259" s="241"/>
      <c r="AH1259" s="241"/>
      <c r="AI1259" s="241"/>
      <c r="AJ1259" s="242"/>
    </row>
    <row r="1260" hidden="1">
      <c r="A1260" s="241"/>
      <c r="B1260" s="241"/>
      <c r="C1260" s="241"/>
      <c r="D1260" s="241"/>
      <c r="E1260" s="241"/>
      <c r="F1260" s="241"/>
      <c r="G1260" s="241"/>
      <c r="H1260" s="241"/>
      <c r="I1260" s="241"/>
      <c r="J1260" s="241"/>
      <c r="K1260" s="241"/>
      <c r="L1260" s="242"/>
      <c r="M1260" s="241"/>
      <c r="N1260" s="241"/>
      <c r="O1260" s="241"/>
      <c r="P1260" s="241"/>
      <c r="Q1260" s="241"/>
      <c r="R1260" s="241"/>
      <c r="S1260" s="241"/>
      <c r="T1260" s="241"/>
      <c r="U1260" s="241"/>
      <c r="V1260" s="241"/>
      <c r="W1260" s="241"/>
      <c r="X1260" s="242"/>
      <c r="Y1260" s="241"/>
      <c r="Z1260" s="241"/>
      <c r="AA1260" s="241"/>
      <c r="AB1260" s="241"/>
      <c r="AC1260" s="241"/>
      <c r="AD1260" s="241"/>
      <c r="AE1260" s="241"/>
      <c r="AF1260" s="241"/>
      <c r="AG1260" s="241"/>
      <c r="AH1260" s="241"/>
      <c r="AI1260" s="241"/>
      <c r="AJ1260" s="242"/>
    </row>
    <row r="1261" hidden="1">
      <c r="A1261" s="241"/>
      <c r="B1261" s="241"/>
      <c r="C1261" s="241"/>
      <c r="D1261" s="241"/>
      <c r="E1261" s="241"/>
      <c r="F1261" s="241"/>
      <c r="G1261" s="241"/>
      <c r="H1261" s="241"/>
      <c r="I1261" s="241"/>
      <c r="J1261" s="241"/>
      <c r="K1261" s="241"/>
      <c r="L1261" s="242"/>
      <c r="M1261" s="241"/>
      <c r="N1261" s="241"/>
      <c r="O1261" s="241"/>
      <c r="P1261" s="241"/>
      <c r="Q1261" s="241"/>
      <c r="R1261" s="241"/>
      <c r="S1261" s="241"/>
      <c r="T1261" s="241"/>
      <c r="U1261" s="241"/>
      <c r="V1261" s="241"/>
      <c r="W1261" s="241"/>
      <c r="X1261" s="242"/>
      <c r="Y1261" s="241"/>
      <c r="Z1261" s="241"/>
      <c r="AA1261" s="241"/>
      <c r="AB1261" s="241"/>
      <c r="AC1261" s="241"/>
      <c r="AD1261" s="241"/>
      <c r="AE1261" s="241"/>
      <c r="AF1261" s="241"/>
      <c r="AG1261" s="241"/>
      <c r="AH1261" s="241"/>
      <c r="AI1261" s="241"/>
      <c r="AJ1261" s="242"/>
    </row>
    <row r="1262" hidden="1">
      <c r="A1262" s="241"/>
      <c r="B1262" s="241"/>
      <c r="C1262" s="241"/>
      <c r="D1262" s="241"/>
      <c r="E1262" s="241"/>
      <c r="F1262" s="241"/>
      <c r="G1262" s="241"/>
      <c r="H1262" s="241"/>
      <c r="I1262" s="241"/>
      <c r="J1262" s="241"/>
      <c r="K1262" s="241"/>
      <c r="L1262" s="242"/>
      <c r="M1262" s="241"/>
      <c r="N1262" s="241"/>
      <c r="O1262" s="241"/>
      <c r="P1262" s="241"/>
      <c r="Q1262" s="241"/>
      <c r="R1262" s="241"/>
      <c r="S1262" s="241"/>
      <c r="T1262" s="241"/>
      <c r="U1262" s="241"/>
      <c r="V1262" s="241"/>
      <c r="W1262" s="241"/>
      <c r="X1262" s="242"/>
      <c r="Y1262" s="241"/>
      <c r="Z1262" s="241"/>
      <c r="AA1262" s="241"/>
      <c r="AB1262" s="241"/>
      <c r="AC1262" s="241"/>
      <c r="AD1262" s="241"/>
      <c r="AE1262" s="241"/>
      <c r="AF1262" s="241"/>
      <c r="AG1262" s="241"/>
      <c r="AH1262" s="241"/>
      <c r="AI1262" s="241"/>
      <c r="AJ1262" s="242"/>
    </row>
    <row r="1263" hidden="1">
      <c r="A1263" s="241"/>
      <c r="B1263" s="241"/>
      <c r="C1263" s="241"/>
      <c r="D1263" s="241"/>
      <c r="E1263" s="241"/>
      <c r="F1263" s="241"/>
      <c r="G1263" s="241"/>
      <c r="H1263" s="241"/>
      <c r="I1263" s="241"/>
      <c r="J1263" s="241"/>
      <c r="K1263" s="241"/>
      <c r="L1263" s="242"/>
      <c r="M1263" s="241"/>
      <c r="N1263" s="241"/>
      <c r="O1263" s="241"/>
      <c r="P1263" s="241"/>
      <c r="Q1263" s="241"/>
      <c r="R1263" s="241"/>
      <c r="S1263" s="241"/>
      <c r="T1263" s="241"/>
      <c r="U1263" s="241"/>
      <c r="V1263" s="241"/>
      <c r="W1263" s="241"/>
      <c r="X1263" s="242"/>
      <c r="Y1263" s="241"/>
      <c r="Z1263" s="241"/>
      <c r="AA1263" s="241"/>
      <c r="AB1263" s="241"/>
      <c r="AC1263" s="241"/>
      <c r="AD1263" s="241"/>
      <c r="AE1263" s="241"/>
      <c r="AF1263" s="241"/>
      <c r="AG1263" s="241"/>
      <c r="AH1263" s="241"/>
      <c r="AI1263" s="241"/>
      <c r="AJ1263" s="242"/>
    </row>
    <row r="1264" hidden="1">
      <c r="A1264" s="241"/>
      <c r="B1264" s="241"/>
      <c r="C1264" s="241"/>
      <c r="D1264" s="241"/>
      <c r="E1264" s="241"/>
      <c r="F1264" s="241"/>
      <c r="G1264" s="241"/>
      <c r="H1264" s="241"/>
      <c r="I1264" s="241"/>
      <c r="J1264" s="241"/>
      <c r="K1264" s="241"/>
      <c r="L1264" s="242"/>
      <c r="M1264" s="241"/>
      <c r="N1264" s="241"/>
      <c r="O1264" s="241"/>
      <c r="P1264" s="241"/>
      <c r="Q1264" s="241"/>
      <c r="R1264" s="241"/>
      <c r="S1264" s="241"/>
      <c r="T1264" s="241"/>
      <c r="U1264" s="241"/>
      <c r="V1264" s="241"/>
      <c r="W1264" s="241"/>
      <c r="X1264" s="242"/>
      <c r="Y1264" s="241"/>
      <c r="Z1264" s="241"/>
      <c r="AA1264" s="241"/>
      <c r="AB1264" s="241"/>
      <c r="AC1264" s="241"/>
      <c r="AD1264" s="241"/>
      <c r="AE1264" s="241"/>
      <c r="AF1264" s="241"/>
      <c r="AG1264" s="241"/>
      <c r="AH1264" s="241"/>
      <c r="AI1264" s="241"/>
      <c r="AJ1264" s="242"/>
    </row>
    <row r="1265" hidden="1">
      <c r="A1265" s="241"/>
      <c r="B1265" s="241"/>
      <c r="C1265" s="241"/>
      <c r="D1265" s="241"/>
      <c r="E1265" s="241"/>
      <c r="F1265" s="241"/>
      <c r="G1265" s="241"/>
      <c r="H1265" s="241"/>
      <c r="I1265" s="241"/>
      <c r="J1265" s="241"/>
      <c r="K1265" s="241"/>
      <c r="L1265" s="242"/>
      <c r="M1265" s="241"/>
      <c r="N1265" s="241"/>
      <c r="O1265" s="241"/>
      <c r="P1265" s="241"/>
      <c r="Q1265" s="241"/>
      <c r="R1265" s="241"/>
      <c r="S1265" s="241"/>
      <c r="T1265" s="241"/>
      <c r="U1265" s="241"/>
      <c r="V1265" s="241"/>
      <c r="W1265" s="241"/>
      <c r="X1265" s="242"/>
      <c r="Y1265" s="241"/>
      <c r="Z1265" s="241"/>
      <c r="AA1265" s="241"/>
      <c r="AB1265" s="241"/>
      <c r="AC1265" s="241"/>
      <c r="AD1265" s="241"/>
      <c r="AE1265" s="241"/>
      <c r="AF1265" s="241"/>
      <c r="AG1265" s="241"/>
      <c r="AH1265" s="241"/>
      <c r="AI1265" s="241"/>
      <c r="AJ1265" s="242"/>
    </row>
    <row r="1266" hidden="1">
      <c r="A1266" s="241"/>
      <c r="B1266" s="241"/>
      <c r="C1266" s="241"/>
      <c r="D1266" s="241"/>
      <c r="E1266" s="241"/>
      <c r="F1266" s="241"/>
      <c r="G1266" s="241"/>
      <c r="H1266" s="241"/>
      <c r="I1266" s="241"/>
      <c r="J1266" s="241"/>
      <c r="K1266" s="241"/>
      <c r="L1266" s="242"/>
      <c r="M1266" s="241"/>
      <c r="N1266" s="241"/>
      <c r="O1266" s="241"/>
      <c r="P1266" s="241"/>
      <c r="Q1266" s="241"/>
      <c r="R1266" s="241"/>
      <c r="S1266" s="241"/>
      <c r="T1266" s="241"/>
      <c r="U1266" s="241"/>
      <c r="V1266" s="241"/>
      <c r="W1266" s="241"/>
      <c r="X1266" s="242"/>
      <c r="Y1266" s="241"/>
      <c r="Z1266" s="241"/>
      <c r="AA1266" s="241"/>
      <c r="AB1266" s="241"/>
      <c r="AC1266" s="241"/>
      <c r="AD1266" s="241"/>
      <c r="AE1266" s="241"/>
      <c r="AF1266" s="241"/>
      <c r="AG1266" s="241"/>
      <c r="AH1266" s="241"/>
      <c r="AI1266" s="241"/>
      <c r="AJ1266" s="242"/>
    </row>
    <row r="1267" hidden="1">
      <c r="A1267" s="241"/>
      <c r="B1267" s="241"/>
      <c r="C1267" s="241"/>
      <c r="D1267" s="241"/>
      <c r="E1267" s="241"/>
      <c r="F1267" s="241"/>
      <c r="G1267" s="241"/>
      <c r="H1267" s="241"/>
      <c r="I1267" s="241"/>
      <c r="J1267" s="241"/>
      <c r="K1267" s="241"/>
      <c r="L1267" s="242"/>
      <c r="M1267" s="241"/>
      <c r="N1267" s="241"/>
      <c r="O1267" s="241"/>
      <c r="P1267" s="241"/>
      <c r="Q1267" s="241"/>
      <c r="R1267" s="241"/>
      <c r="S1267" s="241"/>
      <c r="T1267" s="241"/>
      <c r="U1267" s="241"/>
      <c r="V1267" s="241"/>
      <c r="W1267" s="241"/>
      <c r="X1267" s="242"/>
      <c r="Y1267" s="241"/>
      <c r="Z1267" s="241"/>
      <c r="AA1267" s="241"/>
      <c r="AB1267" s="241"/>
      <c r="AC1267" s="241"/>
      <c r="AD1267" s="241"/>
      <c r="AE1267" s="241"/>
      <c r="AF1267" s="241"/>
      <c r="AG1267" s="241"/>
      <c r="AH1267" s="241"/>
      <c r="AI1267" s="241"/>
      <c r="AJ1267" s="242"/>
    </row>
    <row r="1268" hidden="1">
      <c r="A1268" s="241"/>
      <c r="B1268" s="241"/>
      <c r="C1268" s="241"/>
      <c r="D1268" s="241"/>
      <c r="E1268" s="241"/>
      <c r="F1268" s="241"/>
      <c r="G1268" s="241"/>
      <c r="H1268" s="241"/>
      <c r="I1268" s="241"/>
      <c r="J1268" s="241"/>
      <c r="K1268" s="241"/>
      <c r="L1268" s="242"/>
      <c r="M1268" s="241"/>
      <c r="N1268" s="241"/>
      <c r="O1268" s="241"/>
      <c r="P1268" s="241"/>
      <c r="Q1268" s="241"/>
      <c r="R1268" s="241"/>
      <c r="S1268" s="241"/>
      <c r="T1268" s="241"/>
      <c r="U1268" s="241"/>
      <c r="V1268" s="241"/>
      <c r="W1268" s="241"/>
      <c r="X1268" s="242"/>
      <c r="Y1268" s="241"/>
      <c r="Z1268" s="241"/>
      <c r="AA1268" s="241"/>
      <c r="AB1268" s="241"/>
      <c r="AC1268" s="241"/>
      <c r="AD1268" s="241"/>
      <c r="AE1268" s="241"/>
      <c r="AF1268" s="241"/>
      <c r="AG1268" s="241"/>
      <c r="AH1268" s="241"/>
      <c r="AI1268" s="241"/>
      <c r="AJ1268" s="242"/>
    </row>
    <row r="1269" hidden="1">
      <c r="A1269" s="241"/>
      <c r="B1269" s="241"/>
      <c r="C1269" s="241"/>
      <c r="D1269" s="241"/>
      <c r="E1269" s="241"/>
      <c r="F1269" s="241"/>
      <c r="G1269" s="241"/>
      <c r="H1269" s="241"/>
      <c r="I1269" s="241"/>
      <c r="J1269" s="241"/>
      <c r="K1269" s="241"/>
      <c r="L1269" s="242"/>
      <c r="M1269" s="241"/>
      <c r="N1269" s="241"/>
      <c r="O1269" s="241"/>
      <c r="P1269" s="241"/>
      <c r="Q1269" s="241"/>
      <c r="R1269" s="241"/>
      <c r="S1269" s="241"/>
      <c r="T1269" s="241"/>
      <c r="U1269" s="241"/>
      <c r="V1269" s="241"/>
      <c r="W1269" s="241"/>
      <c r="X1269" s="242"/>
      <c r="Y1269" s="241"/>
      <c r="Z1269" s="241"/>
      <c r="AA1269" s="241"/>
      <c r="AB1269" s="241"/>
      <c r="AC1269" s="241"/>
      <c r="AD1269" s="241"/>
      <c r="AE1269" s="241"/>
      <c r="AF1269" s="241"/>
      <c r="AG1269" s="241"/>
      <c r="AH1269" s="241"/>
      <c r="AI1269" s="241"/>
      <c r="AJ1269" s="242"/>
    </row>
    <row r="1270" hidden="1">
      <c r="A1270" s="241"/>
      <c r="B1270" s="241"/>
      <c r="C1270" s="241"/>
      <c r="D1270" s="241"/>
      <c r="E1270" s="241"/>
      <c r="F1270" s="241"/>
      <c r="G1270" s="241"/>
      <c r="H1270" s="241"/>
      <c r="I1270" s="241"/>
      <c r="J1270" s="241"/>
      <c r="K1270" s="241"/>
      <c r="L1270" s="242"/>
      <c r="M1270" s="241"/>
      <c r="N1270" s="241"/>
      <c r="O1270" s="241"/>
      <c r="P1270" s="241"/>
      <c r="Q1270" s="241"/>
      <c r="R1270" s="241"/>
      <c r="S1270" s="241"/>
      <c r="T1270" s="241"/>
      <c r="U1270" s="241"/>
      <c r="V1270" s="241"/>
      <c r="W1270" s="241"/>
      <c r="X1270" s="242"/>
      <c r="Y1270" s="241"/>
      <c r="Z1270" s="241"/>
      <c r="AA1270" s="241"/>
      <c r="AB1270" s="241"/>
      <c r="AC1270" s="241"/>
      <c r="AD1270" s="241"/>
      <c r="AE1270" s="241"/>
      <c r="AF1270" s="241"/>
      <c r="AG1270" s="241"/>
      <c r="AH1270" s="241"/>
      <c r="AI1270" s="241"/>
      <c r="AJ1270" s="242"/>
    </row>
    <row r="1271" hidden="1">
      <c r="A1271" s="241"/>
      <c r="B1271" s="241"/>
      <c r="C1271" s="241"/>
      <c r="D1271" s="241"/>
      <c r="E1271" s="241"/>
      <c r="F1271" s="241"/>
      <c r="G1271" s="241"/>
      <c r="H1271" s="241"/>
      <c r="I1271" s="241"/>
      <c r="J1271" s="241"/>
      <c r="K1271" s="241"/>
      <c r="L1271" s="242"/>
      <c r="M1271" s="241"/>
      <c r="N1271" s="241"/>
      <c r="O1271" s="241"/>
      <c r="P1271" s="241"/>
      <c r="Q1271" s="241"/>
      <c r="R1271" s="241"/>
      <c r="S1271" s="241"/>
      <c r="T1271" s="241"/>
      <c r="U1271" s="241"/>
      <c r="V1271" s="241"/>
      <c r="W1271" s="241"/>
      <c r="X1271" s="242"/>
      <c r="Y1271" s="241"/>
      <c r="Z1271" s="241"/>
      <c r="AA1271" s="241"/>
      <c r="AB1271" s="241"/>
      <c r="AC1271" s="241"/>
      <c r="AD1271" s="241"/>
      <c r="AE1271" s="241"/>
      <c r="AF1271" s="241"/>
      <c r="AG1271" s="241"/>
      <c r="AH1271" s="241"/>
      <c r="AI1271" s="241"/>
      <c r="AJ1271" s="242"/>
    </row>
    <row r="1272" hidden="1">
      <c r="A1272" s="241"/>
      <c r="B1272" s="241"/>
      <c r="C1272" s="241"/>
      <c r="D1272" s="241"/>
      <c r="E1272" s="241"/>
      <c r="F1272" s="241"/>
      <c r="G1272" s="241"/>
      <c r="H1272" s="241"/>
      <c r="I1272" s="241"/>
      <c r="J1272" s="241"/>
      <c r="K1272" s="241"/>
      <c r="L1272" s="242"/>
      <c r="M1272" s="241"/>
      <c r="N1272" s="241"/>
      <c r="O1272" s="241"/>
      <c r="P1272" s="241"/>
      <c r="Q1272" s="241"/>
      <c r="R1272" s="241"/>
      <c r="S1272" s="241"/>
      <c r="T1272" s="241"/>
      <c r="U1272" s="241"/>
      <c r="V1272" s="241"/>
      <c r="W1272" s="241"/>
      <c r="X1272" s="242"/>
      <c r="Y1272" s="241"/>
      <c r="Z1272" s="241"/>
      <c r="AA1272" s="241"/>
      <c r="AB1272" s="241"/>
      <c r="AC1272" s="241"/>
      <c r="AD1272" s="241"/>
      <c r="AE1272" s="241"/>
      <c r="AF1272" s="241"/>
      <c r="AG1272" s="241"/>
      <c r="AH1272" s="241"/>
      <c r="AI1272" s="241"/>
      <c r="AJ1272" s="242"/>
    </row>
    <row r="1273" hidden="1">
      <c r="A1273" s="241"/>
      <c r="B1273" s="241"/>
      <c r="C1273" s="241"/>
      <c r="D1273" s="241"/>
      <c r="E1273" s="241"/>
      <c r="F1273" s="241"/>
      <c r="G1273" s="241"/>
      <c r="H1273" s="241"/>
      <c r="I1273" s="241"/>
      <c r="J1273" s="241"/>
      <c r="K1273" s="241"/>
      <c r="L1273" s="242"/>
      <c r="M1273" s="241"/>
      <c r="N1273" s="241"/>
      <c r="O1273" s="241"/>
      <c r="P1273" s="241"/>
      <c r="Q1273" s="241"/>
      <c r="R1273" s="241"/>
      <c r="S1273" s="241"/>
      <c r="T1273" s="241"/>
      <c r="U1273" s="241"/>
      <c r="V1273" s="241"/>
      <c r="W1273" s="241"/>
      <c r="X1273" s="242"/>
      <c r="Y1273" s="241"/>
      <c r="Z1273" s="241"/>
      <c r="AA1273" s="241"/>
      <c r="AB1273" s="241"/>
      <c r="AC1273" s="241"/>
      <c r="AD1273" s="241"/>
      <c r="AE1273" s="241"/>
      <c r="AF1273" s="241"/>
      <c r="AG1273" s="241"/>
      <c r="AH1273" s="241"/>
      <c r="AI1273" s="241"/>
      <c r="AJ1273" s="242"/>
    </row>
    <row r="1274" hidden="1">
      <c r="A1274" s="241"/>
      <c r="B1274" s="241"/>
      <c r="C1274" s="241"/>
      <c r="D1274" s="241"/>
      <c r="E1274" s="241"/>
      <c r="F1274" s="241"/>
      <c r="G1274" s="241"/>
      <c r="H1274" s="241"/>
      <c r="I1274" s="241"/>
      <c r="J1274" s="241"/>
      <c r="K1274" s="241"/>
      <c r="L1274" s="242"/>
      <c r="M1274" s="241"/>
      <c r="N1274" s="241"/>
      <c r="O1274" s="241"/>
      <c r="P1274" s="241"/>
      <c r="Q1274" s="241"/>
      <c r="R1274" s="241"/>
      <c r="S1274" s="241"/>
      <c r="T1274" s="241"/>
      <c r="U1274" s="241"/>
      <c r="V1274" s="241"/>
      <c r="W1274" s="241"/>
      <c r="X1274" s="242"/>
      <c r="Y1274" s="241"/>
      <c r="Z1274" s="241"/>
      <c r="AA1274" s="241"/>
      <c r="AB1274" s="241"/>
      <c r="AC1274" s="241"/>
      <c r="AD1274" s="241"/>
      <c r="AE1274" s="241"/>
      <c r="AF1274" s="241"/>
      <c r="AG1274" s="241"/>
      <c r="AH1274" s="241"/>
      <c r="AI1274" s="241"/>
      <c r="AJ1274" s="242"/>
    </row>
    <row r="1275" hidden="1">
      <c r="A1275" s="241"/>
      <c r="B1275" s="241"/>
      <c r="C1275" s="241"/>
      <c r="D1275" s="241"/>
      <c r="E1275" s="241"/>
      <c r="F1275" s="241"/>
      <c r="G1275" s="241"/>
      <c r="H1275" s="241"/>
      <c r="I1275" s="241"/>
      <c r="J1275" s="241"/>
      <c r="K1275" s="241"/>
      <c r="L1275" s="242"/>
      <c r="M1275" s="241"/>
      <c r="N1275" s="241"/>
      <c r="O1275" s="241"/>
      <c r="P1275" s="241"/>
      <c r="Q1275" s="241"/>
      <c r="R1275" s="241"/>
      <c r="S1275" s="241"/>
      <c r="T1275" s="241"/>
      <c r="U1275" s="241"/>
      <c r="V1275" s="241"/>
      <c r="W1275" s="241"/>
      <c r="X1275" s="242"/>
      <c r="Y1275" s="241"/>
      <c r="Z1275" s="241"/>
      <c r="AA1275" s="241"/>
      <c r="AB1275" s="241"/>
      <c r="AC1275" s="241"/>
      <c r="AD1275" s="241"/>
      <c r="AE1275" s="241"/>
      <c r="AF1275" s="241"/>
      <c r="AG1275" s="241"/>
      <c r="AH1275" s="241"/>
      <c r="AI1275" s="241"/>
      <c r="AJ1275" s="242"/>
    </row>
    <row r="1276" hidden="1">
      <c r="A1276" s="241"/>
      <c r="B1276" s="241"/>
      <c r="C1276" s="241"/>
      <c r="D1276" s="241"/>
      <c r="E1276" s="241"/>
      <c r="F1276" s="241"/>
      <c r="G1276" s="241"/>
      <c r="H1276" s="241"/>
      <c r="I1276" s="241"/>
      <c r="J1276" s="241"/>
      <c r="K1276" s="241"/>
      <c r="L1276" s="242"/>
      <c r="M1276" s="241"/>
      <c r="N1276" s="241"/>
      <c r="O1276" s="241"/>
      <c r="P1276" s="241"/>
      <c r="Q1276" s="241"/>
      <c r="R1276" s="241"/>
      <c r="S1276" s="241"/>
      <c r="T1276" s="241"/>
      <c r="U1276" s="241"/>
      <c r="V1276" s="241"/>
      <c r="W1276" s="241"/>
      <c r="X1276" s="242"/>
      <c r="Y1276" s="241"/>
      <c r="Z1276" s="241"/>
      <c r="AA1276" s="241"/>
      <c r="AB1276" s="241"/>
      <c r="AC1276" s="241"/>
      <c r="AD1276" s="241"/>
      <c r="AE1276" s="241"/>
      <c r="AF1276" s="241"/>
      <c r="AG1276" s="241"/>
      <c r="AH1276" s="241"/>
      <c r="AI1276" s="241"/>
      <c r="AJ1276" s="242"/>
    </row>
    <row r="1277" hidden="1">
      <c r="A1277" s="241"/>
      <c r="B1277" s="241"/>
      <c r="C1277" s="241"/>
      <c r="D1277" s="241"/>
      <c r="E1277" s="241"/>
      <c r="F1277" s="241"/>
      <c r="G1277" s="241"/>
      <c r="H1277" s="241"/>
      <c r="I1277" s="241"/>
      <c r="J1277" s="241"/>
      <c r="K1277" s="241"/>
      <c r="L1277" s="242"/>
      <c r="M1277" s="241"/>
      <c r="N1277" s="241"/>
      <c r="O1277" s="241"/>
      <c r="P1277" s="241"/>
      <c r="Q1277" s="241"/>
      <c r="R1277" s="241"/>
      <c r="S1277" s="241"/>
      <c r="T1277" s="241"/>
      <c r="U1277" s="241"/>
      <c r="V1277" s="241"/>
      <c r="W1277" s="241"/>
      <c r="X1277" s="242"/>
      <c r="Y1277" s="241"/>
      <c r="Z1277" s="241"/>
      <c r="AA1277" s="241"/>
      <c r="AB1277" s="241"/>
      <c r="AC1277" s="241"/>
      <c r="AD1277" s="241"/>
      <c r="AE1277" s="241"/>
      <c r="AF1277" s="241"/>
      <c r="AG1277" s="241"/>
      <c r="AH1277" s="241"/>
      <c r="AI1277" s="241"/>
      <c r="AJ1277" s="242"/>
    </row>
    <row r="1278" hidden="1">
      <c r="A1278" s="241"/>
      <c r="B1278" s="241"/>
      <c r="C1278" s="241"/>
      <c r="D1278" s="241"/>
      <c r="E1278" s="241"/>
      <c r="F1278" s="241"/>
      <c r="G1278" s="241"/>
      <c r="H1278" s="241"/>
      <c r="I1278" s="241"/>
      <c r="J1278" s="241"/>
      <c r="K1278" s="241"/>
      <c r="L1278" s="242"/>
      <c r="M1278" s="241"/>
      <c r="N1278" s="241"/>
      <c r="O1278" s="241"/>
      <c r="P1278" s="241"/>
      <c r="Q1278" s="241"/>
      <c r="R1278" s="241"/>
      <c r="S1278" s="241"/>
      <c r="T1278" s="241"/>
      <c r="U1278" s="241"/>
      <c r="V1278" s="241"/>
      <c r="W1278" s="241"/>
      <c r="X1278" s="242"/>
      <c r="Y1278" s="241"/>
      <c r="Z1278" s="241"/>
      <c r="AA1278" s="241"/>
      <c r="AB1278" s="241"/>
      <c r="AC1278" s="241"/>
      <c r="AD1278" s="241"/>
      <c r="AE1278" s="241"/>
      <c r="AF1278" s="241"/>
      <c r="AG1278" s="241"/>
      <c r="AH1278" s="241"/>
      <c r="AI1278" s="241"/>
      <c r="AJ1278" s="242"/>
    </row>
    <row r="1279" hidden="1">
      <c r="A1279" s="241"/>
      <c r="B1279" s="241"/>
      <c r="C1279" s="241"/>
      <c r="D1279" s="241"/>
      <c r="E1279" s="241"/>
      <c r="F1279" s="241"/>
      <c r="G1279" s="241"/>
      <c r="H1279" s="241"/>
      <c r="I1279" s="241"/>
      <c r="J1279" s="241"/>
      <c r="K1279" s="241"/>
      <c r="L1279" s="242"/>
      <c r="M1279" s="241"/>
      <c r="N1279" s="241"/>
      <c r="O1279" s="241"/>
      <c r="P1279" s="241"/>
      <c r="Q1279" s="241"/>
      <c r="R1279" s="241"/>
      <c r="S1279" s="241"/>
      <c r="T1279" s="241"/>
      <c r="U1279" s="241"/>
      <c r="V1279" s="241"/>
      <c r="W1279" s="241"/>
      <c r="X1279" s="242"/>
      <c r="Y1279" s="241"/>
      <c r="Z1279" s="241"/>
      <c r="AA1279" s="241"/>
      <c r="AB1279" s="241"/>
      <c r="AC1279" s="241"/>
      <c r="AD1279" s="241"/>
      <c r="AE1279" s="241"/>
      <c r="AF1279" s="241"/>
      <c r="AG1279" s="241"/>
      <c r="AH1279" s="241"/>
      <c r="AI1279" s="241"/>
      <c r="AJ1279" s="242"/>
    </row>
    <row r="1280" hidden="1">
      <c r="A1280" s="241"/>
      <c r="B1280" s="241"/>
      <c r="C1280" s="241"/>
      <c r="D1280" s="241"/>
      <c r="E1280" s="241"/>
      <c r="F1280" s="241"/>
      <c r="G1280" s="241"/>
      <c r="H1280" s="241"/>
      <c r="I1280" s="241"/>
      <c r="J1280" s="241"/>
      <c r="K1280" s="241"/>
      <c r="L1280" s="242"/>
      <c r="M1280" s="241"/>
      <c r="N1280" s="241"/>
      <c r="O1280" s="241"/>
      <c r="P1280" s="241"/>
      <c r="Q1280" s="241"/>
      <c r="R1280" s="241"/>
      <c r="S1280" s="241"/>
      <c r="T1280" s="241"/>
      <c r="U1280" s="241"/>
      <c r="V1280" s="241"/>
      <c r="W1280" s="241"/>
      <c r="X1280" s="242"/>
      <c r="Y1280" s="241"/>
      <c r="Z1280" s="241"/>
      <c r="AA1280" s="241"/>
      <c r="AB1280" s="241"/>
      <c r="AC1280" s="241"/>
      <c r="AD1280" s="241"/>
      <c r="AE1280" s="241"/>
      <c r="AF1280" s="241"/>
      <c r="AG1280" s="241"/>
      <c r="AH1280" s="241"/>
      <c r="AI1280" s="241"/>
      <c r="AJ1280" s="242"/>
    </row>
    <row r="1281" hidden="1">
      <c r="A1281" s="241"/>
      <c r="B1281" s="241"/>
      <c r="C1281" s="241"/>
      <c r="D1281" s="241"/>
      <c r="E1281" s="241"/>
      <c r="F1281" s="241"/>
      <c r="G1281" s="241"/>
      <c r="H1281" s="241"/>
      <c r="I1281" s="241"/>
      <c r="J1281" s="241"/>
      <c r="K1281" s="241"/>
      <c r="L1281" s="242"/>
      <c r="M1281" s="241"/>
      <c r="N1281" s="241"/>
      <c r="O1281" s="241"/>
      <c r="P1281" s="241"/>
      <c r="Q1281" s="241"/>
      <c r="R1281" s="241"/>
      <c r="S1281" s="241"/>
      <c r="T1281" s="241"/>
      <c r="U1281" s="241"/>
      <c r="V1281" s="241"/>
      <c r="W1281" s="241"/>
      <c r="X1281" s="242"/>
      <c r="Y1281" s="241"/>
      <c r="Z1281" s="241"/>
      <c r="AA1281" s="241"/>
      <c r="AB1281" s="241"/>
      <c r="AC1281" s="241"/>
      <c r="AD1281" s="241"/>
      <c r="AE1281" s="241"/>
      <c r="AF1281" s="241"/>
      <c r="AG1281" s="241"/>
      <c r="AH1281" s="241"/>
      <c r="AI1281" s="241"/>
      <c r="AJ1281" s="242"/>
    </row>
    <row r="1282" hidden="1">
      <c r="A1282" s="241"/>
      <c r="B1282" s="241"/>
      <c r="C1282" s="241"/>
      <c r="D1282" s="241"/>
      <c r="E1282" s="241"/>
      <c r="F1282" s="241"/>
      <c r="G1282" s="241"/>
      <c r="H1282" s="241"/>
      <c r="I1282" s="241"/>
      <c r="J1282" s="241"/>
      <c r="K1282" s="241"/>
      <c r="L1282" s="242"/>
      <c r="M1282" s="241"/>
      <c r="N1282" s="241"/>
      <c r="O1282" s="241"/>
      <c r="P1282" s="241"/>
      <c r="Q1282" s="241"/>
      <c r="R1282" s="241"/>
      <c r="S1282" s="241"/>
      <c r="T1282" s="241"/>
      <c r="U1282" s="241"/>
      <c r="V1282" s="241"/>
      <c r="W1282" s="241"/>
      <c r="X1282" s="242"/>
      <c r="Y1282" s="241"/>
      <c r="Z1282" s="241"/>
      <c r="AA1282" s="241"/>
      <c r="AB1282" s="241"/>
      <c r="AC1282" s="241"/>
      <c r="AD1282" s="241"/>
      <c r="AE1282" s="241"/>
      <c r="AF1282" s="241"/>
      <c r="AG1282" s="241"/>
      <c r="AH1282" s="241"/>
      <c r="AI1282" s="241"/>
      <c r="AJ1282" s="242"/>
    </row>
    <row r="1283" hidden="1">
      <c r="A1283" s="241"/>
      <c r="B1283" s="241"/>
      <c r="C1283" s="241"/>
      <c r="D1283" s="241"/>
      <c r="E1283" s="241"/>
      <c r="F1283" s="241"/>
      <c r="G1283" s="241"/>
      <c r="H1283" s="241"/>
      <c r="I1283" s="241"/>
      <c r="J1283" s="241"/>
      <c r="K1283" s="241"/>
      <c r="L1283" s="242"/>
      <c r="M1283" s="241"/>
      <c r="N1283" s="241"/>
      <c r="O1283" s="241"/>
      <c r="P1283" s="241"/>
      <c r="Q1283" s="241"/>
      <c r="R1283" s="241"/>
      <c r="S1283" s="241"/>
      <c r="T1283" s="241"/>
      <c r="U1283" s="241"/>
      <c r="V1283" s="241"/>
      <c r="W1283" s="241"/>
      <c r="X1283" s="242"/>
      <c r="Y1283" s="241"/>
      <c r="Z1283" s="241"/>
      <c r="AA1283" s="241"/>
      <c r="AB1283" s="241"/>
      <c r="AC1283" s="241"/>
      <c r="AD1283" s="241"/>
      <c r="AE1283" s="241"/>
      <c r="AF1283" s="241"/>
      <c r="AG1283" s="241"/>
      <c r="AH1283" s="241"/>
      <c r="AI1283" s="241"/>
      <c r="AJ1283" s="242"/>
    </row>
    <row r="1284" hidden="1">
      <c r="A1284" s="241"/>
      <c r="B1284" s="241"/>
      <c r="C1284" s="241"/>
      <c r="D1284" s="241"/>
      <c r="E1284" s="241"/>
      <c r="F1284" s="241"/>
      <c r="G1284" s="241"/>
      <c r="H1284" s="241"/>
      <c r="I1284" s="241"/>
      <c r="J1284" s="241"/>
      <c r="K1284" s="241"/>
      <c r="L1284" s="242"/>
      <c r="M1284" s="241"/>
      <c r="N1284" s="241"/>
      <c r="O1284" s="241"/>
      <c r="P1284" s="241"/>
      <c r="Q1284" s="241"/>
      <c r="R1284" s="241"/>
      <c r="S1284" s="241"/>
      <c r="T1284" s="241"/>
      <c r="U1284" s="241"/>
      <c r="V1284" s="241"/>
      <c r="W1284" s="241"/>
      <c r="X1284" s="242"/>
      <c r="Y1284" s="241"/>
      <c r="Z1284" s="241"/>
      <c r="AA1284" s="241"/>
      <c r="AB1284" s="241"/>
      <c r="AC1284" s="241"/>
      <c r="AD1284" s="241"/>
      <c r="AE1284" s="241"/>
      <c r="AF1284" s="241"/>
      <c r="AG1284" s="241"/>
      <c r="AH1284" s="241"/>
      <c r="AI1284" s="241"/>
      <c r="AJ1284" s="242"/>
    </row>
    <row r="1285" hidden="1">
      <c r="A1285" s="241"/>
      <c r="B1285" s="241"/>
      <c r="C1285" s="241"/>
      <c r="D1285" s="241"/>
      <c r="E1285" s="241"/>
      <c r="F1285" s="241"/>
      <c r="G1285" s="241"/>
      <c r="H1285" s="241"/>
      <c r="I1285" s="241"/>
      <c r="J1285" s="241"/>
      <c r="K1285" s="241"/>
      <c r="L1285" s="242"/>
      <c r="M1285" s="241"/>
      <c r="N1285" s="241"/>
      <c r="O1285" s="241"/>
      <c r="P1285" s="241"/>
      <c r="Q1285" s="241"/>
      <c r="R1285" s="241"/>
      <c r="S1285" s="241"/>
      <c r="T1285" s="241"/>
      <c r="U1285" s="241"/>
      <c r="V1285" s="241"/>
      <c r="W1285" s="241"/>
      <c r="X1285" s="242"/>
      <c r="Y1285" s="241"/>
      <c r="Z1285" s="241"/>
      <c r="AA1285" s="241"/>
      <c r="AB1285" s="241"/>
      <c r="AC1285" s="241"/>
      <c r="AD1285" s="241"/>
      <c r="AE1285" s="241"/>
      <c r="AF1285" s="241"/>
      <c r="AG1285" s="241"/>
      <c r="AH1285" s="241"/>
      <c r="AI1285" s="241"/>
      <c r="AJ1285" s="242"/>
    </row>
    <row r="1286" hidden="1">
      <c r="A1286" s="241"/>
      <c r="B1286" s="241"/>
      <c r="C1286" s="241"/>
      <c r="D1286" s="241"/>
      <c r="E1286" s="241"/>
      <c r="F1286" s="241"/>
      <c r="G1286" s="241"/>
      <c r="H1286" s="241"/>
      <c r="I1286" s="241"/>
      <c r="J1286" s="241"/>
      <c r="K1286" s="241"/>
      <c r="L1286" s="242"/>
      <c r="M1286" s="241"/>
      <c r="N1286" s="241"/>
      <c r="O1286" s="241"/>
      <c r="P1286" s="241"/>
      <c r="Q1286" s="241"/>
      <c r="R1286" s="241"/>
      <c r="S1286" s="241"/>
      <c r="T1286" s="241"/>
      <c r="U1286" s="241"/>
      <c r="V1286" s="241"/>
      <c r="W1286" s="241"/>
      <c r="X1286" s="242"/>
      <c r="Y1286" s="241"/>
      <c r="Z1286" s="241"/>
      <c r="AA1286" s="241"/>
      <c r="AB1286" s="241"/>
      <c r="AC1286" s="241"/>
      <c r="AD1286" s="241"/>
      <c r="AE1286" s="241"/>
      <c r="AF1286" s="241"/>
      <c r="AG1286" s="241"/>
      <c r="AH1286" s="241"/>
      <c r="AI1286" s="241"/>
      <c r="AJ1286" s="242"/>
    </row>
    <row r="1287" hidden="1">
      <c r="A1287" s="241"/>
      <c r="B1287" s="241"/>
      <c r="C1287" s="241"/>
      <c r="D1287" s="241"/>
      <c r="E1287" s="241"/>
      <c r="F1287" s="241"/>
      <c r="G1287" s="241"/>
      <c r="H1287" s="241"/>
      <c r="I1287" s="241"/>
      <c r="J1287" s="241"/>
      <c r="K1287" s="241"/>
      <c r="L1287" s="242"/>
      <c r="M1287" s="241"/>
      <c r="N1287" s="241"/>
      <c r="O1287" s="241"/>
      <c r="P1287" s="241"/>
      <c r="Q1287" s="241"/>
      <c r="R1287" s="241"/>
      <c r="S1287" s="241"/>
      <c r="T1287" s="241"/>
      <c r="U1287" s="241"/>
      <c r="V1287" s="241"/>
      <c r="W1287" s="241"/>
      <c r="X1287" s="242"/>
      <c r="Y1287" s="241"/>
      <c r="Z1287" s="241"/>
      <c r="AA1287" s="241"/>
      <c r="AB1287" s="241"/>
      <c r="AC1287" s="241"/>
      <c r="AD1287" s="241"/>
      <c r="AE1287" s="241"/>
      <c r="AF1287" s="241"/>
      <c r="AG1287" s="241"/>
      <c r="AH1287" s="241"/>
      <c r="AI1287" s="241"/>
      <c r="AJ1287" s="242"/>
    </row>
    <row r="1288" hidden="1">
      <c r="A1288" s="241"/>
      <c r="B1288" s="241"/>
      <c r="C1288" s="241"/>
      <c r="D1288" s="241"/>
      <c r="E1288" s="241"/>
      <c r="F1288" s="241"/>
      <c r="G1288" s="241"/>
      <c r="H1288" s="241"/>
      <c r="I1288" s="241"/>
      <c r="J1288" s="241"/>
      <c r="K1288" s="241"/>
      <c r="L1288" s="242"/>
      <c r="M1288" s="241"/>
      <c r="N1288" s="241"/>
      <c r="O1288" s="241"/>
      <c r="P1288" s="241"/>
      <c r="Q1288" s="241"/>
      <c r="R1288" s="241"/>
      <c r="S1288" s="241"/>
      <c r="T1288" s="241"/>
      <c r="U1288" s="241"/>
      <c r="V1288" s="241"/>
      <c r="W1288" s="241"/>
      <c r="X1288" s="242"/>
      <c r="Y1288" s="241"/>
      <c r="Z1288" s="241"/>
      <c r="AA1288" s="241"/>
      <c r="AB1288" s="241"/>
      <c r="AC1288" s="241"/>
      <c r="AD1288" s="241"/>
      <c r="AE1288" s="241"/>
      <c r="AF1288" s="241"/>
      <c r="AG1288" s="241"/>
      <c r="AH1288" s="241"/>
      <c r="AI1288" s="241"/>
      <c r="AJ1288" s="242"/>
    </row>
    <row r="1289" hidden="1">
      <c r="A1289" s="241"/>
      <c r="B1289" s="241"/>
      <c r="C1289" s="241"/>
      <c r="D1289" s="241"/>
      <c r="E1289" s="241"/>
      <c r="F1289" s="241"/>
      <c r="G1289" s="241"/>
      <c r="H1289" s="241"/>
      <c r="I1289" s="241"/>
      <c r="J1289" s="241"/>
      <c r="K1289" s="241"/>
      <c r="L1289" s="242"/>
      <c r="M1289" s="241"/>
      <c r="N1289" s="241"/>
      <c r="O1289" s="241"/>
      <c r="P1289" s="241"/>
      <c r="Q1289" s="241"/>
      <c r="R1289" s="241"/>
      <c r="S1289" s="241"/>
      <c r="T1289" s="241"/>
      <c r="U1289" s="241"/>
      <c r="V1289" s="241"/>
      <c r="W1289" s="241"/>
      <c r="X1289" s="242"/>
      <c r="Y1289" s="241"/>
      <c r="Z1289" s="241"/>
      <c r="AA1289" s="241"/>
      <c r="AB1289" s="241"/>
      <c r="AC1289" s="241"/>
      <c r="AD1289" s="241"/>
      <c r="AE1289" s="241"/>
      <c r="AF1289" s="241"/>
      <c r="AG1289" s="241"/>
      <c r="AH1289" s="241"/>
      <c r="AI1289" s="241"/>
      <c r="AJ1289" s="242"/>
    </row>
    <row r="1290" hidden="1">
      <c r="A1290" s="241"/>
      <c r="B1290" s="241"/>
      <c r="C1290" s="241"/>
      <c r="D1290" s="241"/>
      <c r="E1290" s="241"/>
      <c r="F1290" s="241"/>
      <c r="G1290" s="241"/>
      <c r="H1290" s="241"/>
      <c r="I1290" s="241"/>
      <c r="J1290" s="241"/>
      <c r="K1290" s="241"/>
      <c r="L1290" s="242"/>
      <c r="M1290" s="241"/>
      <c r="N1290" s="241"/>
      <c r="O1290" s="241"/>
      <c r="P1290" s="241"/>
      <c r="Q1290" s="241"/>
      <c r="R1290" s="241"/>
      <c r="S1290" s="241"/>
      <c r="T1290" s="241"/>
      <c r="U1290" s="241"/>
      <c r="V1290" s="241"/>
      <c r="W1290" s="241"/>
      <c r="X1290" s="242"/>
      <c r="Y1290" s="241"/>
      <c r="Z1290" s="241"/>
      <c r="AA1290" s="241"/>
      <c r="AB1290" s="241"/>
      <c r="AC1290" s="241"/>
      <c r="AD1290" s="241"/>
      <c r="AE1290" s="241"/>
      <c r="AF1290" s="241"/>
      <c r="AG1290" s="241"/>
      <c r="AH1290" s="241"/>
      <c r="AI1290" s="241"/>
      <c r="AJ1290" s="242"/>
    </row>
    <row r="1291" hidden="1">
      <c r="A1291" s="241"/>
      <c r="B1291" s="241"/>
      <c r="C1291" s="241"/>
      <c r="D1291" s="241"/>
      <c r="E1291" s="241"/>
      <c r="F1291" s="241"/>
      <c r="G1291" s="241"/>
      <c r="H1291" s="241"/>
      <c r="I1291" s="241"/>
      <c r="J1291" s="241"/>
      <c r="K1291" s="241"/>
      <c r="L1291" s="242"/>
      <c r="M1291" s="241"/>
      <c r="N1291" s="241"/>
      <c r="O1291" s="241"/>
      <c r="P1291" s="241"/>
      <c r="Q1291" s="241"/>
      <c r="R1291" s="241"/>
      <c r="S1291" s="241"/>
      <c r="T1291" s="241"/>
      <c r="U1291" s="241"/>
      <c r="V1291" s="241"/>
      <c r="W1291" s="241"/>
      <c r="X1291" s="242"/>
      <c r="Y1291" s="241"/>
      <c r="Z1291" s="241"/>
      <c r="AA1291" s="241"/>
      <c r="AB1291" s="241"/>
      <c r="AC1291" s="241"/>
      <c r="AD1291" s="241"/>
      <c r="AE1291" s="241"/>
      <c r="AF1291" s="241"/>
      <c r="AG1291" s="241"/>
      <c r="AH1291" s="241"/>
      <c r="AI1291" s="241"/>
      <c r="AJ1291" s="242"/>
    </row>
    <row r="1292" hidden="1">
      <c r="A1292" s="241"/>
      <c r="B1292" s="241"/>
      <c r="C1292" s="241"/>
      <c r="D1292" s="241"/>
      <c r="E1292" s="241"/>
      <c r="F1292" s="241"/>
      <c r="G1292" s="241"/>
      <c r="H1292" s="241"/>
      <c r="I1292" s="241"/>
      <c r="J1292" s="241"/>
      <c r="K1292" s="241"/>
      <c r="L1292" s="242"/>
      <c r="M1292" s="241"/>
      <c r="N1292" s="241"/>
      <c r="O1292" s="241"/>
      <c r="P1292" s="241"/>
      <c r="Q1292" s="241"/>
      <c r="R1292" s="241"/>
      <c r="S1292" s="241"/>
      <c r="T1292" s="241"/>
      <c r="U1292" s="241"/>
      <c r="V1292" s="241"/>
      <c r="W1292" s="241"/>
      <c r="X1292" s="242"/>
      <c r="Y1292" s="241"/>
      <c r="Z1292" s="241"/>
      <c r="AA1292" s="241"/>
      <c r="AB1292" s="241"/>
      <c r="AC1292" s="241"/>
      <c r="AD1292" s="241"/>
      <c r="AE1292" s="241"/>
      <c r="AF1292" s="241"/>
      <c r="AG1292" s="241"/>
      <c r="AH1292" s="241"/>
      <c r="AI1292" s="241"/>
      <c r="AJ1292" s="242"/>
    </row>
    <row r="1293" hidden="1">
      <c r="A1293" s="241"/>
      <c r="B1293" s="241"/>
      <c r="C1293" s="241"/>
      <c r="D1293" s="241"/>
      <c r="E1293" s="241"/>
      <c r="F1293" s="241"/>
      <c r="G1293" s="241"/>
      <c r="H1293" s="241"/>
      <c r="I1293" s="241"/>
      <c r="J1293" s="241"/>
      <c r="K1293" s="241"/>
      <c r="L1293" s="242"/>
      <c r="M1293" s="241"/>
      <c r="N1293" s="241"/>
      <c r="O1293" s="241"/>
      <c r="P1293" s="241"/>
      <c r="Q1293" s="241"/>
      <c r="R1293" s="241"/>
      <c r="S1293" s="241"/>
      <c r="T1293" s="241"/>
      <c r="U1293" s="241"/>
      <c r="V1293" s="241"/>
      <c r="W1293" s="241"/>
      <c r="X1293" s="242"/>
      <c r="Y1293" s="241"/>
      <c r="Z1293" s="241"/>
      <c r="AA1293" s="241"/>
      <c r="AB1293" s="241"/>
      <c r="AC1293" s="241"/>
      <c r="AD1293" s="241"/>
      <c r="AE1293" s="241"/>
      <c r="AF1293" s="241"/>
      <c r="AG1293" s="241"/>
      <c r="AH1293" s="241"/>
      <c r="AI1293" s="241"/>
      <c r="AJ1293" s="242"/>
    </row>
    <row r="1294" hidden="1">
      <c r="A1294" s="241"/>
      <c r="B1294" s="241"/>
      <c r="C1294" s="241"/>
      <c r="D1294" s="241"/>
      <c r="E1294" s="241"/>
      <c r="F1294" s="241"/>
      <c r="G1294" s="241"/>
      <c r="H1294" s="241"/>
      <c r="I1294" s="241"/>
      <c r="J1294" s="241"/>
      <c r="K1294" s="241"/>
      <c r="L1294" s="242"/>
      <c r="M1294" s="241"/>
      <c r="N1294" s="241"/>
      <c r="O1294" s="241"/>
      <c r="P1294" s="241"/>
      <c r="Q1294" s="241"/>
      <c r="R1294" s="241"/>
      <c r="S1294" s="241"/>
      <c r="T1294" s="241"/>
      <c r="U1294" s="241"/>
      <c r="V1294" s="241"/>
      <c r="W1294" s="241"/>
      <c r="X1294" s="242"/>
      <c r="Y1294" s="241"/>
      <c r="Z1294" s="241"/>
      <c r="AA1294" s="241"/>
      <c r="AB1294" s="241"/>
      <c r="AC1294" s="241"/>
      <c r="AD1294" s="241"/>
      <c r="AE1294" s="241"/>
      <c r="AF1294" s="241"/>
      <c r="AG1294" s="241"/>
      <c r="AH1294" s="241"/>
      <c r="AI1294" s="241"/>
      <c r="AJ1294" s="242"/>
    </row>
    <row r="1295" hidden="1">
      <c r="A1295" s="241"/>
      <c r="B1295" s="241"/>
      <c r="C1295" s="241"/>
      <c r="D1295" s="241"/>
      <c r="E1295" s="241"/>
      <c r="F1295" s="241"/>
      <c r="G1295" s="241"/>
      <c r="H1295" s="241"/>
      <c r="I1295" s="241"/>
      <c r="J1295" s="241"/>
      <c r="K1295" s="241"/>
      <c r="L1295" s="242"/>
      <c r="M1295" s="241"/>
      <c r="N1295" s="241"/>
      <c r="O1295" s="241"/>
      <c r="P1295" s="241"/>
      <c r="Q1295" s="241"/>
      <c r="R1295" s="241"/>
      <c r="S1295" s="241"/>
      <c r="T1295" s="241"/>
      <c r="U1295" s="241"/>
      <c r="V1295" s="241"/>
      <c r="W1295" s="241"/>
      <c r="X1295" s="242"/>
      <c r="Y1295" s="241"/>
      <c r="Z1295" s="241"/>
      <c r="AA1295" s="241"/>
      <c r="AB1295" s="241"/>
      <c r="AC1295" s="241"/>
      <c r="AD1295" s="241"/>
      <c r="AE1295" s="241"/>
      <c r="AF1295" s="241"/>
      <c r="AG1295" s="241"/>
      <c r="AH1295" s="241"/>
      <c r="AI1295" s="241"/>
      <c r="AJ1295" s="242"/>
    </row>
    <row r="1296" hidden="1">
      <c r="A1296" s="241"/>
      <c r="B1296" s="241"/>
      <c r="C1296" s="241"/>
      <c r="D1296" s="241"/>
      <c r="E1296" s="241"/>
      <c r="F1296" s="241"/>
      <c r="G1296" s="241"/>
      <c r="H1296" s="241"/>
      <c r="I1296" s="241"/>
      <c r="J1296" s="241"/>
      <c r="K1296" s="241"/>
      <c r="L1296" s="242"/>
      <c r="M1296" s="241"/>
      <c r="N1296" s="241"/>
      <c r="O1296" s="241"/>
      <c r="P1296" s="241"/>
      <c r="Q1296" s="241"/>
      <c r="R1296" s="241"/>
      <c r="S1296" s="241"/>
      <c r="T1296" s="241"/>
      <c r="U1296" s="241"/>
      <c r="V1296" s="241"/>
      <c r="W1296" s="241"/>
      <c r="X1296" s="242"/>
      <c r="Y1296" s="241"/>
      <c r="Z1296" s="241"/>
      <c r="AA1296" s="241"/>
      <c r="AB1296" s="241"/>
      <c r="AC1296" s="241"/>
      <c r="AD1296" s="241"/>
      <c r="AE1296" s="241"/>
      <c r="AF1296" s="241"/>
      <c r="AG1296" s="241"/>
      <c r="AH1296" s="241"/>
      <c r="AI1296" s="241"/>
      <c r="AJ1296" s="242"/>
    </row>
    <row r="1297" hidden="1">
      <c r="A1297" s="241"/>
      <c r="B1297" s="241"/>
      <c r="C1297" s="241"/>
      <c r="D1297" s="241"/>
      <c r="E1297" s="241"/>
      <c r="F1297" s="241"/>
      <c r="G1297" s="241"/>
      <c r="H1297" s="241"/>
      <c r="I1297" s="241"/>
      <c r="J1297" s="241"/>
      <c r="K1297" s="241"/>
      <c r="L1297" s="242"/>
      <c r="M1297" s="241"/>
      <c r="N1297" s="241"/>
      <c r="O1297" s="241"/>
      <c r="P1297" s="241"/>
      <c r="Q1297" s="241"/>
      <c r="R1297" s="241"/>
      <c r="S1297" s="241"/>
      <c r="T1297" s="241"/>
      <c r="U1297" s="241"/>
      <c r="V1297" s="241"/>
      <c r="W1297" s="241"/>
      <c r="X1297" s="242"/>
      <c r="Y1297" s="241"/>
      <c r="Z1297" s="241"/>
      <c r="AA1297" s="241"/>
      <c r="AB1297" s="241"/>
      <c r="AC1297" s="241"/>
      <c r="AD1297" s="241"/>
      <c r="AE1297" s="241"/>
      <c r="AF1297" s="241"/>
      <c r="AG1297" s="241"/>
      <c r="AH1297" s="241"/>
      <c r="AI1297" s="241"/>
      <c r="AJ1297" s="242"/>
    </row>
    <row r="1298" hidden="1">
      <c r="A1298" s="241"/>
      <c r="B1298" s="241"/>
      <c r="C1298" s="241"/>
      <c r="D1298" s="241"/>
      <c r="E1298" s="241"/>
      <c r="F1298" s="241"/>
      <c r="G1298" s="241"/>
      <c r="H1298" s="241"/>
      <c r="I1298" s="241"/>
      <c r="J1298" s="241"/>
      <c r="K1298" s="241"/>
      <c r="L1298" s="242"/>
      <c r="M1298" s="241"/>
      <c r="N1298" s="241"/>
      <c r="O1298" s="241"/>
      <c r="P1298" s="241"/>
      <c r="Q1298" s="241"/>
      <c r="R1298" s="241"/>
      <c r="S1298" s="241"/>
      <c r="T1298" s="241"/>
      <c r="U1298" s="241"/>
      <c r="V1298" s="241"/>
      <c r="W1298" s="241"/>
      <c r="X1298" s="242"/>
      <c r="Y1298" s="241"/>
      <c r="Z1298" s="241"/>
      <c r="AA1298" s="241"/>
      <c r="AB1298" s="241"/>
      <c r="AC1298" s="241"/>
      <c r="AD1298" s="241"/>
      <c r="AE1298" s="241"/>
      <c r="AF1298" s="241"/>
      <c r="AG1298" s="241"/>
      <c r="AH1298" s="241"/>
      <c r="AI1298" s="241"/>
      <c r="AJ1298" s="242"/>
    </row>
    <row r="1299" hidden="1">
      <c r="A1299" s="241"/>
      <c r="B1299" s="241"/>
      <c r="C1299" s="241"/>
      <c r="D1299" s="241"/>
      <c r="E1299" s="241"/>
      <c r="F1299" s="241"/>
      <c r="G1299" s="241"/>
      <c r="H1299" s="241"/>
      <c r="I1299" s="241"/>
      <c r="J1299" s="241"/>
      <c r="K1299" s="241"/>
      <c r="L1299" s="242"/>
      <c r="M1299" s="241"/>
      <c r="N1299" s="241"/>
      <c r="O1299" s="241"/>
      <c r="P1299" s="241"/>
      <c r="Q1299" s="241"/>
      <c r="R1299" s="241"/>
      <c r="S1299" s="241"/>
      <c r="T1299" s="241"/>
      <c r="U1299" s="241"/>
      <c r="V1299" s="241"/>
      <c r="W1299" s="241"/>
      <c r="X1299" s="242"/>
      <c r="Y1299" s="241"/>
      <c r="Z1299" s="241"/>
      <c r="AA1299" s="241"/>
      <c r="AB1299" s="241"/>
      <c r="AC1299" s="241"/>
      <c r="AD1299" s="241"/>
      <c r="AE1299" s="241"/>
      <c r="AF1299" s="241"/>
      <c r="AG1299" s="241"/>
      <c r="AH1299" s="241"/>
      <c r="AI1299" s="241"/>
      <c r="AJ1299" s="242"/>
    </row>
    <row r="1300" hidden="1">
      <c r="A1300" s="241"/>
      <c r="B1300" s="241"/>
      <c r="C1300" s="241"/>
      <c r="D1300" s="241"/>
      <c r="E1300" s="241"/>
      <c r="F1300" s="241"/>
      <c r="G1300" s="241"/>
      <c r="H1300" s="241"/>
      <c r="I1300" s="241"/>
      <c r="J1300" s="241"/>
      <c r="K1300" s="241"/>
      <c r="L1300" s="242"/>
      <c r="M1300" s="241"/>
      <c r="N1300" s="241"/>
      <c r="O1300" s="241"/>
      <c r="P1300" s="241"/>
      <c r="Q1300" s="241"/>
      <c r="R1300" s="241"/>
      <c r="S1300" s="241"/>
      <c r="T1300" s="241"/>
      <c r="U1300" s="241"/>
      <c r="V1300" s="241"/>
      <c r="W1300" s="241"/>
      <c r="X1300" s="242"/>
      <c r="Y1300" s="241"/>
      <c r="Z1300" s="241"/>
      <c r="AA1300" s="241"/>
      <c r="AB1300" s="241"/>
      <c r="AC1300" s="241"/>
      <c r="AD1300" s="241"/>
      <c r="AE1300" s="241"/>
      <c r="AF1300" s="241"/>
      <c r="AG1300" s="241"/>
      <c r="AH1300" s="241"/>
      <c r="AI1300" s="241"/>
      <c r="AJ1300" s="242"/>
    </row>
    <row r="1301" hidden="1">
      <c r="A1301" s="241"/>
      <c r="B1301" s="241"/>
      <c r="C1301" s="241"/>
      <c r="D1301" s="241"/>
      <c r="E1301" s="241"/>
      <c r="F1301" s="241"/>
      <c r="G1301" s="241"/>
      <c r="H1301" s="241"/>
      <c r="I1301" s="241"/>
      <c r="J1301" s="241"/>
      <c r="K1301" s="241"/>
      <c r="L1301" s="242"/>
      <c r="M1301" s="241"/>
      <c r="N1301" s="241"/>
      <c r="O1301" s="241"/>
      <c r="P1301" s="241"/>
      <c r="Q1301" s="241"/>
      <c r="R1301" s="241"/>
      <c r="S1301" s="241"/>
      <c r="T1301" s="241"/>
      <c r="U1301" s="241"/>
      <c r="V1301" s="241"/>
      <c r="W1301" s="241"/>
      <c r="X1301" s="242"/>
      <c r="Y1301" s="241"/>
      <c r="Z1301" s="241"/>
      <c r="AA1301" s="241"/>
      <c r="AB1301" s="241"/>
      <c r="AC1301" s="241"/>
      <c r="AD1301" s="241"/>
      <c r="AE1301" s="241"/>
      <c r="AF1301" s="241"/>
      <c r="AG1301" s="241"/>
      <c r="AH1301" s="241"/>
      <c r="AI1301" s="241"/>
      <c r="AJ1301" s="242"/>
    </row>
    <row r="1302" hidden="1">
      <c r="A1302" s="241"/>
      <c r="B1302" s="241"/>
      <c r="C1302" s="241"/>
      <c r="D1302" s="241"/>
      <c r="E1302" s="241"/>
      <c r="F1302" s="241"/>
      <c r="G1302" s="241"/>
      <c r="H1302" s="241"/>
      <c r="I1302" s="241"/>
      <c r="J1302" s="241"/>
      <c r="K1302" s="241"/>
      <c r="L1302" s="242"/>
      <c r="M1302" s="241"/>
      <c r="N1302" s="241"/>
      <c r="O1302" s="241"/>
      <c r="P1302" s="241"/>
      <c r="Q1302" s="241"/>
      <c r="R1302" s="241"/>
      <c r="S1302" s="241"/>
      <c r="T1302" s="241"/>
      <c r="U1302" s="241"/>
      <c r="V1302" s="241"/>
      <c r="W1302" s="241"/>
      <c r="X1302" s="242"/>
      <c r="Y1302" s="241"/>
      <c r="Z1302" s="241"/>
      <c r="AA1302" s="241"/>
      <c r="AB1302" s="241"/>
      <c r="AC1302" s="241"/>
      <c r="AD1302" s="241"/>
      <c r="AE1302" s="241"/>
      <c r="AF1302" s="241"/>
      <c r="AG1302" s="241"/>
      <c r="AH1302" s="241"/>
      <c r="AI1302" s="241"/>
      <c r="AJ1302" s="242"/>
    </row>
    <row r="1303" hidden="1">
      <c r="A1303" s="241"/>
      <c r="B1303" s="241"/>
      <c r="C1303" s="241"/>
      <c r="D1303" s="241"/>
      <c r="E1303" s="241"/>
      <c r="F1303" s="241"/>
      <c r="G1303" s="241"/>
      <c r="H1303" s="241"/>
      <c r="I1303" s="241"/>
      <c r="J1303" s="241"/>
      <c r="K1303" s="241"/>
      <c r="L1303" s="242"/>
      <c r="M1303" s="241"/>
      <c r="N1303" s="241"/>
      <c r="O1303" s="241"/>
      <c r="P1303" s="241"/>
      <c r="Q1303" s="241"/>
      <c r="R1303" s="241"/>
      <c r="S1303" s="241"/>
      <c r="T1303" s="241"/>
      <c r="U1303" s="241"/>
      <c r="V1303" s="241"/>
      <c r="W1303" s="241"/>
      <c r="X1303" s="242"/>
      <c r="Y1303" s="241"/>
      <c r="Z1303" s="241"/>
      <c r="AA1303" s="241"/>
      <c r="AB1303" s="241"/>
      <c r="AC1303" s="241"/>
      <c r="AD1303" s="241"/>
      <c r="AE1303" s="241"/>
      <c r="AF1303" s="241"/>
      <c r="AG1303" s="241"/>
      <c r="AH1303" s="241"/>
      <c r="AI1303" s="241"/>
      <c r="AJ1303" s="242"/>
    </row>
    <row r="1304" hidden="1">
      <c r="A1304" s="241"/>
      <c r="B1304" s="241"/>
      <c r="C1304" s="241"/>
      <c r="D1304" s="241"/>
      <c r="E1304" s="241"/>
      <c r="F1304" s="241"/>
      <c r="G1304" s="241"/>
      <c r="H1304" s="241"/>
      <c r="I1304" s="241"/>
      <c r="J1304" s="241"/>
      <c r="K1304" s="241"/>
      <c r="L1304" s="242"/>
      <c r="M1304" s="241"/>
      <c r="N1304" s="241"/>
      <c r="O1304" s="241"/>
      <c r="P1304" s="241"/>
      <c r="Q1304" s="241"/>
      <c r="R1304" s="241"/>
      <c r="S1304" s="241"/>
      <c r="T1304" s="241"/>
      <c r="U1304" s="241"/>
      <c r="V1304" s="241"/>
      <c r="W1304" s="241"/>
      <c r="X1304" s="242"/>
      <c r="Y1304" s="241"/>
      <c r="Z1304" s="241"/>
      <c r="AA1304" s="241"/>
      <c r="AB1304" s="241"/>
      <c r="AC1304" s="241"/>
      <c r="AD1304" s="241"/>
      <c r="AE1304" s="241"/>
      <c r="AF1304" s="241"/>
      <c r="AG1304" s="241"/>
      <c r="AH1304" s="241"/>
      <c r="AI1304" s="241"/>
      <c r="AJ1304" s="242"/>
    </row>
    <row r="1305" hidden="1">
      <c r="A1305" s="241"/>
      <c r="B1305" s="241"/>
      <c r="C1305" s="241"/>
      <c r="D1305" s="241"/>
      <c r="E1305" s="241"/>
      <c r="F1305" s="241"/>
      <c r="G1305" s="241"/>
      <c r="H1305" s="241"/>
      <c r="I1305" s="241"/>
      <c r="J1305" s="241"/>
      <c r="K1305" s="241"/>
      <c r="L1305" s="242"/>
      <c r="M1305" s="241"/>
      <c r="N1305" s="241"/>
      <c r="O1305" s="241"/>
      <c r="P1305" s="241"/>
      <c r="Q1305" s="241"/>
      <c r="R1305" s="241"/>
      <c r="S1305" s="241"/>
      <c r="T1305" s="241"/>
      <c r="U1305" s="241"/>
      <c r="V1305" s="241"/>
      <c r="W1305" s="241"/>
      <c r="X1305" s="242"/>
      <c r="Y1305" s="241"/>
      <c r="Z1305" s="241"/>
      <c r="AA1305" s="241"/>
      <c r="AB1305" s="241"/>
      <c r="AC1305" s="241"/>
      <c r="AD1305" s="241"/>
      <c r="AE1305" s="241"/>
      <c r="AF1305" s="241"/>
      <c r="AG1305" s="241"/>
      <c r="AH1305" s="241"/>
      <c r="AI1305" s="241"/>
      <c r="AJ1305" s="242"/>
    </row>
    <row r="1306" hidden="1">
      <c r="A1306" s="241"/>
      <c r="B1306" s="241"/>
      <c r="C1306" s="241"/>
      <c r="D1306" s="241"/>
      <c r="E1306" s="241"/>
      <c r="F1306" s="241"/>
      <c r="G1306" s="241"/>
      <c r="H1306" s="241"/>
      <c r="I1306" s="241"/>
      <c r="J1306" s="241"/>
      <c r="K1306" s="241"/>
      <c r="L1306" s="242"/>
      <c r="M1306" s="241"/>
      <c r="N1306" s="241"/>
      <c r="O1306" s="241"/>
      <c r="P1306" s="241"/>
      <c r="Q1306" s="241"/>
      <c r="R1306" s="241"/>
      <c r="S1306" s="241"/>
      <c r="T1306" s="241"/>
      <c r="U1306" s="241"/>
      <c r="V1306" s="241"/>
      <c r="W1306" s="241"/>
      <c r="X1306" s="242"/>
      <c r="Y1306" s="241"/>
      <c r="Z1306" s="241"/>
      <c r="AA1306" s="241"/>
      <c r="AB1306" s="241"/>
      <c r="AC1306" s="241"/>
      <c r="AD1306" s="241"/>
      <c r="AE1306" s="241"/>
      <c r="AF1306" s="241"/>
      <c r="AG1306" s="241"/>
      <c r="AH1306" s="241"/>
      <c r="AI1306" s="241"/>
      <c r="AJ1306" s="242"/>
    </row>
    <row r="1307" hidden="1">
      <c r="A1307" s="241"/>
      <c r="B1307" s="241"/>
      <c r="C1307" s="241"/>
      <c r="D1307" s="241"/>
      <c r="E1307" s="241"/>
      <c r="F1307" s="241"/>
      <c r="G1307" s="241"/>
      <c r="H1307" s="241"/>
      <c r="I1307" s="241"/>
      <c r="J1307" s="241"/>
      <c r="K1307" s="241"/>
      <c r="L1307" s="242"/>
      <c r="M1307" s="241"/>
      <c r="N1307" s="241"/>
      <c r="O1307" s="241"/>
      <c r="P1307" s="241"/>
      <c r="Q1307" s="241"/>
      <c r="R1307" s="241"/>
      <c r="S1307" s="241"/>
      <c r="T1307" s="241"/>
      <c r="U1307" s="241"/>
      <c r="V1307" s="241"/>
      <c r="W1307" s="241"/>
      <c r="X1307" s="242"/>
      <c r="Y1307" s="241"/>
      <c r="Z1307" s="241"/>
      <c r="AA1307" s="241"/>
      <c r="AB1307" s="241"/>
      <c r="AC1307" s="241"/>
      <c r="AD1307" s="241"/>
      <c r="AE1307" s="241"/>
      <c r="AF1307" s="241"/>
      <c r="AG1307" s="241"/>
      <c r="AH1307" s="241"/>
      <c r="AI1307" s="241"/>
      <c r="AJ1307" s="242"/>
    </row>
    <row r="1308" hidden="1">
      <c r="A1308" s="241"/>
      <c r="B1308" s="241"/>
      <c r="C1308" s="241"/>
      <c r="D1308" s="241"/>
      <c r="E1308" s="241"/>
      <c r="F1308" s="241"/>
      <c r="G1308" s="241"/>
      <c r="H1308" s="241"/>
      <c r="I1308" s="241"/>
      <c r="J1308" s="241"/>
      <c r="K1308" s="241"/>
      <c r="L1308" s="242"/>
      <c r="M1308" s="241"/>
      <c r="N1308" s="241"/>
      <c r="O1308" s="241"/>
      <c r="P1308" s="241"/>
      <c r="Q1308" s="241"/>
      <c r="R1308" s="241"/>
      <c r="S1308" s="241"/>
      <c r="T1308" s="241"/>
      <c r="U1308" s="241"/>
      <c r="V1308" s="241"/>
      <c r="W1308" s="241"/>
      <c r="X1308" s="242"/>
      <c r="Y1308" s="241"/>
      <c r="Z1308" s="241"/>
      <c r="AA1308" s="241"/>
      <c r="AB1308" s="241"/>
      <c r="AC1308" s="241"/>
      <c r="AD1308" s="241"/>
      <c r="AE1308" s="241"/>
      <c r="AF1308" s="241"/>
      <c r="AG1308" s="241"/>
      <c r="AH1308" s="241"/>
      <c r="AI1308" s="241"/>
      <c r="AJ1308" s="242"/>
    </row>
    <row r="1309" hidden="1">
      <c r="A1309" s="241"/>
      <c r="B1309" s="241"/>
      <c r="C1309" s="241"/>
      <c r="D1309" s="241"/>
      <c r="E1309" s="241"/>
      <c r="F1309" s="241"/>
      <c r="G1309" s="241"/>
      <c r="H1309" s="241"/>
      <c r="I1309" s="241"/>
      <c r="J1309" s="241"/>
      <c r="K1309" s="241"/>
      <c r="L1309" s="242"/>
      <c r="M1309" s="241"/>
      <c r="N1309" s="241"/>
      <c r="O1309" s="241"/>
      <c r="P1309" s="241"/>
      <c r="Q1309" s="241"/>
      <c r="R1309" s="241"/>
      <c r="S1309" s="241"/>
      <c r="T1309" s="241"/>
      <c r="U1309" s="241"/>
      <c r="V1309" s="241"/>
      <c r="W1309" s="241"/>
      <c r="X1309" s="242"/>
      <c r="Y1309" s="241"/>
      <c r="Z1309" s="241"/>
      <c r="AA1309" s="241"/>
      <c r="AB1309" s="241"/>
      <c r="AC1309" s="241"/>
      <c r="AD1309" s="241"/>
      <c r="AE1309" s="241"/>
      <c r="AF1309" s="241"/>
      <c r="AG1309" s="241"/>
      <c r="AH1309" s="241"/>
      <c r="AI1309" s="241"/>
      <c r="AJ1309" s="242"/>
    </row>
    <row r="1310" hidden="1">
      <c r="A1310" s="241"/>
      <c r="B1310" s="241"/>
      <c r="C1310" s="241"/>
      <c r="D1310" s="241"/>
      <c r="E1310" s="241"/>
      <c r="F1310" s="241"/>
      <c r="G1310" s="241"/>
      <c r="H1310" s="241"/>
      <c r="I1310" s="241"/>
      <c r="J1310" s="241"/>
      <c r="K1310" s="241"/>
      <c r="L1310" s="242"/>
      <c r="M1310" s="241"/>
      <c r="N1310" s="241"/>
      <c r="O1310" s="241"/>
      <c r="P1310" s="241"/>
      <c r="Q1310" s="241"/>
      <c r="R1310" s="241"/>
      <c r="S1310" s="241"/>
      <c r="T1310" s="241"/>
      <c r="U1310" s="241"/>
      <c r="V1310" s="241"/>
      <c r="W1310" s="241"/>
      <c r="X1310" s="242"/>
      <c r="Y1310" s="241"/>
      <c r="Z1310" s="241"/>
      <c r="AA1310" s="241"/>
      <c r="AB1310" s="241"/>
      <c r="AC1310" s="241"/>
      <c r="AD1310" s="241"/>
      <c r="AE1310" s="241"/>
      <c r="AF1310" s="241"/>
      <c r="AG1310" s="241"/>
      <c r="AH1310" s="241"/>
      <c r="AI1310" s="241"/>
      <c r="AJ1310" s="242"/>
    </row>
    <row r="1311" hidden="1">
      <c r="A1311" s="241"/>
      <c r="B1311" s="241"/>
      <c r="C1311" s="241"/>
      <c r="D1311" s="241"/>
      <c r="E1311" s="241"/>
      <c r="F1311" s="241"/>
      <c r="G1311" s="241"/>
      <c r="H1311" s="241"/>
      <c r="I1311" s="241"/>
      <c r="J1311" s="241"/>
      <c r="K1311" s="241"/>
      <c r="L1311" s="242"/>
      <c r="M1311" s="241"/>
      <c r="N1311" s="241"/>
      <c r="O1311" s="241"/>
      <c r="P1311" s="241"/>
      <c r="Q1311" s="241"/>
      <c r="R1311" s="241"/>
      <c r="S1311" s="241"/>
      <c r="T1311" s="241"/>
      <c r="U1311" s="241"/>
      <c r="V1311" s="241"/>
      <c r="W1311" s="241"/>
      <c r="X1311" s="242"/>
      <c r="Y1311" s="241"/>
      <c r="Z1311" s="241"/>
      <c r="AA1311" s="241"/>
      <c r="AB1311" s="241"/>
      <c r="AC1311" s="241"/>
      <c r="AD1311" s="241"/>
      <c r="AE1311" s="241"/>
      <c r="AF1311" s="241"/>
      <c r="AG1311" s="241"/>
      <c r="AH1311" s="241"/>
      <c r="AI1311" s="241"/>
      <c r="AJ1311" s="242"/>
    </row>
    <row r="1312" hidden="1">
      <c r="A1312" s="241"/>
      <c r="B1312" s="241"/>
      <c r="C1312" s="241"/>
      <c r="D1312" s="241"/>
      <c r="E1312" s="241"/>
      <c r="F1312" s="241"/>
      <c r="G1312" s="241"/>
      <c r="H1312" s="241"/>
      <c r="I1312" s="241"/>
      <c r="J1312" s="241"/>
      <c r="K1312" s="241"/>
      <c r="L1312" s="242"/>
      <c r="M1312" s="241"/>
      <c r="N1312" s="241"/>
      <c r="O1312" s="241"/>
      <c r="P1312" s="241"/>
      <c r="Q1312" s="241"/>
      <c r="R1312" s="241"/>
      <c r="S1312" s="241"/>
      <c r="T1312" s="241"/>
      <c r="U1312" s="241"/>
      <c r="V1312" s="241"/>
      <c r="W1312" s="241"/>
      <c r="X1312" s="242"/>
      <c r="Y1312" s="241"/>
      <c r="Z1312" s="241"/>
      <c r="AA1312" s="241"/>
      <c r="AB1312" s="241"/>
      <c r="AC1312" s="241"/>
      <c r="AD1312" s="241"/>
      <c r="AE1312" s="241"/>
      <c r="AF1312" s="241"/>
      <c r="AG1312" s="241"/>
      <c r="AH1312" s="241"/>
      <c r="AI1312" s="241"/>
      <c r="AJ1312" s="242"/>
    </row>
    <row r="1313" hidden="1">
      <c r="A1313" s="241"/>
      <c r="B1313" s="241"/>
      <c r="C1313" s="241"/>
      <c r="D1313" s="241"/>
      <c r="E1313" s="241"/>
      <c r="F1313" s="241"/>
      <c r="G1313" s="241"/>
      <c r="H1313" s="241"/>
      <c r="I1313" s="241"/>
      <c r="J1313" s="241"/>
      <c r="K1313" s="241"/>
      <c r="L1313" s="242"/>
      <c r="M1313" s="241"/>
      <c r="N1313" s="241"/>
      <c r="O1313" s="241"/>
      <c r="P1313" s="241"/>
      <c r="Q1313" s="241"/>
      <c r="R1313" s="241"/>
      <c r="S1313" s="241"/>
      <c r="T1313" s="241"/>
      <c r="U1313" s="241"/>
      <c r="V1313" s="241"/>
      <c r="W1313" s="241"/>
      <c r="X1313" s="242"/>
      <c r="Y1313" s="241"/>
      <c r="Z1313" s="241"/>
      <c r="AA1313" s="241"/>
      <c r="AB1313" s="241"/>
      <c r="AC1313" s="241"/>
      <c r="AD1313" s="241"/>
      <c r="AE1313" s="241"/>
      <c r="AF1313" s="241"/>
      <c r="AG1313" s="241"/>
      <c r="AH1313" s="241"/>
      <c r="AI1313" s="241"/>
      <c r="AJ1313" s="242"/>
    </row>
    <row r="1314" hidden="1">
      <c r="A1314" s="241"/>
      <c r="B1314" s="241"/>
      <c r="C1314" s="241"/>
      <c r="D1314" s="241"/>
      <c r="E1314" s="241"/>
      <c r="F1314" s="241"/>
      <c r="G1314" s="241"/>
      <c r="H1314" s="241"/>
      <c r="I1314" s="241"/>
      <c r="J1314" s="241"/>
      <c r="K1314" s="241"/>
      <c r="L1314" s="242"/>
      <c r="M1314" s="241"/>
      <c r="N1314" s="241"/>
      <c r="O1314" s="241"/>
      <c r="P1314" s="241"/>
      <c r="Q1314" s="241"/>
      <c r="R1314" s="241"/>
      <c r="S1314" s="241"/>
      <c r="T1314" s="241"/>
      <c r="U1314" s="241"/>
      <c r="V1314" s="241"/>
      <c r="W1314" s="241"/>
      <c r="X1314" s="242"/>
      <c r="Y1314" s="241"/>
      <c r="Z1314" s="241"/>
      <c r="AA1314" s="241"/>
      <c r="AB1314" s="241"/>
      <c r="AC1314" s="241"/>
      <c r="AD1314" s="241"/>
      <c r="AE1314" s="241"/>
      <c r="AF1314" s="241"/>
      <c r="AG1314" s="241"/>
      <c r="AH1314" s="241"/>
      <c r="AI1314" s="241"/>
      <c r="AJ1314" s="242"/>
    </row>
    <row r="1315" hidden="1">
      <c r="A1315" s="241"/>
      <c r="B1315" s="241"/>
      <c r="C1315" s="241"/>
      <c r="D1315" s="241"/>
      <c r="E1315" s="241"/>
      <c r="F1315" s="241"/>
      <c r="G1315" s="241"/>
      <c r="H1315" s="241"/>
      <c r="I1315" s="241"/>
      <c r="J1315" s="241"/>
      <c r="K1315" s="241"/>
      <c r="L1315" s="242"/>
      <c r="M1315" s="241"/>
      <c r="N1315" s="241"/>
      <c r="O1315" s="241"/>
      <c r="P1315" s="241"/>
      <c r="Q1315" s="241"/>
      <c r="R1315" s="241"/>
      <c r="S1315" s="241"/>
      <c r="T1315" s="241"/>
      <c r="U1315" s="241"/>
      <c r="V1315" s="241"/>
      <c r="W1315" s="241"/>
      <c r="X1315" s="242"/>
      <c r="Y1315" s="241"/>
      <c r="Z1315" s="241"/>
      <c r="AA1315" s="241"/>
      <c r="AB1315" s="241"/>
      <c r="AC1315" s="241"/>
      <c r="AD1315" s="241"/>
      <c r="AE1315" s="241"/>
      <c r="AF1315" s="241"/>
      <c r="AG1315" s="241"/>
      <c r="AH1315" s="241"/>
      <c r="AI1315" s="241"/>
      <c r="AJ1315" s="242"/>
    </row>
    <row r="1316" hidden="1">
      <c r="A1316" s="241"/>
      <c r="B1316" s="241"/>
      <c r="C1316" s="241"/>
      <c r="D1316" s="241"/>
      <c r="E1316" s="241"/>
      <c r="F1316" s="241"/>
      <c r="G1316" s="241"/>
      <c r="H1316" s="241"/>
      <c r="I1316" s="241"/>
      <c r="J1316" s="241"/>
      <c r="K1316" s="241"/>
      <c r="L1316" s="242"/>
      <c r="M1316" s="241"/>
      <c r="N1316" s="241"/>
      <c r="O1316" s="241"/>
      <c r="P1316" s="241"/>
      <c r="Q1316" s="241"/>
      <c r="R1316" s="241"/>
      <c r="S1316" s="241"/>
      <c r="T1316" s="241"/>
      <c r="U1316" s="241"/>
      <c r="V1316" s="241"/>
      <c r="W1316" s="241"/>
      <c r="X1316" s="242"/>
      <c r="Y1316" s="241"/>
      <c r="Z1316" s="241"/>
      <c r="AA1316" s="241"/>
      <c r="AB1316" s="241"/>
      <c r="AC1316" s="241"/>
      <c r="AD1316" s="241"/>
      <c r="AE1316" s="241"/>
      <c r="AF1316" s="241"/>
      <c r="AG1316" s="241"/>
      <c r="AH1316" s="241"/>
      <c r="AI1316" s="241"/>
      <c r="AJ1316" s="242"/>
    </row>
    <row r="1317" hidden="1">
      <c r="A1317" s="241"/>
      <c r="B1317" s="241"/>
      <c r="C1317" s="241"/>
      <c r="D1317" s="241"/>
      <c r="E1317" s="241"/>
      <c r="F1317" s="241"/>
      <c r="G1317" s="241"/>
      <c r="H1317" s="241"/>
      <c r="I1317" s="241"/>
      <c r="J1317" s="241"/>
      <c r="K1317" s="241"/>
      <c r="L1317" s="242"/>
      <c r="M1317" s="241"/>
      <c r="N1317" s="241"/>
      <c r="O1317" s="241"/>
      <c r="P1317" s="241"/>
      <c r="Q1317" s="241"/>
      <c r="R1317" s="241"/>
      <c r="S1317" s="241"/>
      <c r="T1317" s="241"/>
      <c r="U1317" s="241"/>
      <c r="V1317" s="241"/>
      <c r="W1317" s="241"/>
      <c r="X1317" s="242"/>
      <c r="Y1317" s="241"/>
      <c r="Z1317" s="241"/>
      <c r="AA1317" s="241"/>
      <c r="AB1317" s="241"/>
      <c r="AC1317" s="241"/>
      <c r="AD1317" s="241"/>
      <c r="AE1317" s="241"/>
      <c r="AF1317" s="241"/>
      <c r="AG1317" s="241"/>
      <c r="AH1317" s="241"/>
      <c r="AI1317" s="241"/>
      <c r="AJ1317" s="242"/>
    </row>
    <row r="1318" hidden="1">
      <c r="A1318" s="241"/>
      <c r="B1318" s="241"/>
      <c r="C1318" s="241"/>
      <c r="D1318" s="241"/>
      <c r="E1318" s="241"/>
      <c r="F1318" s="241"/>
      <c r="G1318" s="241"/>
      <c r="H1318" s="241"/>
      <c r="I1318" s="241"/>
      <c r="J1318" s="241"/>
      <c r="K1318" s="241"/>
      <c r="L1318" s="242"/>
      <c r="M1318" s="241"/>
      <c r="N1318" s="241"/>
      <c r="O1318" s="241"/>
      <c r="P1318" s="241"/>
      <c r="Q1318" s="241"/>
      <c r="R1318" s="241"/>
      <c r="S1318" s="241"/>
      <c r="T1318" s="241"/>
      <c r="U1318" s="241"/>
      <c r="V1318" s="241"/>
      <c r="W1318" s="241"/>
      <c r="X1318" s="242"/>
      <c r="Y1318" s="241"/>
      <c r="Z1318" s="241"/>
      <c r="AA1318" s="241"/>
      <c r="AB1318" s="241"/>
      <c r="AC1318" s="241"/>
      <c r="AD1318" s="241"/>
      <c r="AE1318" s="241"/>
      <c r="AF1318" s="241"/>
      <c r="AG1318" s="241"/>
      <c r="AH1318" s="241"/>
      <c r="AI1318" s="241"/>
      <c r="AJ1318" s="242"/>
    </row>
    <row r="1319" hidden="1">
      <c r="A1319" s="241"/>
      <c r="B1319" s="241"/>
      <c r="C1319" s="241"/>
      <c r="D1319" s="241"/>
      <c r="E1319" s="241"/>
      <c r="F1319" s="241"/>
      <c r="G1319" s="241"/>
      <c r="H1319" s="241"/>
      <c r="I1319" s="241"/>
      <c r="J1319" s="241"/>
      <c r="K1319" s="241"/>
      <c r="L1319" s="242"/>
      <c r="M1319" s="241"/>
      <c r="N1319" s="241"/>
      <c r="O1319" s="241"/>
      <c r="P1319" s="241"/>
      <c r="Q1319" s="241"/>
      <c r="R1319" s="241"/>
      <c r="S1319" s="241"/>
      <c r="T1319" s="241"/>
      <c r="U1319" s="241"/>
      <c r="V1319" s="241"/>
      <c r="W1319" s="241"/>
      <c r="X1319" s="242"/>
      <c r="Y1319" s="241"/>
      <c r="Z1319" s="241"/>
      <c r="AA1319" s="241"/>
      <c r="AB1319" s="241"/>
      <c r="AC1319" s="241"/>
      <c r="AD1319" s="241"/>
      <c r="AE1319" s="241"/>
      <c r="AF1319" s="241"/>
      <c r="AG1319" s="241"/>
      <c r="AH1319" s="241"/>
      <c r="AI1319" s="241"/>
      <c r="AJ1319" s="242"/>
    </row>
    <row r="1320" hidden="1">
      <c r="A1320" s="241"/>
      <c r="B1320" s="241"/>
      <c r="C1320" s="241"/>
      <c r="D1320" s="241"/>
      <c r="E1320" s="241"/>
      <c r="F1320" s="241"/>
      <c r="G1320" s="241"/>
      <c r="H1320" s="241"/>
      <c r="I1320" s="241"/>
      <c r="J1320" s="241"/>
      <c r="K1320" s="241"/>
      <c r="L1320" s="242"/>
      <c r="M1320" s="241"/>
      <c r="N1320" s="241"/>
      <c r="O1320" s="241"/>
      <c r="P1320" s="241"/>
      <c r="Q1320" s="241"/>
      <c r="R1320" s="241"/>
      <c r="S1320" s="241"/>
      <c r="T1320" s="241"/>
      <c r="U1320" s="241"/>
      <c r="V1320" s="241"/>
      <c r="W1320" s="241"/>
      <c r="X1320" s="242"/>
      <c r="Y1320" s="241"/>
      <c r="Z1320" s="241"/>
      <c r="AA1320" s="241"/>
      <c r="AB1320" s="241"/>
      <c r="AC1320" s="241"/>
      <c r="AD1320" s="241"/>
      <c r="AE1320" s="241"/>
      <c r="AF1320" s="241"/>
      <c r="AG1320" s="241"/>
      <c r="AH1320" s="241"/>
      <c r="AI1320" s="241"/>
      <c r="AJ1320" s="242"/>
    </row>
    <row r="1321" hidden="1">
      <c r="A1321" s="241"/>
      <c r="B1321" s="241"/>
      <c r="C1321" s="241"/>
      <c r="D1321" s="241"/>
      <c r="E1321" s="241"/>
      <c r="F1321" s="241"/>
      <c r="G1321" s="241"/>
      <c r="H1321" s="241"/>
      <c r="I1321" s="241"/>
      <c r="J1321" s="241"/>
      <c r="K1321" s="241"/>
      <c r="L1321" s="242"/>
      <c r="M1321" s="241"/>
      <c r="N1321" s="241"/>
      <c r="O1321" s="241"/>
      <c r="P1321" s="241"/>
      <c r="Q1321" s="241"/>
      <c r="R1321" s="241"/>
      <c r="S1321" s="241"/>
      <c r="T1321" s="241"/>
      <c r="U1321" s="241"/>
      <c r="V1321" s="241"/>
      <c r="W1321" s="241"/>
      <c r="X1321" s="242"/>
      <c r="Y1321" s="241"/>
      <c r="Z1321" s="241"/>
      <c r="AA1321" s="241"/>
      <c r="AB1321" s="241"/>
      <c r="AC1321" s="241"/>
      <c r="AD1321" s="241"/>
      <c r="AE1321" s="241"/>
      <c r="AF1321" s="241"/>
      <c r="AG1321" s="241"/>
      <c r="AH1321" s="241"/>
      <c r="AI1321" s="241"/>
      <c r="AJ1321" s="242"/>
    </row>
    <row r="1322" hidden="1">
      <c r="A1322" s="241"/>
      <c r="B1322" s="241"/>
      <c r="C1322" s="241"/>
      <c r="D1322" s="241"/>
      <c r="E1322" s="241"/>
      <c r="F1322" s="241"/>
      <c r="G1322" s="241"/>
      <c r="H1322" s="241"/>
      <c r="I1322" s="241"/>
      <c r="J1322" s="241"/>
      <c r="K1322" s="241"/>
      <c r="L1322" s="242"/>
      <c r="M1322" s="241"/>
      <c r="N1322" s="241"/>
      <c r="O1322" s="241"/>
      <c r="P1322" s="241"/>
      <c r="Q1322" s="241"/>
      <c r="R1322" s="241"/>
      <c r="S1322" s="241"/>
      <c r="T1322" s="241"/>
      <c r="U1322" s="241"/>
      <c r="V1322" s="241"/>
      <c r="W1322" s="241"/>
      <c r="X1322" s="242"/>
      <c r="Y1322" s="241"/>
      <c r="Z1322" s="241"/>
      <c r="AA1322" s="241"/>
      <c r="AB1322" s="241"/>
      <c r="AC1322" s="241"/>
      <c r="AD1322" s="241"/>
      <c r="AE1322" s="241"/>
      <c r="AF1322" s="241"/>
      <c r="AG1322" s="241"/>
      <c r="AH1322" s="241"/>
      <c r="AI1322" s="241"/>
      <c r="AJ1322" s="242"/>
    </row>
    <row r="1323" hidden="1">
      <c r="A1323" s="241"/>
      <c r="B1323" s="241"/>
      <c r="C1323" s="241"/>
      <c r="D1323" s="241"/>
      <c r="E1323" s="241"/>
      <c r="F1323" s="241"/>
      <c r="G1323" s="241"/>
      <c r="H1323" s="241"/>
      <c r="I1323" s="241"/>
      <c r="J1323" s="241"/>
      <c r="K1323" s="241"/>
      <c r="L1323" s="242"/>
      <c r="M1323" s="241"/>
      <c r="N1323" s="241"/>
      <c r="O1323" s="241"/>
      <c r="P1323" s="241"/>
      <c r="Q1323" s="241"/>
      <c r="R1323" s="241"/>
      <c r="S1323" s="241"/>
      <c r="T1323" s="241"/>
      <c r="U1323" s="241"/>
      <c r="V1323" s="241"/>
      <c r="W1323" s="241"/>
      <c r="X1323" s="242"/>
      <c r="Y1323" s="241"/>
      <c r="Z1323" s="241"/>
      <c r="AA1323" s="241"/>
      <c r="AB1323" s="241"/>
      <c r="AC1323" s="241"/>
      <c r="AD1323" s="241"/>
      <c r="AE1323" s="241"/>
      <c r="AF1323" s="241"/>
      <c r="AG1323" s="241"/>
      <c r="AH1323" s="241"/>
      <c r="AI1323" s="241"/>
      <c r="AJ1323" s="242"/>
    </row>
    <row r="1324" hidden="1">
      <c r="A1324" s="241"/>
      <c r="B1324" s="241"/>
      <c r="C1324" s="241"/>
      <c r="D1324" s="241"/>
      <c r="E1324" s="241"/>
      <c r="F1324" s="241"/>
      <c r="G1324" s="241"/>
      <c r="H1324" s="241"/>
      <c r="I1324" s="241"/>
      <c r="J1324" s="241"/>
      <c r="K1324" s="241"/>
      <c r="L1324" s="242"/>
      <c r="M1324" s="241"/>
      <c r="N1324" s="241"/>
      <c r="O1324" s="241"/>
      <c r="P1324" s="241"/>
      <c r="Q1324" s="241"/>
      <c r="R1324" s="241"/>
      <c r="S1324" s="241"/>
      <c r="T1324" s="241"/>
      <c r="U1324" s="241"/>
      <c r="V1324" s="241"/>
      <c r="W1324" s="241"/>
      <c r="X1324" s="242"/>
      <c r="Y1324" s="241"/>
      <c r="Z1324" s="241"/>
      <c r="AA1324" s="241"/>
      <c r="AB1324" s="241"/>
      <c r="AC1324" s="241"/>
      <c r="AD1324" s="241"/>
      <c r="AE1324" s="241"/>
      <c r="AF1324" s="241"/>
      <c r="AG1324" s="241"/>
      <c r="AH1324" s="241"/>
      <c r="AI1324" s="241"/>
      <c r="AJ1324" s="242"/>
    </row>
    <row r="1325" hidden="1">
      <c r="A1325" s="241"/>
      <c r="B1325" s="241"/>
      <c r="C1325" s="241"/>
      <c r="D1325" s="241"/>
      <c r="E1325" s="241"/>
      <c r="F1325" s="241"/>
      <c r="G1325" s="241"/>
      <c r="H1325" s="241"/>
      <c r="I1325" s="241"/>
      <c r="J1325" s="241"/>
      <c r="K1325" s="241"/>
      <c r="L1325" s="242"/>
      <c r="M1325" s="241"/>
      <c r="N1325" s="241"/>
      <c r="O1325" s="241"/>
      <c r="P1325" s="241"/>
      <c r="Q1325" s="241"/>
      <c r="R1325" s="241"/>
      <c r="S1325" s="241"/>
      <c r="T1325" s="241"/>
      <c r="U1325" s="241"/>
      <c r="V1325" s="241"/>
      <c r="W1325" s="241"/>
      <c r="X1325" s="242"/>
      <c r="Y1325" s="241"/>
      <c r="Z1325" s="241"/>
      <c r="AA1325" s="241"/>
      <c r="AB1325" s="241"/>
      <c r="AC1325" s="241"/>
      <c r="AD1325" s="241"/>
      <c r="AE1325" s="241"/>
      <c r="AF1325" s="241"/>
      <c r="AG1325" s="241"/>
      <c r="AH1325" s="241"/>
      <c r="AI1325" s="241"/>
      <c r="AJ1325" s="242"/>
    </row>
    <row r="1326" hidden="1">
      <c r="A1326" s="241"/>
      <c r="B1326" s="241"/>
      <c r="C1326" s="241"/>
      <c r="D1326" s="241"/>
      <c r="E1326" s="241"/>
      <c r="F1326" s="241"/>
      <c r="G1326" s="241"/>
      <c r="H1326" s="241"/>
      <c r="I1326" s="241"/>
      <c r="J1326" s="241"/>
      <c r="K1326" s="241"/>
      <c r="L1326" s="242"/>
      <c r="M1326" s="241"/>
      <c r="N1326" s="241"/>
      <c r="O1326" s="241"/>
      <c r="P1326" s="241"/>
      <c r="Q1326" s="241"/>
      <c r="R1326" s="241"/>
      <c r="S1326" s="241"/>
      <c r="T1326" s="241"/>
      <c r="U1326" s="241"/>
      <c r="V1326" s="241"/>
      <c r="W1326" s="241"/>
      <c r="X1326" s="242"/>
      <c r="Y1326" s="241"/>
      <c r="Z1326" s="241"/>
      <c r="AA1326" s="241"/>
      <c r="AB1326" s="241"/>
      <c r="AC1326" s="241"/>
      <c r="AD1326" s="241"/>
      <c r="AE1326" s="241"/>
      <c r="AF1326" s="241"/>
      <c r="AG1326" s="241"/>
      <c r="AH1326" s="241"/>
      <c r="AI1326" s="241"/>
      <c r="AJ1326" s="242"/>
    </row>
    <row r="1327" hidden="1">
      <c r="A1327" s="241"/>
      <c r="B1327" s="241"/>
      <c r="C1327" s="241"/>
      <c r="D1327" s="241"/>
      <c r="E1327" s="241"/>
      <c r="F1327" s="241"/>
      <c r="G1327" s="241"/>
      <c r="H1327" s="241"/>
      <c r="I1327" s="241"/>
      <c r="J1327" s="241"/>
      <c r="K1327" s="241"/>
      <c r="L1327" s="242"/>
      <c r="M1327" s="241"/>
      <c r="N1327" s="241"/>
      <c r="O1327" s="241"/>
      <c r="P1327" s="241"/>
      <c r="Q1327" s="241"/>
      <c r="R1327" s="241"/>
      <c r="S1327" s="241"/>
      <c r="T1327" s="241"/>
      <c r="U1327" s="241"/>
      <c r="V1327" s="241"/>
      <c r="W1327" s="241"/>
      <c r="X1327" s="242"/>
      <c r="Y1327" s="241"/>
      <c r="Z1327" s="241"/>
      <c r="AA1327" s="241"/>
      <c r="AB1327" s="241"/>
      <c r="AC1327" s="241"/>
      <c r="AD1327" s="241"/>
      <c r="AE1327" s="241"/>
      <c r="AF1327" s="241"/>
      <c r="AG1327" s="241"/>
      <c r="AH1327" s="241"/>
      <c r="AI1327" s="241"/>
      <c r="AJ1327" s="242"/>
    </row>
    <row r="1328" hidden="1">
      <c r="A1328" s="241"/>
      <c r="B1328" s="241"/>
      <c r="C1328" s="241"/>
      <c r="D1328" s="241"/>
      <c r="E1328" s="241"/>
      <c r="F1328" s="241"/>
      <c r="G1328" s="241"/>
      <c r="H1328" s="241"/>
      <c r="I1328" s="241"/>
      <c r="J1328" s="241"/>
      <c r="K1328" s="241"/>
      <c r="L1328" s="242"/>
      <c r="M1328" s="241"/>
      <c r="N1328" s="241"/>
      <c r="O1328" s="241"/>
      <c r="P1328" s="241"/>
      <c r="Q1328" s="241"/>
      <c r="R1328" s="241"/>
      <c r="S1328" s="241"/>
      <c r="T1328" s="241"/>
      <c r="U1328" s="241"/>
      <c r="V1328" s="241"/>
      <c r="W1328" s="241"/>
      <c r="X1328" s="242"/>
      <c r="Y1328" s="241"/>
      <c r="Z1328" s="241"/>
      <c r="AA1328" s="241"/>
      <c r="AB1328" s="241"/>
      <c r="AC1328" s="241"/>
      <c r="AD1328" s="241"/>
      <c r="AE1328" s="241"/>
      <c r="AF1328" s="241"/>
      <c r="AG1328" s="241"/>
      <c r="AH1328" s="241"/>
      <c r="AI1328" s="241"/>
      <c r="AJ1328" s="242"/>
    </row>
    <row r="1329" hidden="1">
      <c r="A1329" s="241"/>
      <c r="B1329" s="241"/>
      <c r="C1329" s="241"/>
      <c r="D1329" s="241"/>
      <c r="E1329" s="241"/>
      <c r="F1329" s="241"/>
      <c r="G1329" s="241"/>
      <c r="H1329" s="241"/>
      <c r="I1329" s="241"/>
      <c r="J1329" s="241"/>
      <c r="K1329" s="241"/>
      <c r="L1329" s="242"/>
      <c r="M1329" s="241"/>
      <c r="N1329" s="241"/>
      <c r="O1329" s="241"/>
      <c r="P1329" s="241"/>
      <c r="Q1329" s="241"/>
      <c r="R1329" s="241"/>
      <c r="S1329" s="241"/>
      <c r="T1329" s="241"/>
      <c r="U1329" s="241"/>
      <c r="V1329" s="241"/>
      <c r="W1329" s="241"/>
      <c r="X1329" s="242"/>
      <c r="Y1329" s="241"/>
      <c r="Z1329" s="241"/>
      <c r="AA1329" s="241"/>
      <c r="AB1329" s="241"/>
      <c r="AC1329" s="241"/>
      <c r="AD1329" s="241"/>
      <c r="AE1329" s="241"/>
      <c r="AF1329" s="241"/>
      <c r="AG1329" s="241"/>
      <c r="AH1329" s="241"/>
      <c r="AI1329" s="241"/>
      <c r="AJ1329" s="242"/>
    </row>
    <row r="1330" hidden="1">
      <c r="A1330" s="241"/>
      <c r="B1330" s="241"/>
      <c r="C1330" s="241"/>
      <c r="D1330" s="241"/>
      <c r="E1330" s="241"/>
      <c r="F1330" s="241"/>
      <c r="G1330" s="241"/>
      <c r="H1330" s="241"/>
      <c r="I1330" s="241"/>
      <c r="J1330" s="241"/>
      <c r="K1330" s="241"/>
      <c r="L1330" s="242"/>
      <c r="M1330" s="241"/>
      <c r="N1330" s="241"/>
      <c r="O1330" s="241"/>
      <c r="P1330" s="241"/>
      <c r="Q1330" s="241"/>
      <c r="R1330" s="241"/>
      <c r="S1330" s="241"/>
      <c r="T1330" s="241"/>
      <c r="U1330" s="241"/>
      <c r="V1330" s="241"/>
      <c r="W1330" s="241"/>
      <c r="X1330" s="242"/>
      <c r="Y1330" s="241"/>
      <c r="Z1330" s="241"/>
      <c r="AA1330" s="241"/>
      <c r="AB1330" s="241"/>
      <c r="AC1330" s="241"/>
      <c r="AD1330" s="241"/>
      <c r="AE1330" s="241"/>
      <c r="AF1330" s="241"/>
      <c r="AG1330" s="241"/>
      <c r="AH1330" s="241"/>
      <c r="AI1330" s="241"/>
      <c r="AJ1330" s="242"/>
    </row>
    <row r="1331" hidden="1">
      <c r="A1331" s="241"/>
      <c r="B1331" s="241"/>
      <c r="C1331" s="241"/>
      <c r="D1331" s="241"/>
      <c r="E1331" s="241"/>
      <c r="F1331" s="241"/>
      <c r="G1331" s="241"/>
      <c r="H1331" s="241"/>
      <c r="I1331" s="241"/>
      <c r="J1331" s="241"/>
      <c r="K1331" s="241"/>
      <c r="L1331" s="242"/>
      <c r="M1331" s="241"/>
      <c r="N1331" s="241"/>
      <c r="O1331" s="241"/>
      <c r="P1331" s="241"/>
      <c r="Q1331" s="241"/>
      <c r="R1331" s="241"/>
      <c r="S1331" s="241"/>
      <c r="T1331" s="241"/>
      <c r="U1331" s="241"/>
      <c r="V1331" s="241"/>
      <c r="W1331" s="241"/>
      <c r="X1331" s="242"/>
      <c r="Y1331" s="241"/>
      <c r="Z1331" s="241"/>
      <c r="AA1331" s="241"/>
      <c r="AB1331" s="241"/>
      <c r="AC1331" s="241"/>
      <c r="AD1331" s="241"/>
      <c r="AE1331" s="241"/>
      <c r="AF1331" s="241"/>
      <c r="AG1331" s="241"/>
      <c r="AH1331" s="241"/>
      <c r="AI1331" s="241"/>
      <c r="AJ1331" s="242"/>
    </row>
    <row r="1332" hidden="1">
      <c r="A1332" s="241"/>
      <c r="B1332" s="241"/>
      <c r="C1332" s="241"/>
      <c r="D1332" s="241"/>
      <c r="E1332" s="241"/>
      <c r="F1332" s="241"/>
      <c r="G1332" s="241"/>
      <c r="H1332" s="241"/>
      <c r="I1332" s="241"/>
      <c r="J1332" s="241"/>
      <c r="K1332" s="241"/>
      <c r="L1332" s="242"/>
      <c r="M1332" s="241"/>
      <c r="N1332" s="241"/>
      <c r="O1332" s="241"/>
      <c r="P1332" s="241"/>
      <c r="Q1332" s="241"/>
      <c r="R1332" s="241"/>
      <c r="S1332" s="241"/>
      <c r="T1332" s="241"/>
      <c r="U1332" s="241"/>
      <c r="V1332" s="241"/>
      <c r="W1332" s="241"/>
      <c r="X1332" s="242"/>
      <c r="Y1332" s="241"/>
      <c r="Z1332" s="241"/>
      <c r="AA1332" s="241"/>
      <c r="AB1332" s="241"/>
      <c r="AC1332" s="241"/>
      <c r="AD1332" s="241"/>
      <c r="AE1332" s="241"/>
      <c r="AF1332" s="241"/>
      <c r="AG1332" s="241"/>
      <c r="AH1332" s="241"/>
      <c r="AI1332" s="241"/>
      <c r="AJ1332" s="242"/>
    </row>
    <row r="1333" hidden="1">
      <c r="A1333" s="241"/>
      <c r="B1333" s="241"/>
      <c r="C1333" s="241"/>
      <c r="D1333" s="241"/>
      <c r="E1333" s="241"/>
      <c r="F1333" s="241"/>
      <c r="G1333" s="241"/>
      <c r="H1333" s="241"/>
      <c r="I1333" s="241"/>
      <c r="J1333" s="241"/>
      <c r="K1333" s="241"/>
      <c r="L1333" s="242"/>
      <c r="M1333" s="241"/>
      <c r="N1333" s="241"/>
      <c r="O1333" s="241"/>
      <c r="P1333" s="241"/>
      <c r="Q1333" s="241"/>
      <c r="R1333" s="241"/>
      <c r="S1333" s="241"/>
      <c r="T1333" s="241"/>
      <c r="U1333" s="241"/>
      <c r="V1333" s="241"/>
      <c r="W1333" s="241"/>
      <c r="X1333" s="242"/>
      <c r="Y1333" s="241"/>
      <c r="Z1333" s="241"/>
      <c r="AA1333" s="241"/>
      <c r="AB1333" s="241"/>
      <c r="AC1333" s="241"/>
      <c r="AD1333" s="241"/>
      <c r="AE1333" s="241"/>
      <c r="AF1333" s="241"/>
      <c r="AG1333" s="241"/>
      <c r="AH1333" s="241"/>
      <c r="AI1333" s="241"/>
      <c r="AJ1333" s="242"/>
    </row>
    <row r="1334" hidden="1">
      <c r="A1334" s="241"/>
      <c r="B1334" s="241"/>
      <c r="C1334" s="241"/>
      <c r="D1334" s="241"/>
      <c r="E1334" s="241"/>
      <c r="F1334" s="241"/>
      <c r="G1334" s="241"/>
      <c r="H1334" s="241"/>
      <c r="I1334" s="241"/>
      <c r="J1334" s="241"/>
      <c r="K1334" s="241"/>
      <c r="L1334" s="242"/>
      <c r="M1334" s="241"/>
      <c r="N1334" s="241"/>
      <c r="O1334" s="241"/>
      <c r="P1334" s="241"/>
      <c r="Q1334" s="241"/>
      <c r="R1334" s="241"/>
      <c r="S1334" s="241"/>
      <c r="T1334" s="241"/>
      <c r="U1334" s="241"/>
      <c r="V1334" s="241"/>
      <c r="W1334" s="241"/>
      <c r="X1334" s="242"/>
      <c r="Y1334" s="241"/>
      <c r="Z1334" s="241"/>
      <c r="AA1334" s="241"/>
      <c r="AB1334" s="241"/>
      <c r="AC1334" s="241"/>
      <c r="AD1334" s="241"/>
      <c r="AE1334" s="241"/>
      <c r="AF1334" s="241"/>
      <c r="AG1334" s="241"/>
      <c r="AH1334" s="241"/>
      <c r="AI1334" s="241"/>
      <c r="AJ1334" s="242"/>
    </row>
    <row r="1335" hidden="1">
      <c r="A1335" s="241"/>
      <c r="B1335" s="241"/>
      <c r="C1335" s="241"/>
      <c r="D1335" s="241"/>
      <c r="E1335" s="241"/>
      <c r="F1335" s="241"/>
      <c r="G1335" s="241"/>
      <c r="H1335" s="241"/>
      <c r="I1335" s="241"/>
      <c r="J1335" s="241"/>
      <c r="K1335" s="241"/>
      <c r="L1335" s="242"/>
      <c r="M1335" s="241"/>
      <c r="N1335" s="241"/>
      <c r="O1335" s="241"/>
      <c r="P1335" s="241"/>
      <c r="Q1335" s="241"/>
      <c r="R1335" s="241"/>
      <c r="S1335" s="241"/>
      <c r="T1335" s="241"/>
      <c r="U1335" s="241"/>
      <c r="V1335" s="241"/>
      <c r="W1335" s="241"/>
      <c r="X1335" s="242"/>
      <c r="Y1335" s="241"/>
      <c r="Z1335" s="241"/>
      <c r="AA1335" s="241"/>
      <c r="AB1335" s="241"/>
      <c r="AC1335" s="241"/>
      <c r="AD1335" s="241"/>
      <c r="AE1335" s="241"/>
      <c r="AF1335" s="241"/>
      <c r="AG1335" s="241"/>
      <c r="AH1335" s="241"/>
      <c r="AI1335" s="241"/>
      <c r="AJ1335" s="242"/>
    </row>
    <row r="1336" hidden="1">
      <c r="A1336" s="241"/>
      <c r="B1336" s="241"/>
      <c r="C1336" s="241"/>
      <c r="D1336" s="241"/>
      <c r="E1336" s="241"/>
      <c r="F1336" s="241"/>
      <c r="G1336" s="241"/>
      <c r="H1336" s="241"/>
      <c r="I1336" s="241"/>
      <c r="J1336" s="241"/>
      <c r="K1336" s="241"/>
      <c r="L1336" s="242"/>
      <c r="M1336" s="241"/>
      <c r="N1336" s="241"/>
      <c r="O1336" s="241"/>
      <c r="P1336" s="241"/>
      <c r="Q1336" s="241"/>
      <c r="R1336" s="241"/>
      <c r="S1336" s="241"/>
      <c r="T1336" s="241"/>
      <c r="U1336" s="241"/>
      <c r="V1336" s="241"/>
      <c r="W1336" s="241"/>
      <c r="X1336" s="242"/>
      <c r="Y1336" s="241"/>
      <c r="Z1336" s="241"/>
      <c r="AA1336" s="241"/>
      <c r="AB1336" s="241"/>
      <c r="AC1336" s="241"/>
      <c r="AD1336" s="241"/>
      <c r="AE1336" s="241"/>
      <c r="AF1336" s="241"/>
      <c r="AG1336" s="241"/>
      <c r="AH1336" s="241"/>
      <c r="AI1336" s="241"/>
      <c r="AJ1336" s="242"/>
    </row>
    <row r="1337" hidden="1">
      <c r="A1337" s="241"/>
      <c r="B1337" s="241"/>
      <c r="C1337" s="241"/>
      <c r="D1337" s="241"/>
      <c r="E1337" s="241"/>
      <c r="F1337" s="241"/>
      <c r="G1337" s="241"/>
      <c r="H1337" s="241"/>
      <c r="I1337" s="241"/>
      <c r="J1337" s="241"/>
      <c r="K1337" s="241"/>
      <c r="L1337" s="242"/>
      <c r="M1337" s="241"/>
      <c r="N1337" s="241"/>
      <c r="O1337" s="241"/>
      <c r="P1337" s="241"/>
      <c r="Q1337" s="241"/>
      <c r="R1337" s="241"/>
      <c r="S1337" s="241"/>
      <c r="T1337" s="241"/>
      <c r="U1337" s="241"/>
      <c r="V1337" s="241"/>
      <c r="W1337" s="241"/>
      <c r="X1337" s="242"/>
      <c r="Y1337" s="241"/>
      <c r="Z1337" s="241"/>
      <c r="AA1337" s="241"/>
      <c r="AB1337" s="241"/>
      <c r="AC1337" s="241"/>
      <c r="AD1337" s="241"/>
      <c r="AE1337" s="241"/>
      <c r="AF1337" s="241"/>
      <c r="AG1337" s="241"/>
      <c r="AH1337" s="241"/>
      <c r="AI1337" s="241"/>
      <c r="AJ1337" s="242"/>
    </row>
    <row r="1338" hidden="1">
      <c r="A1338" s="241"/>
      <c r="B1338" s="241"/>
      <c r="C1338" s="241"/>
      <c r="D1338" s="241"/>
      <c r="E1338" s="241"/>
      <c r="F1338" s="241"/>
      <c r="G1338" s="241"/>
      <c r="H1338" s="241"/>
      <c r="I1338" s="241"/>
      <c r="J1338" s="241"/>
      <c r="K1338" s="241"/>
      <c r="L1338" s="242"/>
      <c r="M1338" s="241"/>
      <c r="N1338" s="241"/>
      <c r="O1338" s="241"/>
      <c r="P1338" s="241"/>
      <c r="Q1338" s="241"/>
      <c r="R1338" s="241"/>
      <c r="S1338" s="241"/>
      <c r="T1338" s="241"/>
      <c r="U1338" s="241"/>
      <c r="V1338" s="241"/>
      <c r="W1338" s="241"/>
      <c r="X1338" s="242"/>
      <c r="Y1338" s="241"/>
      <c r="Z1338" s="241"/>
      <c r="AA1338" s="241"/>
      <c r="AB1338" s="241"/>
      <c r="AC1338" s="241"/>
      <c r="AD1338" s="241"/>
      <c r="AE1338" s="241"/>
      <c r="AF1338" s="241"/>
      <c r="AG1338" s="241"/>
      <c r="AH1338" s="241"/>
      <c r="AI1338" s="241"/>
      <c r="AJ1338" s="242"/>
    </row>
    <row r="1339" hidden="1">
      <c r="A1339" s="241"/>
      <c r="B1339" s="241"/>
      <c r="C1339" s="241"/>
      <c r="D1339" s="241"/>
      <c r="E1339" s="241"/>
      <c r="F1339" s="241"/>
      <c r="G1339" s="241"/>
      <c r="H1339" s="241"/>
      <c r="I1339" s="241"/>
      <c r="J1339" s="241"/>
      <c r="K1339" s="241"/>
      <c r="L1339" s="242"/>
      <c r="M1339" s="241"/>
      <c r="N1339" s="241"/>
      <c r="O1339" s="241"/>
      <c r="P1339" s="241"/>
      <c r="Q1339" s="241"/>
      <c r="R1339" s="241"/>
      <c r="S1339" s="241"/>
      <c r="T1339" s="241"/>
      <c r="U1339" s="241"/>
      <c r="V1339" s="241"/>
      <c r="W1339" s="241"/>
      <c r="X1339" s="242"/>
      <c r="Y1339" s="241"/>
      <c r="Z1339" s="241"/>
      <c r="AA1339" s="241"/>
      <c r="AB1339" s="241"/>
      <c r="AC1339" s="241"/>
      <c r="AD1339" s="241"/>
      <c r="AE1339" s="241"/>
      <c r="AF1339" s="241"/>
      <c r="AG1339" s="241"/>
      <c r="AH1339" s="241"/>
      <c r="AI1339" s="241"/>
      <c r="AJ1339" s="242"/>
    </row>
    <row r="1340" hidden="1">
      <c r="A1340" s="241"/>
      <c r="B1340" s="241"/>
      <c r="C1340" s="241"/>
      <c r="D1340" s="241"/>
      <c r="E1340" s="241"/>
      <c r="F1340" s="241"/>
      <c r="G1340" s="241"/>
      <c r="H1340" s="241"/>
      <c r="I1340" s="241"/>
      <c r="J1340" s="241"/>
      <c r="K1340" s="241"/>
      <c r="L1340" s="242"/>
      <c r="M1340" s="241"/>
      <c r="N1340" s="241"/>
      <c r="O1340" s="241"/>
      <c r="P1340" s="241"/>
      <c r="Q1340" s="241"/>
      <c r="R1340" s="241"/>
      <c r="S1340" s="241"/>
      <c r="T1340" s="241"/>
      <c r="U1340" s="241"/>
      <c r="V1340" s="241"/>
      <c r="W1340" s="241"/>
      <c r="X1340" s="242"/>
      <c r="Y1340" s="241"/>
      <c r="Z1340" s="241"/>
      <c r="AA1340" s="241"/>
      <c r="AB1340" s="241"/>
      <c r="AC1340" s="241"/>
      <c r="AD1340" s="241"/>
      <c r="AE1340" s="241"/>
      <c r="AF1340" s="241"/>
      <c r="AG1340" s="241"/>
      <c r="AH1340" s="241"/>
      <c r="AI1340" s="241"/>
      <c r="AJ1340" s="242"/>
    </row>
    <row r="1341" hidden="1">
      <c r="A1341" s="241"/>
      <c r="B1341" s="241"/>
      <c r="C1341" s="241"/>
      <c r="D1341" s="241"/>
      <c r="E1341" s="241"/>
      <c r="F1341" s="241"/>
      <c r="G1341" s="241"/>
      <c r="H1341" s="241"/>
      <c r="I1341" s="241"/>
      <c r="J1341" s="241"/>
      <c r="K1341" s="241"/>
      <c r="L1341" s="242"/>
      <c r="M1341" s="241"/>
      <c r="N1341" s="241"/>
      <c r="O1341" s="241"/>
      <c r="P1341" s="241"/>
      <c r="Q1341" s="241"/>
      <c r="R1341" s="241"/>
      <c r="S1341" s="241"/>
      <c r="T1341" s="241"/>
      <c r="U1341" s="241"/>
      <c r="V1341" s="241"/>
      <c r="W1341" s="241"/>
      <c r="X1341" s="242"/>
      <c r="Y1341" s="241"/>
      <c r="Z1341" s="241"/>
      <c r="AA1341" s="241"/>
      <c r="AB1341" s="241"/>
      <c r="AC1341" s="241"/>
      <c r="AD1341" s="241"/>
      <c r="AE1341" s="241"/>
      <c r="AF1341" s="241"/>
      <c r="AG1341" s="241"/>
      <c r="AH1341" s="241"/>
      <c r="AI1341" s="241"/>
      <c r="AJ1341" s="242"/>
    </row>
    <row r="1342" hidden="1">
      <c r="A1342" s="241"/>
      <c r="B1342" s="241"/>
      <c r="C1342" s="241"/>
      <c r="D1342" s="241"/>
      <c r="E1342" s="241"/>
      <c r="F1342" s="241"/>
      <c r="G1342" s="241"/>
      <c r="H1342" s="241"/>
      <c r="I1342" s="241"/>
      <c r="J1342" s="241"/>
      <c r="K1342" s="241"/>
      <c r="L1342" s="242"/>
      <c r="M1342" s="241"/>
      <c r="N1342" s="241"/>
      <c r="O1342" s="241"/>
      <c r="P1342" s="241"/>
      <c r="Q1342" s="241"/>
      <c r="R1342" s="241"/>
      <c r="S1342" s="241"/>
      <c r="T1342" s="241"/>
      <c r="U1342" s="241"/>
      <c r="V1342" s="241"/>
      <c r="W1342" s="241"/>
      <c r="X1342" s="242"/>
      <c r="Y1342" s="241"/>
      <c r="Z1342" s="241"/>
      <c r="AA1342" s="241"/>
      <c r="AB1342" s="241"/>
      <c r="AC1342" s="241"/>
      <c r="AD1342" s="241"/>
      <c r="AE1342" s="241"/>
      <c r="AF1342" s="241"/>
      <c r="AG1342" s="241"/>
      <c r="AH1342" s="241"/>
      <c r="AI1342" s="241"/>
      <c r="AJ1342" s="242"/>
    </row>
    <row r="1343" hidden="1">
      <c r="A1343" s="241"/>
      <c r="B1343" s="241"/>
      <c r="C1343" s="241"/>
      <c r="D1343" s="241"/>
      <c r="E1343" s="241"/>
      <c r="F1343" s="241"/>
      <c r="G1343" s="241"/>
      <c r="H1343" s="241"/>
      <c r="I1343" s="241"/>
      <c r="J1343" s="241"/>
      <c r="K1343" s="241"/>
      <c r="L1343" s="242"/>
      <c r="M1343" s="241"/>
      <c r="N1343" s="241"/>
      <c r="O1343" s="241"/>
      <c r="P1343" s="241"/>
      <c r="Q1343" s="241"/>
      <c r="R1343" s="241"/>
      <c r="S1343" s="241"/>
      <c r="T1343" s="241"/>
      <c r="U1343" s="241"/>
      <c r="V1343" s="241"/>
      <c r="W1343" s="241"/>
      <c r="X1343" s="242"/>
      <c r="Y1343" s="241"/>
      <c r="Z1343" s="241"/>
      <c r="AA1343" s="241"/>
      <c r="AB1343" s="241"/>
      <c r="AC1343" s="241"/>
      <c r="AD1343" s="241"/>
      <c r="AE1343" s="241"/>
      <c r="AF1343" s="241"/>
      <c r="AG1343" s="241"/>
      <c r="AH1343" s="241"/>
      <c r="AI1343" s="241"/>
      <c r="AJ1343" s="242"/>
    </row>
    <row r="1344" hidden="1">
      <c r="A1344" s="241"/>
      <c r="B1344" s="241"/>
      <c r="C1344" s="241"/>
      <c r="D1344" s="241"/>
      <c r="E1344" s="241"/>
      <c r="F1344" s="241"/>
      <c r="G1344" s="241"/>
      <c r="H1344" s="241"/>
      <c r="I1344" s="241"/>
      <c r="J1344" s="241"/>
      <c r="K1344" s="241"/>
      <c r="L1344" s="242"/>
      <c r="M1344" s="241"/>
      <c r="N1344" s="241"/>
      <c r="O1344" s="241"/>
      <c r="P1344" s="241"/>
      <c r="Q1344" s="241"/>
      <c r="R1344" s="241"/>
      <c r="S1344" s="241"/>
      <c r="T1344" s="241"/>
      <c r="U1344" s="241"/>
      <c r="V1344" s="241"/>
      <c r="W1344" s="241"/>
      <c r="X1344" s="242"/>
      <c r="Y1344" s="241"/>
      <c r="Z1344" s="241"/>
      <c r="AA1344" s="241"/>
      <c r="AB1344" s="241"/>
      <c r="AC1344" s="241"/>
      <c r="AD1344" s="241"/>
      <c r="AE1344" s="241"/>
      <c r="AF1344" s="241"/>
      <c r="AG1344" s="241"/>
      <c r="AH1344" s="241"/>
      <c r="AI1344" s="241"/>
      <c r="AJ1344" s="242"/>
    </row>
    <row r="1345" hidden="1">
      <c r="A1345" s="241"/>
      <c r="B1345" s="241"/>
      <c r="C1345" s="241"/>
      <c r="D1345" s="241"/>
      <c r="E1345" s="241"/>
      <c r="F1345" s="241"/>
      <c r="G1345" s="241"/>
      <c r="H1345" s="241"/>
      <c r="I1345" s="241"/>
      <c r="J1345" s="241"/>
      <c r="K1345" s="241"/>
      <c r="L1345" s="242"/>
      <c r="M1345" s="241"/>
      <c r="N1345" s="241"/>
      <c r="O1345" s="241"/>
      <c r="P1345" s="241"/>
      <c r="Q1345" s="241"/>
      <c r="R1345" s="241"/>
      <c r="S1345" s="241"/>
      <c r="T1345" s="241"/>
      <c r="U1345" s="241"/>
      <c r="V1345" s="241"/>
      <c r="W1345" s="241"/>
      <c r="X1345" s="242"/>
      <c r="Y1345" s="241"/>
      <c r="Z1345" s="241"/>
      <c r="AA1345" s="241"/>
      <c r="AB1345" s="241"/>
      <c r="AC1345" s="241"/>
      <c r="AD1345" s="241"/>
      <c r="AE1345" s="241"/>
      <c r="AF1345" s="241"/>
      <c r="AG1345" s="241"/>
      <c r="AH1345" s="241"/>
      <c r="AI1345" s="241"/>
      <c r="AJ1345" s="242"/>
    </row>
    <row r="1346" hidden="1">
      <c r="A1346" s="241"/>
      <c r="B1346" s="241"/>
      <c r="C1346" s="241"/>
      <c r="D1346" s="241"/>
      <c r="E1346" s="241"/>
      <c r="F1346" s="241"/>
      <c r="G1346" s="241"/>
      <c r="H1346" s="241"/>
      <c r="I1346" s="241"/>
      <c r="J1346" s="241"/>
      <c r="K1346" s="241"/>
      <c r="L1346" s="242"/>
      <c r="M1346" s="241"/>
      <c r="N1346" s="241"/>
      <c r="O1346" s="241"/>
      <c r="P1346" s="241"/>
      <c r="Q1346" s="241"/>
      <c r="R1346" s="241"/>
      <c r="S1346" s="241"/>
      <c r="T1346" s="241"/>
      <c r="U1346" s="241"/>
      <c r="V1346" s="241"/>
      <c r="W1346" s="241"/>
      <c r="X1346" s="242"/>
      <c r="Y1346" s="241"/>
      <c r="Z1346" s="241"/>
      <c r="AA1346" s="241"/>
      <c r="AB1346" s="241"/>
      <c r="AC1346" s="241"/>
      <c r="AD1346" s="241"/>
      <c r="AE1346" s="241"/>
      <c r="AF1346" s="241"/>
      <c r="AG1346" s="241"/>
      <c r="AH1346" s="241"/>
      <c r="AI1346" s="241"/>
      <c r="AJ1346" s="242"/>
    </row>
    <row r="1347" hidden="1">
      <c r="A1347" s="241"/>
      <c r="B1347" s="241"/>
      <c r="C1347" s="241"/>
      <c r="D1347" s="241"/>
      <c r="E1347" s="241"/>
      <c r="F1347" s="241"/>
      <c r="G1347" s="241"/>
      <c r="H1347" s="241"/>
      <c r="I1347" s="241"/>
      <c r="J1347" s="241"/>
      <c r="K1347" s="241"/>
      <c r="L1347" s="242"/>
      <c r="M1347" s="241"/>
      <c r="N1347" s="241"/>
      <c r="O1347" s="241"/>
      <c r="P1347" s="241"/>
      <c r="Q1347" s="241"/>
      <c r="R1347" s="241"/>
      <c r="S1347" s="241"/>
      <c r="T1347" s="241"/>
      <c r="U1347" s="241"/>
      <c r="V1347" s="241"/>
      <c r="W1347" s="241"/>
      <c r="X1347" s="242"/>
      <c r="Y1347" s="241"/>
      <c r="Z1347" s="241"/>
      <c r="AA1347" s="241"/>
      <c r="AB1347" s="241"/>
      <c r="AC1347" s="241"/>
      <c r="AD1347" s="241"/>
      <c r="AE1347" s="241"/>
      <c r="AF1347" s="241"/>
      <c r="AG1347" s="241"/>
      <c r="AH1347" s="241"/>
      <c r="AI1347" s="241"/>
      <c r="AJ1347" s="242"/>
    </row>
    <row r="1348" hidden="1">
      <c r="A1348" s="241"/>
      <c r="B1348" s="241"/>
      <c r="C1348" s="241"/>
      <c r="D1348" s="241"/>
      <c r="E1348" s="241"/>
      <c r="F1348" s="241"/>
      <c r="G1348" s="241"/>
      <c r="H1348" s="241"/>
      <c r="I1348" s="241"/>
      <c r="J1348" s="241"/>
      <c r="K1348" s="241"/>
      <c r="L1348" s="242"/>
      <c r="M1348" s="241"/>
      <c r="N1348" s="241"/>
      <c r="O1348" s="241"/>
      <c r="P1348" s="241"/>
      <c r="Q1348" s="241"/>
      <c r="R1348" s="241"/>
      <c r="S1348" s="241"/>
      <c r="T1348" s="241"/>
      <c r="U1348" s="241"/>
      <c r="V1348" s="241"/>
      <c r="W1348" s="241"/>
      <c r="X1348" s="242"/>
      <c r="Y1348" s="241"/>
      <c r="Z1348" s="241"/>
      <c r="AA1348" s="241"/>
      <c r="AB1348" s="241"/>
      <c r="AC1348" s="241"/>
      <c r="AD1348" s="241"/>
      <c r="AE1348" s="241"/>
      <c r="AF1348" s="241"/>
      <c r="AG1348" s="241"/>
      <c r="AH1348" s="241"/>
      <c r="AI1348" s="241"/>
      <c r="AJ1348" s="242"/>
    </row>
    <row r="1349" hidden="1">
      <c r="A1349" s="241"/>
      <c r="B1349" s="241"/>
      <c r="C1349" s="241"/>
      <c r="D1349" s="241"/>
      <c r="E1349" s="241"/>
      <c r="F1349" s="241"/>
      <c r="G1349" s="241"/>
      <c r="H1349" s="241"/>
      <c r="I1349" s="241"/>
      <c r="J1349" s="241"/>
      <c r="K1349" s="241"/>
      <c r="L1349" s="242"/>
      <c r="M1349" s="241"/>
      <c r="N1349" s="241"/>
      <c r="O1349" s="241"/>
      <c r="P1349" s="241"/>
      <c r="Q1349" s="241"/>
      <c r="R1349" s="241"/>
      <c r="S1349" s="241"/>
      <c r="T1349" s="241"/>
      <c r="U1349" s="241"/>
      <c r="V1349" s="241"/>
      <c r="W1349" s="241"/>
      <c r="X1349" s="242"/>
      <c r="Y1349" s="241"/>
      <c r="Z1349" s="241"/>
      <c r="AA1349" s="241"/>
      <c r="AB1349" s="241"/>
      <c r="AC1349" s="241"/>
      <c r="AD1349" s="241"/>
      <c r="AE1349" s="241"/>
      <c r="AF1349" s="241"/>
      <c r="AG1349" s="241"/>
      <c r="AH1349" s="241"/>
      <c r="AI1349" s="241"/>
      <c r="AJ1349" s="242"/>
    </row>
    <row r="1350" hidden="1">
      <c r="A1350" s="241"/>
      <c r="B1350" s="241"/>
      <c r="C1350" s="241"/>
      <c r="D1350" s="241"/>
      <c r="E1350" s="241"/>
      <c r="F1350" s="241"/>
      <c r="G1350" s="241"/>
      <c r="H1350" s="241"/>
      <c r="I1350" s="241"/>
      <c r="J1350" s="241"/>
      <c r="K1350" s="241"/>
      <c r="L1350" s="242"/>
      <c r="M1350" s="241"/>
      <c r="N1350" s="241"/>
      <c r="O1350" s="241"/>
      <c r="P1350" s="241"/>
      <c r="Q1350" s="241"/>
      <c r="R1350" s="241"/>
      <c r="S1350" s="241"/>
      <c r="T1350" s="241"/>
      <c r="U1350" s="241"/>
      <c r="V1350" s="241"/>
      <c r="W1350" s="241"/>
      <c r="X1350" s="242"/>
      <c r="Y1350" s="241"/>
      <c r="Z1350" s="241"/>
      <c r="AA1350" s="241"/>
      <c r="AB1350" s="241"/>
      <c r="AC1350" s="241"/>
      <c r="AD1350" s="241"/>
      <c r="AE1350" s="241"/>
      <c r="AF1350" s="241"/>
      <c r="AG1350" s="241"/>
      <c r="AH1350" s="241"/>
      <c r="AI1350" s="241"/>
      <c r="AJ1350" s="242"/>
    </row>
    <row r="1351" hidden="1">
      <c r="A1351" s="241"/>
      <c r="B1351" s="241"/>
      <c r="C1351" s="241"/>
      <c r="D1351" s="241"/>
      <c r="E1351" s="241"/>
      <c r="F1351" s="241"/>
      <c r="G1351" s="241"/>
      <c r="H1351" s="241"/>
      <c r="I1351" s="241"/>
      <c r="J1351" s="241"/>
      <c r="K1351" s="241"/>
      <c r="L1351" s="242"/>
      <c r="M1351" s="241"/>
      <c r="N1351" s="241"/>
      <c r="O1351" s="241"/>
      <c r="P1351" s="241"/>
      <c r="Q1351" s="241"/>
      <c r="R1351" s="241"/>
      <c r="S1351" s="241"/>
      <c r="T1351" s="241"/>
      <c r="U1351" s="241"/>
      <c r="V1351" s="241"/>
      <c r="W1351" s="241"/>
      <c r="X1351" s="242"/>
      <c r="Y1351" s="241"/>
      <c r="Z1351" s="241"/>
      <c r="AA1351" s="241"/>
      <c r="AB1351" s="241"/>
      <c r="AC1351" s="241"/>
      <c r="AD1351" s="241"/>
      <c r="AE1351" s="241"/>
      <c r="AF1351" s="241"/>
      <c r="AG1351" s="241"/>
      <c r="AH1351" s="241"/>
      <c r="AI1351" s="241"/>
      <c r="AJ1351" s="242"/>
    </row>
    <row r="1352" hidden="1">
      <c r="A1352" s="241"/>
      <c r="B1352" s="241"/>
      <c r="C1352" s="241"/>
      <c r="D1352" s="241"/>
      <c r="E1352" s="241"/>
      <c r="F1352" s="241"/>
      <c r="G1352" s="241"/>
      <c r="H1352" s="241"/>
      <c r="I1352" s="241"/>
      <c r="J1352" s="241"/>
      <c r="K1352" s="241"/>
      <c r="L1352" s="242"/>
      <c r="M1352" s="241"/>
      <c r="N1352" s="241"/>
      <c r="O1352" s="241"/>
      <c r="P1352" s="241"/>
      <c r="Q1352" s="241"/>
      <c r="R1352" s="241"/>
      <c r="S1352" s="241"/>
      <c r="T1352" s="241"/>
      <c r="U1352" s="241"/>
      <c r="V1352" s="241"/>
      <c r="W1352" s="241"/>
      <c r="X1352" s="242"/>
      <c r="Y1352" s="241"/>
      <c r="Z1352" s="241"/>
      <c r="AA1352" s="241"/>
      <c r="AB1352" s="241"/>
      <c r="AC1352" s="241"/>
      <c r="AD1352" s="241"/>
      <c r="AE1352" s="241"/>
      <c r="AF1352" s="241"/>
      <c r="AG1352" s="241"/>
      <c r="AH1352" s="241"/>
      <c r="AI1352" s="241"/>
      <c r="AJ1352" s="242"/>
    </row>
    <row r="1353" hidden="1">
      <c r="A1353" s="241"/>
      <c r="B1353" s="241"/>
      <c r="C1353" s="241"/>
      <c r="D1353" s="241"/>
      <c r="E1353" s="241"/>
      <c r="F1353" s="241"/>
      <c r="G1353" s="241"/>
      <c r="H1353" s="241"/>
      <c r="I1353" s="241"/>
      <c r="J1353" s="241"/>
      <c r="K1353" s="241"/>
      <c r="L1353" s="242"/>
      <c r="M1353" s="241"/>
      <c r="N1353" s="241"/>
      <c r="O1353" s="241"/>
      <c r="P1353" s="241"/>
      <c r="Q1353" s="241"/>
      <c r="R1353" s="241"/>
      <c r="S1353" s="241"/>
      <c r="T1353" s="241"/>
      <c r="U1353" s="241"/>
      <c r="V1353" s="241"/>
      <c r="W1353" s="241"/>
      <c r="X1353" s="242"/>
      <c r="Y1353" s="241"/>
      <c r="Z1353" s="241"/>
      <c r="AA1353" s="241"/>
      <c r="AB1353" s="241"/>
      <c r="AC1353" s="241"/>
      <c r="AD1353" s="241"/>
      <c r="AE1353" s="241"/>
      <c r="AF1353" s="241"/>
      <c r="AG1353" s="241"/>
      <c r="AH1353" s="241"/>
      <c r="AI1353" s="241"/>
      <c r="AJ1353" s="242"/>
    </row>
    <row r="1354" hidden="1">
      <c r="A1354" s="241"/>
      <c r="B1354" s="241"/>
      <c r="C1354" s="241"/>
      <c r="D1354" s="241"/>
      <c r="E1354" s="241"/>
      <c r="F1354" s="241"/>
      <c r="G1354" s="241"/>
      <c r="H1354" s="241"/>
      <c r="I1354" s="241"/>
      <c r="J1354" s="241"/>
      <c r="K1354" s="241"/>
      <c r="L1354" s="242"/>
      <c r="M1354" s="241"/>
      <c r="N1354" s="241"/>
      <c r="O1354" s="241"/>
      <c r="P1354" s="241"/>
      <c r="Q1354" s="241"/>
      <c r="R1354" s="241"/>
      <c r="S1354" s="241"/>
      <c r="T1354" s="241"/>
      <c r="U1354" s="241"/>
      <c r="V1354" s="241"/>
      <c r="W1354" s="241"/>
      <c r="X1354" s="242"/>
      <c r="Y1354" s="241"/>
      <c r="Z1354" s="241"/>
      <c r="AA1354" s="241"/>
      <c r="AB1354" s="241"/>
      <c r="AC1354" s="241"/>
      <c r="AD1354" s="241"/>
      <c r="AE1354" s="241"/>
      <c r="AF1354" s="241"/>
      <c r="AG1354" s="241"/>
      <c r="AH1354" s="241"/>
      <c r="AI1354" s="241"/>
      <c r="AJ1354" s="242"/>
    </row>
    <row r="1355" hidden="1">
      <c r="A1355" s="241"/>
      <c r="B1355" s="241"/>
      <c r="C1355" s="241"/>
      <c r="D1355" s="241"/>
      <c r="E1355" s="241"/>
      <c r="F1355" s="241"/>
      <c r="G1355" s="241"/>
      <c r="H1355" s="241"/>
      <c r="I1355" s="241"/>
      <c r="J1355" s="241"/>
      <c r="K1355" s="241"/>
      <c r="L1355" s="242"/>
      <c r="M1355" s="241"/>
      <c r="N1355" s="241"/>
      <c r="O1355" s="241"/>
      <c r="P1355" s="241"/>
      <c r="Q1355" s="241"/>
      <c r="R1355" s="241"/>
      <c r="S1355" s="241"/>
      <c r="T1355" s="241"/>
      <c r="U1355" s="241"/>
      <c r="V1355" s="241"/>
      <c r="W1355" s="241"/>
      <c r="X1355" s="242"/>
      <c r="Y1355" s="241"/>
      <c r="Z1355" s="241"/>
      <c r="AA1355" s="241"/>
      <c r="AB1355" s="241"/>
      <c r="AC1355" s="241"/>
      <c r="AD1355" s="241"/>
      <c r="AE1355" s="241"/>
      <c r="AF1355" s="241"/>
      <c r="AG1355" s="241"/>
      <c r="AH1355" s="241"/>
      <c r="AI1355" s="241"/>
      <c r="AJ1355" s="242"/>
    </row>
    <row r="1356" hidden="1">
      <c r="A1356" s="241"/>
      <c r="B1356" s="241"/>
      <c r="C1356" s="241"/>
      <c r="D1356" s="241"/>
      <c r="E1356" s="241"/>
      <c r="F1356" s="241"/>
      <c r="G1356" s="241"/>
      <c r="H1356" s="241"/>
      <c r="I1356" s="241"/>
      <c r="J1356" s="241"/>
      <c r="K1356" s="241"/>
      <c r="L1356" s="242"/>
      <c r="M1356" s="241"/>
      <c r="N1356" s="241"/>
      <c r="O1356" s="241"/>
      <c r="P1356" s="241"/>
      <c r="Q1356" s="241"/>
      <c r="R1356" s="241"/>
      <c r="S1356" s="241"/>
      <c r="T1356" s="241"/>
      <c r="U1356" s="241"/>
      <c r="V1356" s="241"/>
      <c r="W1356" s="241"/>
      <c r="X1356" s="242"/>
      <c r="Y1356" s="241"/>
      <c r="Z1356" s="241"/>
      <c r="AA1356" s="241"/>
      <c r="AB1356" s="241"/>
      <c r="AC1356" s="241"/>
      <c r="AD1356" s="241"/>
      <c r="AE1356" s="241"/>
      <c r="AF1356" s="241"/>
      <c r="AG1356" s="241"/>
      <c r="AH1356" s="241"/>
      <c r="AI1356" s="241"/>
      <c r="AJ1356" s="242"/>
    </row>
    <row r="1357" hidden="1">
      <c r="A1357" s="241"/>
      <c r="B1357" s="241"/>
      <c r="C1357" s="241"/>
      <c r="D1357" s="241"/>
      <c r="E1357" s="241"/>
      <c r="F1357" s="241"/>
      <c r="G1357" s="241"/>
      <c r="H1357" s="241"/>
      <c r="I1357" s="241"/>
      <c r="J1357" s="241"/>
      <c r="K1357" s="241"/>
      <c r="L1357" s="242"/>
      <c r="M1357" s="241"/>
      <c r="N1357" s="241"/>
      <c r="O1357" s="241"/>
      <c r="P1357" s="241"/>
      <c r="Q1357" s="241"/>
      <c r="R1357" s="241"/>
      <c r="S1357" s="241"/>
      <c r="T1357" s="241"/>
      <c r="U1357" s="241"/>
      <c r="V1357" s="241"/>
      <c r="W1357" s="241"/>
      <c r="X1357" s="242"/>
      <c r="Y1357" s="241"/>
      <c r="Z1357" s="241"/>
      <c r="AA1357" s="241"/>
      <c r="AB1357" s="241"/>
      <c r="AC1357" s="241"/>
      <c r="AD1357" s="241"/>
      <c r="AE1357" s="241"/>
      <c r="AF1357" s="241"/>
      <c r="AG1357" s="241"/>
      <c r="AH1357" s="241"/>
      <c r="AI1357" s="241"/>
      <c r="AJ1357" s="242"/>
    </row>
    <row r="1358" hidden="1">
      <c r="A1358" s="241"/>
      <c r="B1358" s="241"/>
      <c r="C1358" s="241"/>
      <c r="D1358" s="241"/>
      <c r="E1358" s="241"/>
      <c r="F1358" s="241"/>
      <c r="G1358" s="241"/>
      <c r="H1358" s="241"/>
      <c r="I1358" s="241"/>
      <c r="J1358" s="241"/>
      <c r="K1358" s="241"/>
      <c r="L1358" s="242"/>
      <c r="M1358" s="241"/>
      <c r="N1358" s="241"/>
      <c r="O1358" s="241"/>
      <c r="P1358" s="241"/>
      <c r="Q1358" s="241"/>
      <c r="R1358" s="241"/>
      <c r="S1358" s="241"/>
      <c r="T1358" s="241"/>
      <c r="U1358" s="241"/>
      <c r="V1358" s="241"/>
      <c r="W1358" s="241"/>
      <c r="X1358" s="242"/>
      <c r="Y1358" s="241"/>
      <c r="Z1358" s="241"/>
      <c r="AA1358" s="241"/>
      <c r="AB1358" s="241"/>
      <c r="AC1358" s="241"/>
      <c r="AD1358" s="241"/>
      <c r="AE1358" s="241"/>
      <c r="AF1358" s="241"/>
      <c r="AG1358" s="241"/>
      <c r="AH1358" s="241"/>
      <c r="AI1358" s="241"/>
      <c r="AJ1358" s="242"/>
    </row>
    <row r="1359" hidden="1">
      <c r="A1359" s="241"/>
      <c r="B1359" s="241"/>
      <c r="C1359" s="241"/>
      <c r="D1359" s="241"/>
      <c r="E1359" s="241"/>
      <c r="F1359" s="241"/>
      <c r="G1359" s="241"/>
      <c r="H1359" s="241"/>
      <c r="I1359" s="241"/>
      <c r="J1359" s="241"/>
      <c r="K1359" s="241"/>
      <c r="L1359" s="242"/>
      <c r="M1359" s="241"/>
      <c r="N1359" s="241"/>
      <c r="O1359" s="241"/>
      <c r="P1359" s="241"/>
      <c r="Q1359" s="241"/>
      <c r="R1359" s="241"/>
      <c r="S1359" s="241"/>
      <c r="T1359" s="241"/>
      <c r="U1359" s="241"/>
      <c r="V1359" s="241"/>
      <c r="W1359" s="241"/>
      <c r="X1359" s="242"/>
      <c r="Y1359" s="241"/>
      <c r="Z1359" s="241"/>
      <c r="AA1359" s="241"/>
      <c r="AB1359" s="241"/>
      <c r="AC1359" s="241"/>
      <c r="AD1359" s="241"/>
      <c r="AE1359" s="241"/>
      <c r="AF1359" s="241"/>
      <c r="AG1359" s="241"/>
      <c r="AH1359" s="241"/>
      <c r="AI1359" s="241"/>
      <c r="AJ1359" s="242"/>
    </row>
    <row r="1360" hidden="1">
      <c r="A1360" s="241"/>
      <c r="B1360" s="241"/>
      <c r="C1360" s="241"/>
      <c r="D1360" s="241"/>
      <c r="E1360" s="241"/>
      <c r="F1360" s="241"/>
      <c r="G1360" s="241"/>
      <c r="H1360" s="241"/>
      <c r="I1360" s="241"/>
      <c r="J1360" s="241"/>
      <c r="K1360" s="241"/>
      <c r="L1360" s="242"/>
      <c r="M1360" s="241"/>
      <c r="N1360" s="241"/>
      <c r="O1360" s="241"/>
      <c r="P1360" s="241"/>
      <c r="Q1360" s="241"/>
      <c r="R1360" s="241"/>
      <c r="S1360" s="241"/>
      <c r="T1360" s="241"/>
      <c r="U1360" s="241"/>
      <c r="V1360" s="241"/>
      <c r="W1360" s="241"/>
      <c r="X1360" s="242"/>
      <c r="Y1360" s="241"/>
      <c r="Z1360" s="241"/>
      <c r="AA1360" s="241"/>
      <c r="AB1360" s="241"/>
      <c r="AC1360" s="241"/>
      <c r="AD1360" s="241"/>
      <c r="AE1360" s="241"/>
      <c r="AF1360" s="241"/>
      <c r="AG1360" s="241"/>
      <c r="AH1360" s="241"/>
      <c r="AI1360" s="241"/>
      <c r="AJ1360" s="242"/>
    </row>
    <row r="1361" hidden="1">
      <c r="A1361" s="241"/>
      <c r="B1361" s="241"/>
      <c r="C1361" s="241"/>
      <c r="D1361" s="241"/>
      <c r="E1361" s="241"/>
      <c r="F1361" s="241"/>
      <c r="G1361" s="241"/>
      <c r="H1361" s="241"/>
      <c r="I1361" s="241"/>
      <c r="J1361" s="241"/>
      <c r="K1361" s="241"/>
      <c r="L1361" s="242"/>
      <c r="M1361" s="241"/>
      <c r="N1361" s="241"/>
      <c r="O1361" s="241"/>
      <c r="P1361" s="241"/>
      <c r="Q1361" s="241"/>
      <c r="R1361" s="241"/>
      <c r="S1361" s="241"/>
      <c r="T1361" s="241"/>
      <c r="U1361" s="241"/>
      <c r="V1361" s="241"/>
      <c r="W1361" s="241"/>
      <c r="X1361" s="242"/>
      <c r="Y1361" s="241"/>
      <c r="Z1361" s="241"/>
      <c r="AA1361" s="241"/>
      <c r="AB1361" s="241"/>
      <c r="AC1361" s="241"/>
      <c r="AD1361" s="241"/>
      <c r="AE1361" s="241"/>
      <c r="AF1361" s="241"/>
      <c r="AG1361" s="241"/>
      <c r="AH1361" s="241"/>
      <c r="AI1361" s="241"/>
      <c r="AJ1361" s="242"/>
    </row>
    <row r="1362" hidden="1">
      <c r="A1362" s="241"/>
      <c r="B1362" s="241"/>
      <c r="C1362" s="241"/>
      <c r="D1362" s="241"/>
      <c r="E1362" s="241"/>
      <c r="F1362" s="241"/>
      <c r="G1362" s="241"/>
      <c r="H1362" s="241"/>
      <c r="I1362" s="241"/>
      <c r="J1362" s="241"/>
      <c r="K1362" s="241"/>
      <c r="L1362" s="242"/>
      <c r="M1362" s="241"/>
      <c r="N1362" s="241"/>
      <c r="O1362" s="241"/>
      <c r="P1362" s="241"/>
      <c r="Q1362" s="241"/>
      <c r="R1362" s="241"/>
      <c r="S1362" s="241"/>
      <c r="T1362" s="241"/>
      <c r="U1362" s="241"/>
      <c r="V1362" s="241"/>
      <c r="W1362" s="241"/>
      <c r="X1362" s="242"/>
      <c r="Y1362" s="241"/>
      <c r="Z1362" s="241"/>
      <c r="AA1362" s="241"/>
      <c r="AB1362" s="241"/>
      <c r="AC1362" s="241"/>
      <c r="AD1362" s="241"/>
      <c r="AE1362" s="241"/>
      <c r="AF1362" s="241"/>
      <c r="AG1362" s="241"/>
      <c r="AH1362" s="241"/>
      <c r="AI1362" s="241"/>
      <c r="AJ1362" s="242"/>
    </row>
    <row r="1363" hidden="1">
      <c r="A1363" s="241"/>
      <c r="B1363" s="241"/>
      <c r="C1363" s="241"/>
      <c r="D1363" s="241"/>
      <c r="E1363" s="241"/>
      <c r="F1363" s="241"/>
      <c r="G1363" s="241"/>
      <c r="H1363" s="241"/>
      <c r="I1363" s="241"/>
      <c r="J1363" s="241"/>
      <c r="K1363" s="241"/>
      <c r="L1363" s="242"/>
      <c r="M1363" s="241"/>
      <c r="N1363" s="241"/>
      <c r="O1363" s="241"/>
      <c r="P1363" s="241"/>
      <c r="Q1363" s="241"/>
      <c r="R1363" s="241"/>
      <c r="S1363" s="241"/>
      <c r="T1363" s="241"/>
      <c r="U1363" s="241"/>
      <c r="V1363" s="241"/>
      <c r="W1363" s="241"/>
      <c r="X1363" s="242"/>
      <c r="Y1363" s="241"/>
      <c r="Z1363" s="241"/>
      <c r="AA1363" s="241"/>
      <c r="AB1363" s="241"/>
      <c r="AC1363" s="241"/>
      <c r="AD1363" s="241"/>
      <c r="AE1363" s="241"/>
      <c r="AF1363" s="241"/>
      <c r="AG1363" s="241"/>
      <c r="AH1363" s="241"/>
      <c r="AI1363" s="241"/>
      <c r="AJ1363" s="242"/>
    </row>
    <row r="1364" hidden="1">
      <c r="A1364" s="241"/>
      <c r="B1364" s="241"/>
      <c r="C1364" s="241"/>
      <c r="D1364" s="241"/>
      <c r="E1364" s="241"/>
      <c r="F1364" s="241"/>
      <c r="G1364" s="241"/>
      <c r="H1364" s="241"/>
      <c r="I1364" s="241"/>
      <c r="J1364" s="241"/>
      <c r="K1364" s="241"/>
      <c r="L1364" s="242"/>
      <c r="M1364" s="241"/>
      <c r="N1364" s="241"/>
      <c r="O1364" s="241"/>
      <c r="P1364" s="241"/>
      <c r="Q1364" s="241"/>
      <c r="R1364" s="241"/>
      <c r="S1364" s="241"/>
      <c r="T1364" s="241"/>
      <c r="U1364" s="241"/>
      <c r="V1364" s="241"/>
      <c r="W1364" s="241"/>
      <c r="X1364" s="242"/>
      <c r="Y1364" s="241"/>
      <c r="Z1364" s="241"/>
      <c r="AA1364" s="241"/>
      <c r="AB1364" s="241"/>
      <c r="AC1364" s="241"/>
      <c r="AD1364" s="241"/>
      <c r="AE1364" s="241"/>
      <c r="AF1364" s="241"/>
      <c r="AG1364" s="241"/>
      <c r="AH1364" s="241"/>
      <c r="AI1364" s="241"/>
      <c r="AJ1364" s="242"/>
    </row>
    <row r="1365" hidden="1">
      <c r="A1365" s="241"/>
      <c r="B1365" s="241"/>
      <c r="C1365" s="241"/>
      <c r="D1365" s="241"/>
      <c r="E1365" s="241"/>
      <c r="F1365" s="241"/>
      <c r="G1365" s="241"/>
      <c r="H1365" s="241"/>
      <c r="I1365" s="241"/>
      <c r="J1365" s="241"/>
      <c r="K1365" s="241"/>
      <c r="L1365" s="242"/>
      <c r="M1365" s="241"/>
      <c r="N1365" s="241"/>
      <c r="O1365" s="241"/>
      <c r="P1365" s="241"/>
      <c r="Q1365" s="241"/>
      <c r="R1365" s="241"/>
      <c r="S1365" s="241"/>
      <c r="T1365" s="241"/>
      <c r="U1365" s="241"/>
      <c r="V1365" s="241"/>
      <c r="W1365" s="241"/>
      <c r="X1365" s="242"/>
      <c r="Y1365" s="241"/>
      <c r="Z1365" s="241"/>
      <c r="AA1365" s="241"/>
      <c r="AB1365" s="241"/>
      <c r="AC1365" s="241"/>
      <c r="AD1365" s="241"/>
      <c r="AE1365" s="241"/>
      <c r="AF1365" s="241"/>
      <c r="AG1365" s="241"/>
      <c r="AH1365" s="241"/>
      <c r="AI1365" s="241"/>
      <c r="AJ1365" s="242"/>
    </row>
    <row r="1366" hidden="1">
      <c r="A1366" s="241"/>
      <c r="B1366" s="241"/>
      <c r="C1366" s="241"/>
      <c r="D1366" s="241"/>
      <c r="E1366" s="241"/>
      <c r="F1366" s="241"/>
      <c r="G1366" s="241"/>
      <c r="H1366" s="241"/>
      <c r="I1366" s="241"/>
      <c r="J1366" s="241"/>
      <c r="K1366" s="241"/>
      <c r="L1366" s="242"/>
      <c r="M1366" s="241"/>
      <c r="N1366" s="241"/>
      <c r="O1366" s="241"/>
      <c r="P1366" s="241"/>
      <c r="Q1366" s="241"/>
      <c r="R1366" s="241"/>
      <c r="S1366" s="241"/>
      <c r="T1366" s="241"/>
      <c r="U1366" s="241"/>
      <c r="V1366" s="241"/>
      <c r="W1366" s="241"/>
      <c r="X1366" s="242"/>
      <c r="Y1366" s="241"/>
      <c r="Z1366" s="241"/>
      <c r="AA1366" s="241"/>
      <c r="AB1366" s="241"/>
      <c r="AC1366" s="241"/>
      <c r="AD1366" s="241"/>
      <c r="AE1366" s="241"/>
      <c r="AF1366" s="241"/>
      <c r="AG1366" s="241"/>
      <c r="AH1366" s="241"/>
      <c r="AI1366" s="241"/>
      <c r="AJ1366" s="242"/>
    </row>
    <row r="1367" hidden="1">
      <c r="A1367" s="241"/>
      <c r="B1367" s="241"/>
      <c r="C1367" s="241"/>
      <c r="D1367" s="241"/>
      <c r="E1367" s="241"/>
      <c r="F1367" s="241"/>
      <c r="G1367" s="241"/>
      <c r="H1367" s="241"/>
      <c r="I1367" s="241"/>
      <c r="J1367" s="241"/>
      <c r="K1367" s="241"/>
      <c r="L1367" s="242"/>
      <c r="M1367" s="241"/>
      <c r="N1367" s="241"/>
      <c r="O1367" s="241"/>
      <c r="P1367" s="241"/>
      <c r="Q1367" s="241"/>
      <c r="R1367" s="241"/>
      <c r="S1367" s="241"/>
      <c r="T1367" s="241"/>
      <c r="U1367" s="241"/>
      <c r="V1367" s="241"/>
      <c r="W1367" s="241"/>
      <c r="X1367" s="242"/>
      <c r="Y1367" s="241"/>
      <c r="Z1367" s="241"/>
      <c r="AA1367" s="241"/>
      <c r="AB1367" s="241"/>
      <c r="AC1367" s="241"/>
      <c r="AD1367" s="241"/>
      <c r="AE1367" s="241"/>
      <c r="AF1367" s="241"/>
      <c r="AG1367" s="241"/>
      <c r="AH1367" s="241"/>
      <c r="AI1367" s="241"/>
      <c r="AJ1367" s="242"/>
    </row>
    <row r="1368" hidden="1">
      <c r="A1368" s="241"/>
      <c r="B1368" s="241"/>
      <c r="C1368" s="241"/>
      <c r="D1368" s="241"/>
      <c r="E1368" s="241"/>
      <c r="F1368" s="241"/>
      <c r="G1368" s="241"/>
      <c r="H1368" s="241"/>
      <c r="I1368" s="241"/>
      <c r="J1368" s="241"/>
      <c r="K1368" s="241"/>
      <c r="L1368" s="242"/>
      <c r="M1368" s="241"/>
      <c r="N1368" s="241"/>
      <c r="O1368" s="241"/>
      <c r="P1368" s="241"/>
      <c r="Q1368" s="241"/>
      <c r="R1368" s="241"/>
      <c r="S1368" s="241"/>
      <c r="T1368" s="241"/>
      <c r="U1368" s="241"/>
      <c r="V1368" s="241"/>
      <c r="W1368" s="241"/>
      <c r="X1368" s="242"/>
      <c r="Y1368" s="241"/>
      <c r="Z1368" s="241"/>
      <c r="AA1368" s="241"/>
      <c r="AB1368" s="241"/>
      <c r="AC1368" s="241"/>
      <c r="AD1368" s="241"/>
      <c r="AE1368" s="241"/>
      <c r="AF1368" s="241"/>
      <c r="AG1368" s="241"/>
      <c r="AH1368" s="241"/>
      <c r="AI1368" s="241"/>
      <c r="AJ1368" s="242"/>
    </row>
    <row r="1369" hidden="1">
      <c r="A1369" s="241"/>
      <c r="B1369" s="241"/>
      <c r="C1369" s="241"/>
      <c r="D1369" s="241"/>
      <c r="E1369" s="241"/>
      <c r="F1369" s="241"/>
      <c r="G1369" s="241"/>
      <c r="H1369" s="241"/>
      <c r="I1369" s="241"/>
      <c r="J1369" s="241"/>
      <c r="K1369" s="241"/>
      <c r="L1369" s="242"/>
      <c r="M1369" s="241"/>
      <c r="N1369" s="241"/>
      <c r="O1369" s="241"/>
      <c r="P1369" s="241"/>
      <c r="Q1369" s="241"/>
      <c r="R1369" s="241"/>
      <c r="S1369" s="241"/>
      <c r="T1369" s="241"/>
      <c r="U1369" s="241"/>
      <c r="V1369" s="241"/>
      <c r="W1369" s="241"/>
      <c r="X1369" s="242"/>
      <c r="Y1369" s="241"/>
      <c r="Z1369" s="241"/>
      <c r="AA1369" s="241"/>
      <c r="AB1369" s="241"/>
      <c r="AC1369" s="241"/>
      <c r="AD1369" s="241"/>
      <c r="AE1369" s="241"/>
      <c r="AF1369" s="241"/>
      <c r="AG1369" s="241"/>
      <c r="AH1369" s="241"/>
      <c r="AI1369" s="241"/>
      <c r="AJ1369" s="242"/>
    </row>
    <row r="1370" hidden="1">
      <c r="A1370" s="241"/>
      <c r="B1370" s="241"/>
      <c r="C1370" s="241"/>
      <c r="D1370" s="241"/>
      <c r="E1370" s="241"/>
      <c r="F1370" s="241"/>
      <c r="G1370" s="241"/>
      <c r="H1370" s="241"/>
      <c r="I1370" s="241"/>
      <c r="J1370" s="241"/>
      <c r="K1370" s="241"/>
      <c r="L1370" s="242"/>
      <c r="M1370" s="241"/>
      <c r="N1370" s="241"/>
      <c r="O1370" s="241"/>
      <c r="P1370" s="241"/>
      <c r="Q1370" s="241"/>
      <c r="R1370" s="241"/>
      <c r="S1370" s="241"/>
      <c r="T1370" s="241"/>
      <c r="U1370" s="241"/>
      <c r="V1370" s="241"/>
      <c r="W1370" s="241"/>
      <c r="X1370" s="242"/>
      <c r="Y1370" s="241"/>
      <c r="Z1370" s="241"/>
      <c r="AA1370" s="241"/>
      <c r="AB1370" s="241"/>
      <c r="AC1370" s="241"/>
      <c r="AD1370" s="241"/>
      <c r="AE1370" s="241"/>
      <c r="AF1370" s="241"/>
      <c r="AG1370" s="241"/>
      <c r="AH1370" s="241"/>
      <c r="AI1370" s="241"/>
      <c r="AJ1370" s="242"/>
    </row>
    <row r="1371" hidden="1">
      <c r="A1371" s="241"/>
      <c r="B1371" s="241"/>
      <c r="C1371" s="241"/>
      <c r="D1371" s="241"/>
      <c r="E1371" s="241"/>
      <c r="F1371" s="241"/>
      <c r="G1371" s="241"/>
      <c r="H1371" s="241"/>
      <c r="I1371" s="241"/>
      <c r="J1371" s="241"/>
      <c r="K1371" s="241"/>
      <c r="L1371" s="242"/>
      <c r="M1371" s="241"/>
      <c r="N1371" s="241"/>
      <c r="O1371" s="241"/>
      <c r="P1371" s="241"/>
      <c r="Q1371" s="241"/>
      <c r="R1371" s="241"/>
      <c r="S1371" s="241"/>
      <c r="T1371" s="241"/>
      <c r="U1371" s="241"/>
      <c r="V1371" s="241"/>
      <c r="W1371" s="241"/>
      <c r="X1371" s="242"/>
      <c r="Y1371" s="241"/>
      <c r="Z1371" s="241"/>
      <c r="AA1371" s="241"/>
      <c r="AB1371" s="241"/>
      <c r="AC1371" s="241"/>
      <c r="AD1371" s="241"/>
      <c r="AE1371" s="241"/>
      <c r="AF1371" s="241"/>
      <c r="AG1371" s="241"/>
      <c r="AH1371" s="241"/>
      <c r="AI1371" s="241"/>
      <c r="AJ1371" s="242"/>
    </row>
    <row r="1372" hidden="1">
      <c r="A1372" s="241"/>
      <c r="B1372" s="241"/>
      <c r="C1372" s="241"/>
      <c r="D1372" s="241"/>
      <c r="E1372" s="241"/>
      <c r="F1372" s="241"/>
      <c r="G1372" s="241"/>
      <c r="H1372" s="241"/>
      <c r="I1372" s="241"/>
      <c r="J1372" s="241"/>
      <c r="K1372" s="241"/>
      <c r="L1372" s="242"/>
      <c r="M1372" s="241"/>
      <c r="N1372" s="241"/>
      <c r="O1372" s="241"/>
      <c r="P1372" s="241"/>
      <c r="Q1372" s="241"/>
      <c r="R1372" s="241"/>
      <c r="S1372" s="241"/>
      <c r="T1372" s="241"/>
      <c r="U1372" s="241"/>
      <c r="V1372" s="241"/>
      <c r="W1372" s="241"/>
      <c r="X1372" s="242"/>
      <c r="Y1372" s="241"/>
      <c r="Z1372" s="241"/>
      <c r="AA1372" s="241"/>
      <c r="AB1372" s="241"/>
      <c r="AC1372" s="241"/>
      <c r="AD1372" s="241"/>
      <c r="AE1372" s="241"/>
      <c r="AF1372" s="241"/>
      <c r="AG1372" s="241"/>
      <c r="AH1372" s="241"/>
      <c r="AI1372" s="241"/>
      <c r="AJ1372" s="242"/>
    </row>
    <row r="1373" hidden="1">
      <c r="A1373" s="241"/>
      <c r="B1373" s="241"/>
      <c r="C1373" s="241"/>
      <c r="D1373" s="241"/>
      <c r="E1373" s="241"/>
      <c r="F1373" s="241"/>
      <c r="G1373" s="241"/>
      <c r="H1373" s="241"/>
      <c r="I1373" s="241"/>
      <c r="J1373" s="241"/>
      <c r="K1373" s="241"/>
      <c r="L1373" s="242"/>
      <c r="M1373" s="241"/>
      <c r="N1373" s="241"/>
      <c r="O1373" s="241"/>
      <c r="P1373" s="241"/>
      <c r="Q1373" s="241"/>
      <c r="R1373" s="241"/>
      <c r="S1373" s="241"/>
      <c r="T1373" s="241"/>
      <c r="U1373" s="241"/>
      <c r="V1373" s="241"/>
      <c r="W1373" s="241"/>
      <c r="X1373" s="242"/>
      <c r="Y1373" s="241"/>
      <c r="Z1373" s="241"/>
      <c r="AA1373" s="241"/>
      <c r="AB1373" s="241"/>
      <c r="AC1373" s="241"/>
      <c r="AD1373" s="241"/>
      <c r="AE1373" s="241"/>
      <c r="AF1373" s="241"/>
      <c r="AG1373" s="241"/>
      <c r="AH1373" s="241"/>
      <c r="AI1373" s="241"/>
      <c r="AJ1373" s="242"/>
    </row>
    <row r="1374" hidden="1">
      <c r="A1374" s="241"/>
      <c r="B1374" s="241"/>
      <c r="C1374" s="241"/>
      <c r="D1374" s="241"/>
      <c r="E1374" s="241"/>
      <c r="F1374" s="241"/>
      <c r="G1374" s="241"/>
      <c r="H1374" s="241"/>
      <c r="I1374" s="241"/>
      <c r="J1374" s="241"/>
      <c r="K1374" s="241"/>
      <c r="L1374" s="242"/>
      <c r="M1374" s="241"/>
      <c r="N1374" s="241"/>
      <c r="O1374" s="241"/>
      <c r="P1374" s="241"/>
      <c r="Q1374" s="241"/>
      <c r="R1374" s="241"/>
      <c r="S1374" s="241"/>
      <c r="T1374" s="241"/>
      <c r="U1374" s="241"/>
      <c r="V1374" s="241"/>
      <c r="W1374" s="241"/>
      <c r="X1374" s="242"/>
      <c r="Y1374" s="241"/>
      <c r="Z1374" s="241"/>
      <c r="AA1374" s="241"/>
      <c r="AB1374" s="241"/>
      <c r="AC1374" s="241"/>
      <c r="AD1374" s="241"/>
      <c r="AE1374" s="241"/>
      <c r="AF1374" s="241"/>
      <c r="AG1374" s="241"/>
      <c r="AH1374" s="241"/>
      <c r="AI1374" s="241"/>
      <c r="AJ1374" s="242"/>
    </row>
    <row r="1375" hidden="1">
      <c r="A1375" s="241"/>
      <c r="B1375" s="241"/>
      <c r="C1375" s="241"/>
      <c r="D1375" s="241"/>
      <c r="E1375" s="241"/>
      <c r="F1375" s="241"/>
      <c r="G1375" s="241"/>
      <c r="H1375" s="241"/>
      <c r="I1375" s="241"/>
      <c r="J1375" s="241"/>
      <c r="K1375" s="241"/>
      <c r="L1375" s="242"/>
      <c r="M1375" s="241"/>
      <c r="N1375" s="241"/>
      <c r="O1375" s="241"/>
      <c r="P1375" s="241"/>
      <c r="Q1375" s="241"/>
      <c r="R1375" s="241"/>
      <c r="S1375" s="241"/>
      <c r="T1375" s="241"/>
      <c r="U1375" s="241"/>
      <c r="V1375" s="241"/>
      <c r="W1375" s="241"/>
      <c r="X1375" s="242"/>
      <c r="Y1375" s="241"/>
      <c r="Z1375" s="241"/>
      <c r="AA1375" s="241"/>
      <c r="AB1375" s="241"/>
      <c r="AC1375" s="241"/>
      <c r="AD1375" s="241"/>
      <c r="AE1375" s="241"/>
      <c r="AF1375" s="241"/>
      <c r="AG1375" s="241"/>
      <c r="AH1375" s="241"/>
      <c r="AI1375" s="241"/>
      <c r="AJ1375" s="242"/>
    </row>
    <row r="1376" hidden="1">
      <c r="A1376" s="241"/>
      <c r="B1376" s="241"/>
      <c r="C1376" s="241"/>
      <c r="D1376" s="241"/>
      <c r="E1376" s="241"/>
      <c r="F1376" s="241"/>
      <c r="G1376" s="241"/>
      <c r="H1376" s="241"/>
      <c r="I1376" s="241"/>
      <c r="J1376" s="241"/>
      <c r="K1376" s="241"/>
      <c r="L1376" s="242"/>
      <c r="M1376" s="241"/>
      <c r="N1376" s="241"/>
      <c r="O1376" s="241"/>
      <c r="P1376" s="241"/>
      <c r="Q1376" s="241"/>
      <c r="R1376" s="241"/>
      <c r="S1376" s="241"/>
      <c r="T1376" s="241"/>
      <c r="U1376" s="241"/>
      <c r="V1376" s="241"/>
      <c r="W1376" s="241"/>
      <c r="X1376" s="242"/>
      <c r="Y1376" s="241"/>
      <c r="Z1376" s="241"/>
      <c r="AA1376" s="241"/>
      <c r="AB1376" s="241"/>
      <c r="AC1376" s="241"/>
      <c r="AD1376" s="241"/>
      <c r="AE1376" s="241"/>
      <c r="AF1376" s="241"/>
      <c r="AG1376" s="241"/>
      <c r="AH1376" s="241"/>
      <c r="AI1376" s="241"/>
      <c r="AJ1376" s="242"/>
    </row>
    <row r="1377" hidden="1">
      <c r="A1377" s="241"/>
      <c r="B1377" s="241"/>
      <c r="C1377" s="241"/>
      <c r="D1377" s="241"/>
      <c r="E1377" s="241"/>
      <c r="F1377" s="241"/>
      <c r="G1377" s="241"/>
      <c r="H1377" s="241"/>
      <c r="I1377" s="241"/>
      <c r="J1377" s="241"/>
      <c r="K1377" s="241"/>
      <c r="L1377" s="242"/>
      <c r="M1377" s="241"/>
      <c r="N1377" s="241"/>
      <c r="O1377" s="241"/>
      <c r="P1377" s="241"/>
      <c r="Q1377" s="241"/>
      <c r="R1377" s="241"/>
      <c r="S1377" s="241"/>
      <c r="T1377" s="241"/>
      <c r="U1377" s="241"/>
      <c r="V1377" s="241"/>
      <c r="W1377" s="241"/>
      <c r="X1377" s="242"/>
      <c r="Y1377" s="241"/>
      <c r="Z1377" s="241"/>
      <c r="AA1377" s="241"/>
      <c r="AB1377" s="241"/>
      <c r="AC1377" s="241"/>
      <c r="AD1377" s="241"/>
      <c r="AE1377" s="241"/>
      <c r="AF1377" s="241"/>
      <c r="AG1377" s="241"/>
      <c r="AH1377" s="241"/>
      <c r="AI1377" s="241"/>
      <c r="AJ1377" s="242"/>
    </row>
    <row r="1378" hidden="1">
      <c r="A1378" s="241"/>
      <c r="B1378" s="241"/>
      <c r="C1378" s="241"/>
      <c r="D1378" s="241"/>
      <c r="E1378" s="241"/>
      <c r="F1378" s="241"/>
      <c r="G1378" s="241"/>
      <c r="H1378" s="241"/>
      <c r="I1378" s="241"/>
      <c r="J1378" s="241"/>
      <c r="K1378" s="241"/>
      <c r="L1378" s="242"/>
      <c r="M1378" s="241"/>
      <c r="N1378" s="241"/>
      <c r="O1378" s="241"/>
      <c r="P1378" s="241"/>
      <c r="Q1378" s="241"/>
      <c r="R1378" s="241"/>
      <c r="S1378" s="241"/>
      <c r="T1378" s="241"/>
      <c r="U1378" s="241"/>
      <c r="V1378" s="241"/>
      <c r="W1378" s="241"/>
      <c r="X1378" s="242"/>
      <c r="Y1378" s="241"/>
      <c r="Z1378" s="241"/>
      <c r="AA1378" s="241"/>
      <c r="AB1378" s="241"/>
      <c r="AC1378" s="241"/>
      <c r="AD1378" s="241"/>
      <c r="AE1378" s="241"/>
      <c r="AF1378" s="241"/>
      <c r="AG1378" s="241"/>
      <c r="AH1378" s="241"/>
      <c r="AI1378" s="241"/>
      <c r="AJ1378" s="242"/>
    </row>
    <row r="1379" hidden="1">
      <c r="A1379" s="241"/>
      <c r="B1379" s="241"/>
      <c r="C1379" s="241"/>
      <c r="D1379" s="241"/>
      <c r="E1379" s="241"/>
      <c r="F1379" s="241"/>
      <c r="G1379" s="241"/>
      <c r="H1379" s="241"/>
      <c r="I1379" s="241"/>
      <c r="J1379" s="241"/>
      <c r="K1379" s="241"/>
      <c r="L1379" s="242"/>
      <c r="M1379" s="241"/>
      <c r="N1379" s="241"/>
      <c r="O1379" s="241"/>
      <c r="P1379" s="241"/>
      <c r="Q1379" s="241"/>
      <c r="R1379" s="241"/>
      <c r="S1379" s="241"/>
      <c r="T1379" s="241"/>
      <c r="U1379" s="241"/>
      <c r="V1379" s="241"/>
      <c r="W1379" s="241"/>
      <c r="X1379" s="242"/>
      <c r="Y1379" s="241"/>
      <c r="Z1379" s="241"/>
      <c r="AA1379" s="241"/>
      <c r="AB1379" s="241"/>
      <c r="AC1379" s="241"/>
      <c r="AD1379" s="241"/>
      <c r="AE1379" s="241"/>
      <c r="AF1379" s="241"/>
      <c r="AG1379" s="241"/>
      <c r="AH1379" s="241"/>
      <c r="AI1379" s="241"/>
      <c r="AJ1379" s="242"/>
    </row>
    <row r="1380" hidden="1">
      <c r="A1380" s="241"/>
      <c r="B1380" s="241"/>
      <c r="C1380" s="241"/>
      <c r="D1380" s="241"/>
      <c r="E1380" s="241"/>
      <c r="F1380" s="241"/>
      <c r="G1380" s="241"/>
      <c r="H1380" s="241"/>
      <c r="I1380" s="241"/>
      <c r="J1380" s="241"/>
      <c r="K1380" s="241"/>
      <c r="L1380" s="242"/>
      <c r="M1380" s="241"/>
      <c r="N1380" s="241"/>
      <c r="O1380" s="241"/>
      <c r="P1380" s="241"/>
      <c r="Q1380" s="241"/>
      <c r="R1380" s="241"/>
      <c r="S1380" s="241"/>
      <c r="T1380" s="241"/>
      <c r="U1380" s="241"/>
      <c r="V1380" s="241"/>
      <c r="W1380" s="241"/>
      <c r="X1380" s="242"/>
      <c r="Y1380" s="241"/>
      <c r="Z1380" s="241"/>
      <c r="AA1380" s="241"/>
      <c r="AB1380" s="241"/>
      <c r="AC1380" s="241"/>
      <c r="AD1380" s="241"/>
      <c r="AE1380" s="241"/>
      <c r="AF1380" s="241"/>
      <c r="AG1380" s="241"/>
      <c r="AH1380" s="241"/>
      <c r="AI1380" s="241"/>
      <c r="AJ1380" s="242"/>
    </row>
    <row r="1381" hidden="1">
      <c r="A1381" s="241"/>
      <c r="B1381" s="241"/>
      <c r="C1381" s="241"/>
      <c r="D1381" s="241"/>
      <c r="E1381" s="241"/>
      <c r="F1381" s="241"/>
      <c r="G1381" s="241"/>
      <c r="H1381" s="241"/>
      <c r="I1381" s="241"/>
      <c r="J1381" s="241"/>
      <c r="K1381" s="241"/>
      <c r="L1381" s="242"/>
      <c r="M1381" s="241"/>
      <c r="N1381" s="241"/>
      <c r="O1381" s="241"/>
      <c r="P1381" s="241"/>
      <c r="Q1381" s="241"/>
      <c r="R1381" s="241"/>
      <c r="S1381" s="241"/>
      <c r="T1381" s="241"/>
      <c r="U1381" s="241"/>
      <c r="V1381" s="241"/>
      <c r="W1381" s="241"/>
      <c r="X1381" s="242"/>
      <c r="Y1381" s="241"/>
      <c r="Z1381" s="241"/>
      <c r="AA1381" s="241"/>
      <c r="AB1381" s="241"/>
      <c r="AC1381" s="241"/>
      <c r="AD1381" s="241"/>
      <c r="AE1381" s="241"/>
      <c r="AF1381" s="241"/>
      <c r="AG1381" s="241"/>
      <c r="AH1381" s="241"/>
      <c r="AI1381" s="241"/>
      <c r="AJ1381" s="242"/>
    </row>
    <row r="1382" hidden="1">
      <c r="A1382" s="241"/>
      <c r="B1382" s="241"/>
      <c r="C1382" s="241"/>
      <c r="D1382" s="241"/>
      <c r="E1382" s="241"/>
      <c r="F1382" s="241"/>
      <c r="G1382" s="241"/>
      <c r="H1382" s="241"/>
      <c r="I1382" s="241"/>
      <c r="J1382" s="241"/>
      <c r="K1382" s="241"/>
      <c r="L1382" s="242"/>
      <c r="M1382" s="241"/>
      <c r="N1382" s="241"/>
      <c r="O1382" s="241"/>
      <c r="P1382" s="241"/>
      <c r="Q1382" s="241"/>
      <c r="R1382" s="241"/>
      <c r="S1382" s="241"/>
      <c r="T1382" s="241"/>
      <c r="U1382" s="241"/>
      <c r="V1382" s="241"/>
      <c r="W1382" s="241"/>
      <c r="X1382" s="242"/>
      <c r="Y1382" s="241"/>
      <c r="Z1382" s="241"/>
      <c r="AA1382" s="241"/>
      <c r="AB1382" s="241"/>
      <c r="AC1382" s="241"/>
      <c r="AD1382" s="241"/>
      <c r="AE1382" s="241"/>
      <c r="AF1382" s="241"/>
      <c r="AG1382" s="241"/>
      <c r="AH1382" s="241"/>
      <c r="AI1382" s="241"/>
      <c r="AJ1382" s="242"/>
    </row>
    <row r="1383" hidden="1">
      <c r="A1383" s="241"/>
      <c r="B1383" s="241"/>
      <c r="C1383" s="241"/>
      <c r="D1383" s="241"/>
      <c r="E1383" s="241"/>
      <c r="F1383" s="241"/>
      <c r="G1383" s="241"/>
      <c r="H1383" s="241"/>
      <c r="I1383" s="241"/>
      <c r="J1383" s="241"/>
      <c r="K1383" s="241"/>
      <c r="L1383" s="242"/>
      <c r="M1383" s="241"/>
      <c r="N1383" s="241"/>
      <c r="O1383" s="241"/>
      <c r="P1383" s="241"/>
      <c r="Q1383" s="241"/>
      <c r="R1383" s="241"/>
      <c r="S1383" s="241"/>
      <c r="T1383" s="241"/>
      <c r="U1383" s="241"/>
      <c r="V1383" s="241"/>
      <c r="W1383" s="241"/>
      <c r="X1383" s="242"/>
      <c r="Y1383" s="241"/>
      <c r="Z1383" s="241"/>
      <c r="AA1383" s="241"/>
      <c r="AB1383" s="241"/>
      <c r="AC1383" s="241"/>
      <c r="AD1383" s="241"/>
      <c r="AE1383" s="241"/>
      <c r="AF1383" s="241"/>
      <c r="AG1383" s="241"/>
      <c r="AH1383" s="241"/>
      <c r="AI1383" s="241"/>
      <c r="AJ1383" s="242"/>
    </row>
    <row r="1384" hidden="1">
      <c r="A1384" s="241"/>
      <c r="B1384" s="241"/>
      <c r="C1384" s="241"/>
      <c r="D1384" s="241"/>
      <c r="E1384" s="241"/>
      <c r="F1384" s="241"/>
      <c r="G1384" s="241"/>
      <c r="H1384" s="241"/>
      <c r="I1384" s="241"/>
      <c r="J1384" s="241"/>
      <c r="K1384" s="241"/>
      <c r="L1384" s="242"/>
      <c r="M1384" s="241"/>
      <c r="N1384" s="241"/>
      <c r="O1384" s="241"/>
      <c r="P1384" s="241"/>
      <c r="Q1384" s="241"/>
      <c r="R1384" s="241"/>
      <c r="S1384" s="241"/>
      <c r="T1384" s="241"/>
      <c r="U1384" s="241"/>
      <c r="V1384" s="241"/>
      <c r="W1384" s="241"/>
      <c r="X1384" s="242"/>
      <c r="Y1384" s="241"/>
      <c r="Z1384" s="241"/>
      <c r="AA1384" s="241"/>
      <c r="AB1384" s="241"/>
      <c r="AC1384" s="241"/>
      <c r="AD1384" s="241"/>
      <c r="AE1384" s="241"/>
      <c r="AF1384" s="241"/>
      <c r="AG1384" s="241"/>
      <c r="AH1384" s="241"/>
      <c r="AI1384" s="241"/>
      <c r="AJ1384" s="242"/>
    </row>
    <row r="1385" hidden="1">
      <c r="A1385" s="241"/>
      <c r="B1385" s="241"/>
      <c r="C1385" s="241"/>
      <c r="D1385" s="241"/>
      <c r="E1385" s="241"/>
      <c r="F1385" s="241"/>
      <c r="G1385" s="241"/>
      <c r="H1385" s="241"/>
      <c r="I1385" s="241"/>
      <c r="J1385" s="241"/>
      <c r="K1385" s="241"/>
      <c r="L1385" s="242"/>
      <c r="M1385" s="241"/>
      <c r="N1385" s="241"/>
      <c r="O1385" s="241"/>
      <c r="P1385" s="241"/>
      <c r="Q1385" s="241"/>
      <c r="R1385" s="241"/>
      <c r="S1385" s="241"/>
      <c r="T1385" s="241"/>
      <c r="U1385" s="241"/>
      <c r="V1385" s="241"/>
      <c r="W1385" s="241"/>
      <c r="X1385" s="242"/>
      <c r="Y1385" s="241"/>
      <c r="Z1385" s="241"/>
      <c r="AA1385" s="241"/>
      <c r="AB1385" s="241"/>
      <c r="AC1385" s="241"/>
      <c r="AD1385" s="241"/>
      <c r="AE1385" s="241"/>
      <c r="AF1385" s="241"/>
      <c r="AG1385" s="241"/>
      <c r="AH1385" s="241"/>
      <c r="AI1385" s="241"/>
      <c r="AJ1385" s="242"/>
    </row>
    <row r="1386" hidden="1">
      <c r="A1386" s="241"/>
      <c r="B1386" s="241"/>
      <c r="C1386" s="241"/>
      <c r="D1386" s="241"/>
      <c r="E1386" s="241"/>
      <c r="F1386" s="241"/>
      <c r="G1386" s="241"/>
      <c r="H1386" s="241"/>
      <c r="I1386" s="241"/>
      <c r="J1386" s="241"/>
      <c r="K1386" s="241"/>
      <c r="L1386" s="242"/>
      <c r="M1386" s="241"/>
      <c r="N1386" s="241"/>
      <c r="O1386" s="241"/>
      <c r="P1386" s="241"/>
      <c r="Q1386" s="241"/>
      <c r="R1386" s="241"/>
      <c r="S1386" s="241"/>
      <c r="T1386" s="241"/>
      <c r="U1386" s="241"/>
      <c r="V1386" s="241"/>
      <c r="W1386" s="241"/>
      <c r="X1386" s="242"/>
      <c r="Y1386" s="241"/>
      <c r="Z1386" s="241"/>
      <c r="AA1386" s="241"/>
      <c r="AB1386" s="241"/>
      <c r="AC1386" s="241"/>
      <c r="AD1386" s="241"/>
      <c r="AE1386" s="241"/>
      <c r="AF1386" s="241"/>
      <c r="AG1386" s="241"/>
      <c r="AH1386" s="241"/>
      <c r="AI1386" s="241"/>
      <c r="AJ1386" s="242"/>
    </row>
    <row r="1387" hidden="1">
      <c r="A1387" s="241"/>
      <c r="B1387" s="241"/>
      <c r="C1387" s="241"/>
      <c r="D1387" s="241"/>
      <c r="E1387" s="241"/>
      <c r="F1387" s="241"/>
      <c r="G1387" s="241"/>
      <c r="H1387" s="241"/>
      <c r="I1387" s="241"/>
      <c r="J1387" s="241"/>
      <c r="K1387" s="241"/>
      <c r="L1387" s="242"/>
      <c r="M1387" s="241"/>
      <c r="N1387" s="241"/>
      <c r="O1387" s="241"/>
      <c r="P1387" s="241"/>
      <c r="Q1387" s="241"/>
      <c r="R1387" s="241"/>
      <c r="S1387" s="241"/>
      <c r="T1387" s="241"/>
      <c r="U1387" s="241"/>
      <c r="V1387" s="241"/>
      <c r="W1387" s="241"/>
      <c r="X1387" s="242"/>
      <c r="Y1387" s="241"/>
      <c r="Z1387" s="241"/>
      <c r="AA1387" s="241"/>
      <c r="AB1387" s="241"/>
      <c r="AC1387" s="241"/>
      <c r="AD1387" s="241"/>
      <c r="AE1387" s="241"/>
      <c r="AF1387" s="241"/>
      <c r="AG1387" s="241"/>
      <c r="AH1387" s="241"/>
      <c r="AI1387" s="241"/>
      <c r="AJ1387" s="242"/>
    </row>
    <row r="1388">
      <c r="A1388" s="242"/>
      <c r="B1388" s="242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2"/>
      <c r="P1388" s="242"/>
      <c r="Q1388" s="242"/>
      <c r="R1388" s="242"/>
      <c r="S1388" s="242"/>
      <c r="T1388" s="242"/>
      <c r="U1388" s="242"/>
      <c r="V1388" s="242"/>
      <c r="W1388" s="242"/>
      <c r="X1388" s="242"/>
      <c r="Y1388" s="242"/>
      <c r="Z1388" s="242"/>
      <c r="AA1388" s="242"/>
      <c r="AB1388" s="242"/>
      <c r="AC1388" s="242"/>
      <c r="AD1388" s="242"/>
      <c r="AE1388" s="242"/>
      <c r="AF1388" s="242"/>
      <c r="AG1388" s="242"/>
      <c r="AH1388" s="242"/>
      <c r="AI1388" s="242"/>
      <c r="AJ1388" s="242"/>
    </row>
    <row r="1389">
      <c r="A1389" s="241" t="str">
        <f>IFERROR(__xludf.DUMMYFUNCTION("if('Time 5'!C3 = ""Albert"", query(IMPORTRANGE(cd_planilha, ""Armas!B3:G""), ""Select Col1 Where Col2 = '""&amp;Personagem!$B$17&amp;""' or Col2 = '""&amp;Personagem!$B$18&amp;""'""),     
if('Time 5'!C3 = ""Alicia"", query(IMPORTRANGE(cd_planilha, ""Armas!B3:G""), ""Sel"&amp;"ect Col1 Where Col2 = '""&amp;Personagem!$C$17&amp;""' or Col2 = '""&amp;Personagem!$C$18&amp;""'""),
if('Time 5'!C3 = ""Azula"", query(IMPORTRANGE(cd_planilha, ""Armas!B3:G""), ""Select Col1 Where Col2 = '""&amp;Personagem!$D$17&amp;""' or Col2 = '""&amp;Personagem!$D$18&amp;""' ""),
i"&amp;"f('Time 5'!C3 = ""Charles"", query(IMPORTRANGE(cd_planilha, ""Armas!B3:G""), ""Select Col1 Where Col2 = '""&amp;Personagem!$E$17&amp;""' or Col2 = '""&amp;Personagem!$E$18&amp;""'""),
if('Time 5'!C3 = ""Clovis"", query(IMPORTRANGE(cd_planilha, ""Armas!B3:G""), ""Select C"&amp;"ol1 Where Col2 = '""&amp;Personagem!$F$17&amp;""' or Col2 = '""&amp;Personagem!$F$18&amp;""' ""),
if('Time 5'!C3 = ""Darthos"", query(IMPORTRANGE(cd_planilha, ""Armas!B3:G""), ""Select Col1 Where Col2 = '""&amp;Personagem!$G$17&amp;""' or Col2 = '""&amp;Personagem!$G$18&amp;""'""),
if('"&amp;"Time 5'!C3 = ""Edward"", query(IMPORTRANGE(cd_planilha, ""Armas!B3:G""), ""Select Col1 Where Col2 = '""&amp;Personagem!$H$17&amp;""' or Col2 = '""&amp;Personagem!$H$18&amp;""' ""),
if('Time 5'!C3 = ""Fiora"", query(IMPORTRANGE(cd_planilha, ""Armas!B3:G""), ""Select Col1 "&amp;"Where Col2 = '""&amp;Personagem!$I$17&amp;""' or Col2 = '""&amp;Personagem!$I$18&amp;""' ""),
if('Time 5'!C3 = ""Francesca"", query(IMPORTRANGE(cd_planilha, ""Armas!B3:G""), ""Select Col1 Where Col2 = '""&amp;Personagem!$J$17&amp;""' or Col2 = '""&amp;Personagem!$J$18&amp;""'""),
if('Ti"&amp;"me 5'!C3 = ""Garreth"", query(IMPORTRANGE(cd_planilha, ""Armas!B3:G""), ""Select Col1 Where Col2 = '""&amp;Personagem!$K$17&amp;""' or Col2 = '""&amp;Personagem!$K$18&amp;""'""),
if('Time 5'!C3 = ""Gauvin"", query(IMPORTRANGE(cd_planilha, ""Armas!B3:G""), ""Select Col1 W"&amp;"here Col2 = '""&amp;Personagem!$L$17&amp;""' or Col2 = '""&amp;Personagem!$L$18&amp;""' ""),
if('Time 5'!C3 = ""Irene"", query(IMPORTRANGE(cd_planilha, ""Armas!B3:G""), ""Select Col1 Where Col2 = '""&amp;Personagem!$M$17&amp;""' or Col2 = '""&amp;Personagem!$M$18&amp;""' ""),
if('Time 5"&amp;"'!C3 = ""Karal"", query(IMPORTRANGE(cd_planilha, ""Armas!B3:G""), ""Select Col1 Where Col2 = '""&amp;Personagem!$N$17&amp;""' or Col2 = '""&amp;Personagem!$N$18&amp;""' ""),
if('Time 5'!C3 = ""Kuro Shobi"", query(IMPORTRANGE(cd_planilha, ""Armas!B3:G""), ""Select Col1 Wh"&amp;"ere Col2 = '""&amp;Personagem!$O$17&amp;""' or Col2 = '""&amp;Personagem!$O$18&amp;""'""),
if('Time 5'!C3 = ""Kurul"", query(IMPORTRANGE(cd_planilha, ""Armas!B3:G""), ""Select Col1 Where Col2 = '""&amp;Personagem!$P$17&amp;""' or Col2 = '""&amp;Personagem!$P$18&amp;""' ""),
if('Time 5'!"&amp;"C3 = ""Lancaster"", query(IMPORTRANGE(cd_planilha, ""Armas!B3:G""), ""Select Col1 Where Col2 = '""&amp;Personagem!$Q$17&amp;""' or Col2 = '""&amp;Personagem!$Q$18&amp;""'""),
if('Time 5'!C3 = ""Lorelei"", query(IMPORTRANGE(cd_planilha, ""Armas!B3:G""), ""Select Col1 Wher"&amp;"e Col2 = '""&amp;Personagem!$R$17&amp;""' or Col2 = '""&amp;Personagem!$R$18&amp;""' ""),
if('Time 5'!C3 = ""Louca"", query(IMPORTRANGE(cd_planilha, ""Armas!B3:G""), ""Select Col1 Where Col2 = '""&amp;Personagem!$S$17&amp;""' or Col2 = '""&amp;Personagem!$S$18&amp;""' ""),
if('Time 5'!C"&amp;"3 = ""Melina"", query(IMPORTRANGE(cd_planilha, ""Armas!B3:G""), ""Select Col1 Where Col2 = '""&amp;Personagem!$T$17&amp;""' or Col2 = '""&amp;Personagem!$T$18&amp;""'""),
if('Time 5'!C3 = ""Mila"", query(IMPORTRANGE(cd_planilha, ""Armas!B3:G""), ""Select Col1 Where Col2 "&amp;"= '""&amp;Personagem!$U$17&amp;""' or Col2 = '""&amp;Personagem!$U$18&amp;""' ""),
if('Time 5'!C3 = ""Minh"", query(IMPORTRANGE(cd_planilha, ""Armas!B3:G""), ""Select Col1 Where Col2 = '""&amp;Personagem!$V$17&amp;""' or Col2 = '""&amp;Personagem!$V$18&amp;""' ""),
if('Time 5'!C3 = ""Mo"&amp;"jian"", query(IMPORTRANGE(cd_planilha, ""Armas!B3:G""), ""Select Col1 Where Col2 = '""&amp;Personagem!$W$17&amp;""' or Col2 = '""&amp;Personagem!$W$18&amp;""'""),
if('Time 5'!C3 = ""Nya"", query(IMPORTRANGE(cd_planilha, ""Armas!B3:G""), ""Select Col1 Where Col2 = '""&amp;Per"&amp;"sonagem!$X$17&amp;""' or Col2 = '""&amp;Personagem!$X$18&amp;""' ""),
if('Time 5'!C3 = ""Odette"", query(IMPORTRANGE(cd_planilha, ""Armas!B3:G""), ""Select Col1 Where Col2 = '""&amp;Personagem!$Y$17&amp;""' or Col2 = '""&amp;Personagem!$Y$18&amp;""'""),
if('Time 5'!C3 = ""Oneira"", "&amp;"query(IMPORTRANGE(cd_planilha, ""Armas!B3:G""), ""Select Col1 Where Col2 = '""&amp;Personagem!$Z$17&amp;""' or Col2 = '""&amp;Personagem!$Z$18&amp;""' ""),
if('Time 5'!C3 = ""Palash"", query(IMPORTRANGE(cd_planilha, ""Armas!B3:G""), ""Select Col1 Where Col2 = '""&amp;Persona"&amp;"gem!$AA$17&amp;""' or Col2 = '""&amp;Personagem!$AA$18&amp;""'""),
if('Time 5'!C3 = ""Theor"", query(IMPORTRANGE(cd_planilha, ""Armas!B3:G""), ""Select Col1 Where Col2 = '""&amp;Personagem!$AB$17&amp;""' or Col2 = '""&amp;Personagem!$AB$18&amp;""' ""),
if('Time 5'!C3 = ""Yue"", quer"&amp;"y(IMPORTRANGE(cd_planilha, ""Armas!B3:G""), ""Select Col1 Where Col2 = '""&amp;Personagem!$AC$17&amp;""' or Col2 = '""&amp;Personagem!$AC$18&amp;""'""
)))))))))))))))))))))))))))))"),"Pó Colorido")</f>
        <v>Pó Colorido</v>
      </c>
      <c r="B1389" s="241"/>
      <c r="C1389" s="241" t="str">
        <f>IFERROR(__xludf.DUMMYFUNCTION("if('Time 5'!C4 = ""Albert"", query(IMPORTRANGE(cd_planilha, ""Armas!B3:G""), ""Select Col1 Where Col2 = '""&amp;Personagem!$B$17&amp;""' or Col2 = '""&amp;Personagem!$B$18&amp;""'""),     
if('Time 5'!C4 = ""Alicia"", query(IMPORTRANGE(cd_planilha, ""Armas!B3:G""), ""Sel"&amp;"ect Col1 Where Col2 = '""&amp;Personagem!$C$17&amp;""' or Col2 = '""&amp;Personagem!$C$18&amp;""'""),
if('Time 5'!C4 = ""Azula"", query(IMPORTRANGE(cd_planilha, ""Armas!B3:G""), ""Select Col1 Where Col2 = '""&amp;Personagem!$D$17&amp;""' or Col2 = '""&amp;Personagem!$D$18&amp;""' ""),
i"&amp;"f('Time 5'!C4 = ""Charles"", query(IMPORTRANGE(cd_planilha, ""Armas!B3:G""), ""Select Col1 Where Col2 = '""&amp;Personagem!$E$17&amp;""' or Col2 = '""&amp;Personagem!$E$18&amp;""'""),
if('Time 5'!C4 = ""Clovis"", query(IMPORTRANGE(cd_planilha, ""Armas!B3:G""), ""Select C"&amp;"ol1 Where Col2 = '""&amp;Personagem!$F$17&amp;""' or Col2 = '""&amp;Personagem!$F$18&amp;""' ""),
if('Time 5'!C4 = ""Darthos"", query(IMPORTRANGE(cd_planilha, ""Armas!B3:G""), ""Select Col1 Where Col2 = '""&amp;Personagem!$G$17&amp;""' or Col2 = '""&amp;Personagem!$G$18&amp;""'""),
if('"&amp;"Time 5'!C4 = ""Edward"", query(IMPORTRANGE(cd_planilha, ""Armas!B3:G""), ""Select Col1 Where Col2 = '""&amp;Personagem!$H$17&amp;""' or Col2 = '""&amp;Personagem!$H$18&amp;""' ""),
if('Time 5'!C4 = ""Fiora"", query(IMPORTRANGE(cd_planilha, ""Armas!B3:G""), ""Select Col1 "&amp;"Where Col2 = '""&amp;Personagem!$I$17&amp;""' or Col2 = '""&amp;Personagem!$I$18&amp;""' ""),
if('Time 5'!C4 = ""Francesca"", query(IMPORTRANGE(cd_planilha, ""Armas!B3:G""), ""Select Col1 Where Col2 = '""&amp;Personagem!$J$17&amp;""' or Col2 = '""&amp;Personagem!$J$18&amp;""'""),
if('Ti"&amp;"me 5'!C4 = ""Garreth"", query(IMPORTRANGE(cd_planilha, ""Armas!B3:G""), ""Select Col1 Where Col2 = '""&amp;Personagem!$K$17&amp;""' or Col2 = '""&amp;Personagem!$K$18&amp;""'""),
if('Time 5'!C4 = ""Gauvin"", query(IMPORTRANGE(cd_planilha, ""Armas!B3:G""), ""Select Col1 W"&amp;"here Col2 = '""&amp;Personagem!$L$17&amp;""' or Col2 = '""&amp;Personagem!$L$18&amp;""' ""),
if('Time 5'!C4 = ""Irene"", query(IMPORTRANGE(cd_planilha, ""Armas!B3:G""), ""Select Col1 Where Col2 = '""&amp;Personagem!$M$17&amp;""' or Col2 = '""&amp;Personagem!$M$18&amp;""' ""),
if('Time 5"&amp;"'!C4 = ""Karal"", query(IMPORTRANGE(cd_planilha, ""Armas!B3:G""), ""Select Col1 Where Col2 = '""&amp;Personagem!$N$17&amp;""' or Col2 = '""&amp;Personagem!$N$18&amp;""' ""),
if('Time 5'!C4 = ""Kuro Shobi"", query(IMPORTRANGE(cd_planilha, ""Armas!B3:G""), ""Select Col1 Wh"&amp;"ere Col2 = '""&amp;Personagem!$O$17&amp;""' or Col2 = '""&amp;Personagem!$O$18&amp;""'""),
if('Time 5'!C4 = ""Kurul"", query(IMPORTRANGE(cd_planilha, ""Armas!B3:G""), ""Select Col1 Where Col2 = '""&amp;Personagem!$P$17&amp;""' or Col2 = '""&amp;Personagem!$P$18&amp;""' ""),
if('Time 5'!"&amp;"C4 = ""Lancaster"", query(IMPORTRANGE(cd_planilha, ""Armas!B3:G""), ""Select Col1 Where Col2 = '""&amp;Personagem!$Q$17&amp;""' or Col2 = '""&amp;Personagem!$Q$18&amp;""'""),
if('Time 5'!C4 = ""Lorelei"", query(IMPORTRANGE(cd_planilha, ""Armas!B3:G""), ""Select Col1 Wher"&amp;"e Col2 = '""&amp;Personagem!$R$17&amp;""' or Col2 = '""&amp;Personagem!$R$18&amp;""' ""),
if('Time 5'!C4 = ""Louca"", query(IMPORTRANGE(cd_planilha, ""Armas!B3:G""), ""Select Col1 Where Col2 = '""&amp;Personagem!$S$17&amp;""' or Col2 = '""&amp;Personagem!$S$18&amp;""' ""),
if('Time 5'!C"&amp;"4 = ""Melina"", query(IMPORTRANGE(cd_planilha, ""Armas!B3:G""), ""Select Col1 Where Col2 = '""&amp;Personagem!$T$17&amp;""' or Col2 = '""&amp;Personagem!$T$18&amp;""'""),
if('Time 5'!C4 = ""Mila"", query(IMPORTRANGE(cd_planilha, ""Armas!B3:G""), ""Select Col1 Where Col2 "&amp;"= '""&amp;Personagem!$U$17&amp;""' or Col2 = '""&amp;Personagem!$U$18&amp;""' ""),
if('Time 5'!C4 = ""Minh"", query(IMPORTRANGE(cd_planilha, ""Armas!B3:G""), ""Select Col1 Where Col2 = '""&amp;Personagem!$V$17&amp;""' or Col2 = '""&amp;Personagem!$V$18&amp;""' ""),
if('Time 5'!C4 = ""Mo"&amp;"jian"", query(IMPORTRANGE(cd_planilha, ""Armas!B3:G""), ""Select Col1 Where Col2 = '""&amp;Personagem!$W$17&amp;""' or Col2 = '""&amp;Personagem!$W$18&amp;""'""),
if('Time 5'!C4 = ""Nya"", query(IMPORTRANGE(cd_planilha, ""Armas!B3:G""), ""Select Col1 Where Col2 = '""&amp;Per"&amp;"sonagem!$X$17&amp;""' or Col2 = '""&amp;Personagem!$X$18&amp;""' ""),
if('Time 5'!C4 = ""Odette"", query(IMPORTRANGE(cd_planilha, ""Armas!B3:G""), ""Select Col1 Where Col2 = '""&amp;Personagem!$Y$17&amp;""' or Col2 = '""&amp;Personagem!$Y$18&amp;""'""),
if('Time 5'!C4 = ""Oneira"", "&amp;"query(IMPORTRANGE(cd_planilha, ""Armas!B3:G""), ""Select Col1 Where Col2 = '""&amp;Personagem!$Z$17&amp;""' or Col2 = '""&amp;Personagem!$Z$18&amp;""' ""),
if('Time 5'!C4 = ""Palash"", query(IMPORTRANGE(cd_planilha, ""Armas!B3:G""), ""Select Col1 Where Col2 = '""&amp;Persona"&amp;"gem!$AA$17&amp;""' or Col2 = '""&amp;Personagem!$AA$18&amp;""'""),
if('Time 5'!C4 = ""Theor"", query(IMPORTRANGE(cd_planilha, ""Armas!B3:G""), ""Select Col1 Where Col2 = '""&amp;Personagem!$AB$17&amp;""' or Col2 = '""&amp;Personagem!$AB$18&amp;""' ""),
if('Time 5'!C4 = ""Yue"", quer"&amp;"y(IMPORTRANGE(cd_planilha, ""Armas!B3:G""), ""Select Col1 Where Col2 = '""&amp;Personagem!$AC$17&amp;""' or Col2 = '""&amp;Personagem!$AC$18&amp;""'""
)))))))))))))))))))))))))))))"),"Pó Colorido")</f>
        <v>Pó Colorido</v>
      </c>
      <c r="D1389" s="241"/>
      <c r="E1389" s="241" t="str">
        <f>IFERROR(__xludf.DUMMYFUNCTION("if('Time 5'!C5 = ""Albert"", query(IMPORTRANGE(cd_planilha, ""Armas!B3:G""), ""Select Col1 Where Col2 = '""&amp;Personagem!$B$17&amp;""' or Col2 = '""&amp;Personagem!$B$18&amp;""'""),     
if('Time 5'!C5 = ""Alicia"", query(IMPORTRANGE(cd_planilha, ""Armas!B3:G""), ""Sel"&amp;"ect Col1 Where Col2 = '""&amp;Personagem!$C$17&amp;""' or Col2 = '""&amp;Personagem!$C$18&amp;""'""),
if('Time 5'!C5 = ""Azula"", query(IMPORTRANGE(cd_planilha, ""Armas!B3:G""), ""Select Col1 Where Col2 = '""&amp;Personagem!$D$17&amp;""' or Col2 = '""&amp;Personagem!$D$18&amp;""' ""),
i"&amp;"f('Time 5'!C5 = ""Charles"", query(IMPORTRANGE(cd_planilha, ""Armas!B3:G""), ""Select Col1 Where Col2 = '""&amp;Personagem!$E$17&amp;""' or Col2 = '""&amp;Personagem!$E$18&amp;""'""),
if('Time 5'!C5 = ""Clovis"", query(IMPORTRANGE(cd_planilha, ""Armas!B3:G""), ""Select C"&amp;"ol1 Where Col2 = '""&amp;Personagem!$F$17&amp;""' or Col2 = '""&amp;Personagem!$F$18&amp;""' ""),
if('Time 5'!C5 = ""Darthos"", query(IMPORTRANGE(cd_planilha, ""Armas!B3:G""), ""Select Col1 Where Col2 = '""&amp;Personagem!$G$17&amp;""' or Col2 = '""&amp;Personagem!$G$18&amp;""'""),
if('"&amp;"Time 5'!C5 = ""Edward"", query(IMPORTRANGE(cd_planilha, ""Armas!B3:G""), ""Select Col1 Where Col2 = '""&amp;Personagem!$H$17&amp;""' or Col2 = '""&amp;Personagem!$H$18&amp;""' ""),
if('Time 5'!C5 = ""Fiora"", query(IMPORTRANGE(cd_planilha, ""Armas!B3:G""), ""Select Col1 "&amp;"Where Col2 = '""&amp;Personagem!$I$17&amp;""' or Col2 = '""&amp;Personagem!$I$18&amp;""' ""),
if('Time 5'!C5 = ""Francesca"", query(IMPORTRANGE(cd_planilha, ""Armas!B3:G""), ""Select Col1 Where Col2 = '""&amp;Personagem!$J$17&amp;""' or Col2 = '""&amp;Personagem!$J$18&amp;""'""),
if('Ti"&amp;"me 5'!C5 = ""Garreth"", query(IMPORTRANGE(cd_planilha, ""Armas!B3:G""), ""Select Col1 Where Col2 = '""&amp;Personagem!$K$17&amp;""' or Col2 = '""&amp;Personagem!$K$18&amp;""'""),
if('Time 5'!C5 = ""Gauvin"", query(IMPORTRANGE(cd_planilha, ""Armas!B3:G""), ""Select Col1 W"&amp;"here Col2 = '""&amp;Personagem!$L$17&amp;""' or Col2 = '""&amp;Personagem!$L$18&amp;""' ""),
if('Time 5'!C5 = ""Irene"", query(IMPORTRANGE(cd_planilha, ""Armas!B3:G""), ""Select Col1 Where Col2 = '""&amp;Personagem!$M$17&amp;""' or Col2 = '""&amp;Personagem!$M$18&amp;""' ""),
if('Time 5"&amp;"'!C5 = ""Karal"", query(IMPORTRANGE(cd_planilha, ""Armas!B3:G""), ""Select Col1 Where Col2 = '""&amp;Personagem!$N$17&amp;""' or Col2 = '""&amp;Personagem!$N$18&amp;""' ""),
if('Time 5'!C5 = ""Kuro Shobi"", query(IMPORTRANGE(cd_planilha, ""Armas!B3:G""), ""Select Col1 Wh"&amp;"ere Col2 = '""&amp;Personagem!$O$17&amp;""' or Col2 = '""&amp;Personagem!$O$18&amp;""'""),
if('Time 5'!C5 = ""Kurul"", query(IMPORTRANGE(cd_planilha, ""Armas!B3:G""), ""Select Col1 Where Col2 = '""&amp;Personagem!$P$17&amp;""' or Col2 = '""&amp;Personagem!$P$18&amp;""' ""),
if('Time 5'!"&amp;"C5 = ""Lancaster"", query(IMPORTRANGE(cd_planilha, ""Armas!B3:G""), ""Select Col1 Where Col2 = '""&amp;Personagem!$Q$17&amp;""' or Col2 = '""&amp;Personagem!$Q$18&amp;""'""),
if('Time 5'!C5 = ""Lorelei"", query(IMPORTRANGE(cd_planilha, ""Armas!B3:G""), ""Select Col1 Wher"&amp;"e Col2 = '""&amp;Personagem!$R$17&amp;""' or Col2 = '""&amp;Personagem!$R$18&amp;""' ""),
if('Time 5'!C5 = ""Louca"", query(IMPORTRANGE(cd_planilha, ""Armas!B3:G""), ""Select Col1 Where Col2 = '""&amp;Personagem!$S$17&amp;""' or Col2 = '""&amp;Personagem!$S$18&amp;""' ""),
if('Time 5'!C"&amp;"5 = ""Melina"", query(IMPORTRANGE(cd_planilha, ""Armas!B3:G""), ""Select Col1 Where Col2 = '""&amp;Personagem!$T$17&amp;""' or Col2 = '""&amp;Personagem!$T$18&amp;""'""),
if('Time 5'!C5 = ""Mila"", query(IMPORTRANGE(cd_planilha, ""Armas!B3:G""), ""Select Col1 Where Col2 "&amp;"= '""&amp;Personagem!$U$17&amp;""' or Col2 = '""&amp;Personagem!$U$18&amp;""' ""),
if('Time 5'!C5 = ""Minh"", query(IMPORTRANGE(cd_planilha, ""Armas!B3:G""), ""Select Col1 Where Col2 = '""&amp;Personagem!$V$17&amp;""' or Col2 = '""&amp;Personagem!$V$18&amp;""' ""),
if('Time 5'!C5 = ""Mo"&amp;"jian"", query(IMPORTRANGE(cd_planilha, ""Armas!B3:G""), ""Select Col1 Where Col2 = '""&amp;Personagem!$W$17&amp;""' or Col2 = '""&amp;Personagem!$W$18&amp;""'""),
if('Time 5'!C5 = ""Nya"", query(IMPORTRANGE(cd_planilha, ""Armas!B3:G""), ""Select Col1 Where Col2 = '""&amp;Per"&amp;"sonagem!$X$17&amp;""' or Col2 = '""&amp;Personagem!$X$18&amp;""' ""),
if('Time 5'!C5 = ""Odette"", query(IMPORTRANGE(cd_planilha, ""Armas!B3:G""), ""Select Col1 Where Col2 = '""&amp;Personagem!$Y$17&amp;""' or Col2 = '""&amp;Personagem!$Y$18&amp;""'""),
if('Time 5'!C5 = ""Oneira"", "&amp;"query(IMPORTRANGE(cd_planilha, ""Armas!B3:G""), ""Select Col1 Where Col2 = '""&amp;Personagem!$Z$17&amp;""' or Col2 = '""&amp;Personagem!$Z$18&amp;""' ""),
if('Time 5'!C5 = ""Palash"", query(IMPORTRANGE(cd_planilha, ""Armas!B3:G""), ""Select Col1 Where Col2 = '""&amp;Persona"&amp;"gem!$AA$17&amp;""' or Col2 = '""&amp;Personagem!$AA$18&amp;""'""),
if('Time 5'!C5 = ""Theor"", query(IMPORTRANGE(cd_planilha, ""Armas!B3:G""), ""Select Col1 Where Col2 = '""&amp;Personagem!$AB$17&amp;""' or Col2 = '""&amp;Personagem!$AB$18&amp;""' ""),
if('Time 5'!C5 = ""Yue"", quer"&amp;"y(IMPORTRANGE(cd_planilha, ""Armas!B3:G""), ""Select Col1 Where Col2 = '""&amp;Personagem!$AC$17&amp;""' or Col2 = '""&amp;Personagem!$AC$18&amp;""'""
)))))))))))))))))))))))))))))"),"Gotas de Elíxir")</f>
        <v>Gotas de Elíxir</v>
      </c>
      <c r="F1389" s="241"/>
      <c r="G1389" s="241" t="str">
        <f>IFERROR(__xludf.DUMMYFUNCTION("if('Time 5'!C6 = ""Albert"", query(IMPORTRANGE(cd_planilha, ""Armas!B3:G""), ""Select Col1 Where Col2 = '""&amp;Personagem!$B$17&amp;""' or Col2 = '""&amp;Personagem!$B$18&amp;""'""),     
if('Time 5'!C6 = ""Alicia"", query(IMPORTRANGE(cd_planilha, ""Armas!B3:G""), ""Sel"&amp;"ect Col1 Where Col2 = '""&amp;Personagem!$C$17&amp;""' or Col2 = '""&amp;Personagem!$C$18&amp;""'""),
if('Time 5'!C6 = ""Azula"", query(IMPORTRANGE(cd_planilha, ""Armas!B3:G""), ""Select Col1 Where Col2 = '""&amp;Personagem!$D$17&amp;""' or Col2 = '""&amp;Personagem!$D$18&amp;""' ""),
i"&amp;"f('Time 5'!C6 = ""Charles"", query(IMPORTRANGE(cd_planilha, ""Armas!B3:G""), ""Select Col1 Where Col2 = '""&amp;Personagem!$E$17&amp;""' or Col2 = '""&amp;Personagem!$E$18&amp;""'""),
if('Time 5'!C6 = ""Clovis"", query(IMPORTRANGE(cd_planilha, ""Armas!B3:G""), ""Select C"&amp;"ol1 Where Col2 = '""&amp;Personagem!$F$17&amp;""' or Col2 = '""&amp;Personagem!$F$18&amp;""' ""),
if('Time 5'!C6 = ""Darthos"", query(IMPORTRANGE(cd_planilha, ""Armas!B3:G""), ""Select Col1 Where Col2 = '""&amp;Personagem!$G$17&amp;""' or Col2 = '""&amp;Personagem!$G$18&amp;""'""),
if('"&amp;"Time 5'!C6 = ""Edward"", query(IMPORTRANGE(cd_planilha, ""Armas!B3:G""), ""Select Col1 Where Col2 = '""&amp;Personagem!$H$17&amp;""' or Col2 = '""&amp;Personagem!$H$18&amp;""' ""),
if('Time 5'!C6 = ""Fiora"", query(IMPORTRANGE(cd_planilha, ""Armas!B3:G""), ""Select Col1 "&amp;"Where Col2 = '""&amp;Personagem!$I$17&amp;""' or Col2 = '""&amp;Personagem!$I$18&amp;""' ""),
if('Time 5'!C6 = ""Francesca"", query(IMPORTRANGE(cd_planilha, ""Armas!B3:G""), ""Select Col1 Where Col2 = '""&amp;Personagem!$J$17&amp;""' or Col2 = '""&amp;Personagem!$J$18&amp;""'""),
if('Ti"&amp;"me 5'!C6 = ""Garreth"", query(IMPORTRANGE(cd_planilha, ""Armas!B3:G""), ""Select Col1 Where Col2 = '""&amp;Personagem!$K$17&amp;""' or Col2 = '""&amp;Personagem!$K$18&amp;""'""),
if('Time 5'!C6 = ""Gauvin"", query(IMPORTRANGE(cd_planilha, ""Armas!B3:G""), ""Select Col1 W"&amp;"here Col2 = '""&amp;Personagem!$L$17&amp;""' or Col2 = '""&amp;Personagem!$L$18&amp;""' ""),
if('Time 5'!C6 = ""Irene"", query(IMPORTRANGE(cd_planilha, ""Armas!B3:G""), ""Select Col1 Where Col2 = '""&amp;Personagem!$M$17&amp;""' or Col2 = '""&amp;Personagem!$M$18&amp;""' ""),
if('Time 5"&amp;"'!C6 = ""Karal"", query(IMPORTRANGE(cd_planilha, ""Armas!B3:G""), ""Select Col1 Where Col2 = '""&amp;Personagem!$N$17&amp;""' or Col2 = '""&amp;Personagem!$N$18&amp;""' ""),
if('Time 5'!C6 = ""Kuro Shobi"", query(IMPORTRANGE(cd_planilha, ""Armas!B3:G""), ""Select Col1 Wh"&amp;"ere Col2 = '""&amp;Personagem!$O$17&amp;""' or Col2 = '""&amp;Personagem!$O$18&amp;""'""),
if('Time 5'!C6 = ""Kurul"", query(IMPORTRANGE(cd_planilha, ""Armas!B3:G""), ""Select Col1 Where Col2 = '""&amp;Personagem!$P$17&amp;""' or Col2 = '""&amp;Personagem!$P$18&amp;""' ""),
if('Time 5'!"&amp;"C6 = ""Lancaster"", query(IMPORTRANGE(cd_planilha, ""Armas!B3:G""), ""Select Col1 Where Col2 = '""&amp;Personagem!$Q$17&amp;""' or Col2 = '""&amp;Personagem!$Q$18&amp;""'""),
if('Time 5'!C6 = ""Lorelei"", query(IMPORTRANGE(cd_planilha, ""Armas!B3:G""), ""Select Col1 Wher"&amp;"e Col2 = '""&amp;Personagem!$R$17&amp;""' or Col2 = '""&amp;Personagem!$R$18&amp;""' ""),
if('Time 5'!C6 = ""Louca"", query(IMPORTRANGE(cd_planilha, ""Armas!B3:G""), ""Select Col1 Where Col2 = '""&amp;Personagem!$S$17&amp;""' or Col2 = '""&amp;Personagem!$S$18&amp;""' ""),
if('Time 5'!C"&amp;"6 = ""Melina"", query(IMPORTRANGE(cd_planilha, ""Armas!B3:G""), ""Select Col1 Where Col2 = '""&amp;Personagem!$T$17&amp;""' or Col2 = '""&amp;Personagem!$T$18&amp;""'""),
if('Time 5'!C6 = ""Mila"", query(IMPORTRANGE(cd_planilha, ""Armas!B3:G""), ""Select Col1 Where Col2 "&amp;"= '""&amp;Personagem!$U$17&amp;""' or Col2 = '""&amp;Personagem!$U$18&amp;""' ""),
if('Time 5'!C6 = ""Minh"", query(IMPORTRANGE(cd_planilha, ""Armas!B3:G""), ""Select Col1 Where Col2 = '""&amp;Personagem!$V$17&amp;""' or Col2 = '""&amp;Personagem!$V$18&amp;""' ""),
if('Time 5'!C6 = ""Mo"&amp;"jian"", query(IMPORTRANGE(cd_planilha, ""Armas!B3:G""), ""Select Col1 Where Col2 = '""&amp;Personagem!$W$17&amp;""' or Col2 = '""&amp;Personagem!$W$18&amp;""'""),
if('Time 5'!C6 = ""Nya"", query(IMPORTRANGE(cd_planilha, ""Armas!B3:G""), ""Select Col1 Where Col2 = '""&amp;Per"&amp;"sonagem!$X$17&amp;""' or Col2 = '""&amp;Personagem!$X$18&amp;""' ""),
if('Time 5'!C6 = ""Odette"", query(IMPORTRANGE(cd_planilha, ""Armas!B3:G""), ""Select Col1 Where Col2 = '""&amp;Personagem!$Y$17&amp;""' or Col2 = '""&amp;Personagem!$Y$18&amp;""'""),
if('Time 5'!C6 = ""Oneira"", "&amp;"query(IMPORTRANGE(cd_planilha, ""Armas!B3:G""), ""Select Col1 Where Col2 = '""&amp;Personagem!$Z$17&amp;""' or Col2 = '""&amp;Personagem!$Z$18&amp;""' ""),
if('Time 5'!C6 = ""Palash"", query(IMPORTRANGE(cd_planilha, ""Armas!B3:G""), ""Select Col1 Where Col2 = '""&amp;Persona"&amp;"gem!$AA$17&amp;""' or Col2 = '""&amp;Personagem!$AA$18&amp;""'""),
if('Time 5'!C6 = ""Theor"", query(IMPORTRANGE(cd_planilha, ""Armas!B3:G""), ""Select Col1 Where Col2 = '""&amp;Personagem!$AB$17&amp;""' or Col2 = '""&amp;Personagem!$AB$18&amp;""' ""),
if('Time 5'!C6 = ""Yue"", quer"&amp;"y(IMPORTRANGE(cd_planilha, ""Armas!B3:G""), ""Select Col1 Where Col2 = '""&amp;Personagem!$AC$17&amp;""' or Col2 = '""&amp;Personagem!$AC$18&amp;""'""
)))))))))))))))))))))))))))))"),"Pó Colorido")</f>
        <v>Pó Colorido</v>
      </c>
      <c r="H1389" s="241"/>
      <c r="I1389" s="241" t="str">
        <f>IFERROR(__xludf.DUMMYFUNCTION("if('Time 5'!C7 = ""Albert"", query(IMPORTRANGE(cd_planilha, ""Armas!B3:G""), ""Select Col1 Where Col2 = '""&amp;Personagem!$B$17&amp;""' or Col2 = '""&amp;Personagem!$B$18&amp;""'""),     
if('Time 5'!C7 = ""Alicia"", query(IMPORTRANGE(cd_planilha, ""Armas!B3:G""), ""Sel"&amp;"ect Col1 Where Col2 = '""&amp;Personagem!$C$17&amp;""' or Col2 = '""&amp;Personagem!$C$18&amp;""'""),
if('Time 5'!C7 = ""Azula"", query(IMPORTRANGE(cd_planilha, ""Armas!B3:G""), ""Select Col1 Where Col2 = '""&amp;Personagem!$D$17&amp;""' or Col2 = '""&amp;Personagem!$D$18&amp;""' ""),
i"&amp;"f('Time 5'!C7 = ""Charles"", query(IMPORTRANGE(cd_planilha, ""Armas!B3:G""), ""Select Col1 Where Col2 = '""&amp;Personagem!$E$17&amp;""' or Col2 = '""&amp;Personagem!$E$18&amp;""'""),
if('Time 5'!C7 = ""Clovis"", query(IMPORTRANGE(cd_planilha, ""Armas!B3:G""), ""Select C"&amp;"ol1 Where Col2 = '""&amp;Personagem!$F$17&amp;""' or Col2 = '""&amp;Personagem!$F$18&amp;""' ""),
if('Time 5'!C7 = ""Darthos"", query(IMPORTRANGE(cd_planilha, ""Armas!B3:G""), ""Select Col1 Where Col2 = '""&amp;Personagem!$G$17&amp;""' or Col2 = '""&amp;Personagem!$G$18&amp;""'""),
if('"&amp;"Time 5'!C7 = ""Edward"", query(IMPORTRANGE(cd_planilha, ""Armas!B3:G""), ""Select Col1 Where Col2 = '""&amp;Personagem!$H$17&amp;""' or Col2 = '""&amp;Personagem!$H$18&amp;""' ""),
if('Time 5'!C7 = ""Fiora"", query(IMPORTRANGE(cd_planilha, ""Armas!B3:G""), ""Select Col1 "&amp;"Where Col2 = '""&amp;Personagem!$I$17&amp;""' or Col2 = '""&amp;Personagem!$I$18&amp;""' ""),
if('Time 5'!C7 = ""Francesca"", query(IMPORTRANGE(cd_planilha, ""Armas!B3:G""), ""Select Col1 Where Col2 = '""&amp;Personagem!$J$17&amp;""' or Col2 = '""&amp;Personagem!$J$18&amp;""'""),
if('Ti"&amp;"me 5'!C7 = ""Garreth"", query(IMPORTRANGE(cd_planilha, ""Armas!B3:G""), ""Select Col1 Where Col2 = '""&amp;Personagem!$K$17&amp;""' or Col2 = '""&amp;Personagem!$K$18&amp;""'""),
if('Time 5'!C7 = ""Gauvin"", query(IMPORTRANGE(cd_planilha, ""Armas!B3:G""), ""Select Col1 W"&amp;"here Col2 = '""&amp;Personagem!$L$17&amp;""' or Col2 = '""&amp;Personagem!$L$18&amp;""' ""),
if('Time 5'!C7 = ""Irene"", query(IMPORTRANGE(cd_planilha, ""Armas!B3:G""), ""Select Col1 Where Col2 = '""&amp;Personagem!$M$17&amp;""' or Col2 = '""&amp;Personagem!$M$18&amp;""' ""),
if('Time 5"&amp;"'!C7 = ""Karal"", query(IMPORTRANGE(cd_planilha, ""Armas!B3:G""), ""Select Col1 Where Col2 = '""&amp;Personagem!$N$17&amp;""' or Col2 = '""&amp;Personagem!$N$18&amp;""' ""),
if('Time 5'!C7 = ""Kuro Shobi"", query(IMPORTRANGE(cd_planilha, ""Armas!B3:G""), ""Select Col1 Wh"&amp;"ere Col2 = '""&amp;Personagem!$O$17&amp;""' or Col2 = '""&amp;Personagem!$O$18&amp;""'""),
if('Time 5'!C7 = ""Kurul"", query(IMPORTRANGE(cd_planilha, ""Armas!B3:G""), ""Select Col1 Where Col2 = '""&amp;Personagem!$P$17&amp;""' or Col2 = '""&amp;Personagem!$P$18&amp;""' ""),
if('Time 5'!"&amp;"C7 = ""Lancaster"", query(IMPORTRANGE(cd_planilha, ""Armas!B3:G""), ""Select Col1 Where Col2 = '""&amp;Personagem!$Q$17&amp;""' or Col2 = '""&amp;Personagem!$Q$18&amp;""'""),
if('Time 5'!C7 = ""Lorelei"", query(IMPORTRANGE(cd_planilha, ""Armas!B3:G""), ""Select Col1 Wher"&amp;"e Col2 = '""&amp;Personagem!$R$17&amp;""' or Col2 = '""&amp;Personagem!$R$18&amp;""' ""),
if('Time 5'!C7 = ""Louca"", query(IMPORTRANGE(cd_planilha, ""Armas!B3:G""), ""Select Col1 Where Col2 = '""&amp;Personagem!$S$17&amp;""' or Col2 = '""&amp;Personagem!$S$18&amp;""' ""),
if('Time 5'!C"&amp;"7 = ""Melina"", query(IMPORTRANGE(cd_planilha, ""Armas!B3:G""), ""Select Col1 Where Col2 = '""&amp;Personagem!$T$17&amp;""' or Col2 = '""&amp;Personagem!$T$18&amp;""'""),
if('Time 5'!C7 = ""Mila"", query(IMPORTRANGE(cd_planilha, ""Armas!B3:G""), ""Select Col1 Where Col2 "&amp;"= '""&amp;Personagem!$U$17&amp;""' or Col2 = '""&amp;Personagem!$U$18&amp;""' ""),
if('Time 5'!C7 = ""Minh"", query(IMPORTRANGE(cd_planilha, ""Armas!B3:G""), ""Select Col1 Where Col2 = '""&amp;Personagem!$V$17&amp;""' or Col2 = '""&amp;Personagem!$V$18&amp;""' ""),
if('Time 5'!C7 = ""Mo"&amp;"jian"", query(IMPORTRANGE(cd_planilha, ""Armas!B3:G""), ""Select Col1 Where Col2 = '""&amp;Personagem!$W$17&amp;""' or Col2 = '""&amp;Personagem!$W$18&amp;""'""),
if('Time 5'!C7 = ""Nya"", query(IMPORTRANGE(cd_planilha, ""Armas!B3:G""), ""Select Col1 Where Col2 = '""&amp;Per"&amp;"sonagem!$X$17&amp;""' or Col2 = '""&amp;Personagem!$X$18&amp;""' ""),
if('Time 5'!C7 = ""Odette"", query(IMPORTRANGE(cd_planilha, ""Armas!B3:G""), ""Select Col1 Where Col2 = '""&amp;Personagem!$Y$17&amp;""' or Col2 = '""&amp;Personagem!$Y$18&amp;""'""),
if('Time 5'!C7 = ""Oneira"", "&amp;"query(IMPORTRANGE(cd_planilha, ""Armas!B3:G""), ""Select Col1 Where Col2 = '""&amp;Personagem!$Z$17&amp;""' or Col2 = '""&amp;Personagem!$Z$18&amp;""' ""),
if('Time 5'!C7 = ""Palash"", query(IMPORTRANGE(cd_planilha, ""Armas!B3:G""), ""Select Col1 Where Col2 = '""&amp;Persona"&amp;"gem!$AA$17&amp;""' or Col2 = '""&amp;Personagem!$AA$18&amp;""'""),
if('Time 5'!C7 = ""Theor"", query(IMPORTRANGE(cd_planilha, ""Armas!B3:G""), ""Select Col1 Where Col2 = '""&amp;Personagem!$AB$17&amp;""' or Col2 = '""&amp;Personagem!$AB$18&amp;""' ""),
if('Time 5'!C7 = ""Yue"", quer"&amp;"y(IMPORTRANGE(cd_planilha, ""Armas!B3:G""), ""Select Col1 Where Col2 = '""&amp;Personagem!$AC$17&amp;""' or Col2 = '""&amp;Personagem!$AC$18&amp;""'""
)))))))))))))))))))))))))))))"),"Pó Colorido")</f>
        <v>Pó Colorido</v>
      </c>
      <c r="J1389" s="241"/>
      <c r="K1389" s="241" t="b">
        <f>IFERROR(__xludf.DUMMYFUNCTION("if('Time 5'!C8 = ""Albert"", query(IMPORTRANGE(cd_planilha, ""Armas!B3:G""), ""Select Col1 Where Col2 = '""&amp;Personagem!$B$17&amp;""' or Col2 = '""&amp;Personagem!$B$18&amp;""'""),     
if('Time 5'!C8 = ""Alicia"", query(IMPORTRANGE(cd_planilha, ""Armas!B3:G""), ""Sel"&amp;"ect Col1 Where Col2 = '""&amp;Personagem!$C$17&amp;""' or Col2 = '""&amp;Personagem!$C$18&amp;""'""),
if('Time 5'!C8 = ""Azula"", query(IMPORTRANGE(cd_planilha, ""Armas!B3:G""), ""Select Col1 Where Col2 = '""&amp;Personagem!$D$17&amp;""' or Col2 = '""&amp;Personagem!$D$18&amp;""' ""),
i"&amp;"f('Time 5'!C8 = ""Charles"", query(IMPORTRANGE(cd_planilha, ""Armas!B3:G""), ""Select Col1 Where Col2 = '""&amp;Personagem!$E$17&amp;""' or Col2 = '""&amp;Personagem!$E$18&amp;""'""),
if('Time 5'!C8 = ""Clovis"", query(IMPORTRANGE(cd_planilha, ""Armas!B3:G""), ""Select C"&amp;"ol1 Where Col2 = '""&amp;Personagem!$F$17&amp;""' or Col2 = '""&amp;Personagem!$F$18&amp;""' ""),
if('Time 5'!C8 = ""Darthos"", query(IMPORTRANGE(cd_planilha, ""Armas!B3:G""), ""Select Col1 Where Col2 = '""&amp;Personagem!$G$17&amp;""' or Col2 = '""&amp;Personagem!$G$18&amp;""'""),
if('"&amp;"Time 5'!C8 = ""Edward"", query(IMPORTRANGE(cd_planilha, ""Armas!B3:G""), ""Select Col1 Where Col2 = '""&amp;Personagem!$H$17&amp;""' or Col2 = '""&amp;Personagem!$H$18&amp;""' ""),
if('Time 5'!C8 = ""Fiora"", query(IMPORTRANGE(cd_planilha, ""Armas!B3:G""), ""Select Col1 "&amp;"Where Col2 = '""&amp;Personagem!$I$17&amp;""' or Col2 = '""&amp;Personagem!$I$18&amp;""' ""),
if('Time 5'!C8 = ""Francesca"", query(IMPORTRANGE(cd_planilha, ""Armas!B3:G""), ""Select Col1 Where Col2 = '""&amp;Personagem!$J$17&amp;""' or Col2 = '""&amp;Personagem!$J$18&amp;""'""),
if('Ti"&amp;"me 5'!C8 = ""Garreth"", query(IMPORTRANGE(cd_planilha, ""Armas!B3:G""), ""Select Col1 Where Col2 = '""&amp;Personagem!$K$17&amp;""' or Col2 = '""&amp;Personagem!$K$18&amp;""'""),
if('Time 5'!C8 = ""Gauvin"", query(IMPORTRANGE(cd_planilha, ""Armas!B3:G""), ""Select Col1 W"&amp;"here Col2 = '""&amp;Personagem!$L$17&amp;""' or Col2 = '""&amp;Personagem!$L$18&amp;""' ""),
if('Time 5'!C8 = ""Irene"", query(IMPORTRANGE(cd_planilha, ""Armas!B3:G""), ""Select Col1 Where Col2 = '""&amp;Personagem!$M$17&amp;""' or Col2 = '""&amp;Personagem!$M$18&amp;""' ""),
if('Time 5"&amp;"'!C8 = ""Karal"", query(IMPORTRANGE(cd_planilha, ""Armas!B3:G""), ""Select Col1 Where Col2 = '""&amp;Personagem!$N$17&amp;""' or Col2 = '""&amp;Personagem!$N$18&amp;""' ""),
if('Time 5'!C8 = ""Kuro Shobi"", query(IMPORTRANGE(cd_planilha, ""Armas!B3:G""), ""Select Col1 Wh"&amp;"ere Col2 = '""&amp;Personagem!$O$17&amp;""' or Col2 = '""&amp;Personagem!$O$18&amp;""'""),
if('Time 5'!C8 = ""Kurul"", query(IMPORTRANGE(cd_planilha, ""Armas!B3:G""), ""Select Col1 Where Col2 = '""&amp;Personagem!$P$17&amp;""' or Col2 = '""&amp;Personagem!$P$18&amp;""' ""),
if('Time 5'!"&amp;"C8 = ""Lancaster"", query(IMPORTRANGE(cd_planilha, ""Armas!B3:G""), ""Select Col1 Where Col2 = '""&amp;Personagem!$Q$17&amp;""' or Col2 = '""&amp;Personagem!$Q$18&amp;""'""),
if('Time 5'!C8 = ""Lorelei"", query(IMPORTRANGE(cd_planilha, ""Armas!B3:G""), ""Select Col1 Wher"&amp;"e Col2 = '""&amp;Personagem!$R$17&amp;""' or Col2 = '""&amp;Personagem!$R$18&amp;""' ""),
if('Time 5'!C8 = ""Louca"", query(IMPORTRANGE(cd_planilha, ""Armas!B3:G""), ""Select Col1 Where Col2 = '""&amp;Personagem!$S$17&amp;""' or Col2 = '""&amp;Personagem!$S$18&amp;""' ""),
if('Time 5'!C"&amp;"8 = ""Melina"", query(IMPORTRANGE(cd_planilha, ""Armas!B3:G""), ""Select Col1 Where Col2 = '""&amp;Personagem!$T$17&amp;""' or Col2 = '""&amp;Personagem!$T$18&amp;""'""),
if('Time 5'!C8 = ""Mila"", query(IMPORTRANGE(cd_planilha, ""Armas!B3:G""), ""Select Col1 Where Col2 "&amp;"= '""&amp;Personagem!$U$17&amp;""' or Col2 = '""&amp;Personagem!$U$18&amp;""' ""),
if('Time 5'!C8 = ""Minh"", query(IMPORTRANGE(cd_planilha, ""Armas!B3:G""), ""Select Col1 Where Col2 = '""&amp;Personagem!$V$17&amp;""' or Col2 = '""&amp;Personagem!$V$18&amp;""' ""),
if('Time 5'!C8 = ""Mo"&amp;"jian"", query(IMPORTRANGE(cd_planilha, ""Armas!B3:G""), ""Select Col1 Where Col2 = '""&amp;Personagem!$W$17&amp;""' or Col2 = '""&amp;Personagem!$W$18&amp;""'""),
if('Time 5'!C8 = ""Nya"", query(IMPORTRANGE(cd_planilha, ""Armas!B3:G""), ""Select Col1 Where Col2 = '""&amp;Per"&amp;"sonagem!$X$17&amp;""' or Col2 = '""&amp;Personagem!$X$18&amp;""' ""),
if('Time 5'!C8 = ""Odette"", query(IMPORTRANGE(cd_planilha, ""Armas!B3:G""), ""Select Col1 Where Col2 = '""&amp;Personagem!$Y$17&amp;""' or Col2 = '""&amp;Personagem!$Y$18&amp;""'""),
if('Time 5'!C8 = ""Oneira"", "&amp;"query(IMPORTRANGE(cd_planilha, ""Armas!B3:G""), ""Select Col1 Where Col2 = '""&amp;Personagem!$Z$17&amp;""' or Col2 = '""&amp;Personagem!$Z$18&amp;""' ""),
if('Time 5'!C8 = ""Palash"", query(IMPORTRANGE(cd_planilha, ""Armas!B3:G""), ""Select Col1 Where Col2 = '""&amp;Persona"&amp;"gem!$AA$17&amp;""' or Col2 = '""&amp;Personagem!$AA$18&amp;""'""),
if('Time 5'!C8 = ""Theor"", query(IMPORTRANGE(cd_planilha, ""Armas!B3:G""), ""Select Col1 Where Col2 = '""&amp;Personagem!$AB$17&amp;""' or Col2 = '""&amp;Personagem!$AB$18&amp;""' ""),
if('Time 5'!C8 = ""Yue"", quer"&amp;"y(IMPORTRANGE(cd_planilha, ""Armas!B3:G""), ""Select Col1 Where Col2 = '""&amp;Personagem!$AC$17&amp;""' or Col2 = '""&amp;Personagem!$AC$18&amp;""'""
)))))))))))))))))))))))))))))"),FALSE)</f>
        <v>0</v>
      </c>
      <c r="L1389" s="242"/>
      <c r="M1389" s="241"/>
      <c r="N1389" s="241"/>
      <c r="O1389" s="241"/>
      <c r="P1389" s="241"/>
      <c r="Q1389" s="241"/>
      <c r="R1389" s="241"/>
      <c r="S1389" s="241"/>
      <c r="T1389" s="241"/>
      <c r="U1389" s="241"/>
      <c r="V1389" s="241"/>
      <c r="W1389" s="241"/>
      <c r="X1389" s="243"/>
      <c r="Y1389" s="243"/>
      <c r="Z1389" s="243"/>
      <c r="AA1389" s="243"/>
      <c r="AB1389" s="243"/>
      <c r="AC1389" s="243"/>
      <c r="AD1389" s="243"/>
      <c r="AE1389" s="243"/>
      <c r="AF1389" s="243"/>
      <c r="AG1389" s="243"/>
      <c r="AH1389" s="243"/>
      <c r="AI1389" s="243"/>
      <c r="AJ1389" s="243"/>
    </row>
    <row r="1390">
      <c r="A1390" s="224" t="str">
        <f>IFERROR(__xludf.DUMMYFUNCTION("""COMPUTED_VALUE"""),"Semente Rápida")</f>
        <v>Semente Rápida</v>
      </c>
      <c r="B1390" s="241"/>
      <c r="C1390" s="224" t="str">
        <f>IFERROR(__xludf.DUMMYFUNCTION("""COMPUTED_VALUE"""),"Semente Rápida")</f>
        <v>Semente Rápida</v>
      </c>
      <c r="D1390" s="241"/>
      <c r="E1390" s="224" t="str">
        <f>IFERROR(__xludf.DUMMYFUNCTION("""COMPUTED_VALUE"""),"Cálice")</f>
        <v>Cálice</v>
      </c>
      <c r="F1390" s="241"/>
      <c r="G1390" s="224" t="str">
        <f>IFERROR(__xludf.DUMMYFUNCTION("""COMPUTED_VALUE"""),"Semente Rápida")</f>
        <v>Semente Rápida</v>
      </c>
      <c r="H1390" s="241"/>
      <c r="I1390" s="224" t="str">
        <f>IFERROR(__xludf.DUMMYFUNCTION("""COMPUTED_VALUE"""),"Semente Rápida")</f>
        <v>Semente Rápida</v>
      </c>
      <c r="J1390" s="241"/>
      <c r="K1390" s="241"/>
      <c r="L1390" s="242"/>
      <c r="M1390" s="241"/>
      <c r="N1390" s="241"/>
      <c r="O1390" s="241"/>
      <c r="P1390" s="241"/>
      <c r="Q1390" s="241"/>
      <c r="R1390" s="241"/>
      <c r="S1390" s="241"/>
      <c r="T1390" s="241"/>
      <c r="U1390" s="241"/>
      <c r="V1390" s="241"/>
      <c r="W1390" s="241"/>
      <c r="X1390" s="243"/>
      <c r="Y1390" s="243"/>
      <c r="Z1390" s="243"/>
      <c r="AA1390" s="243"/>
      <c r="AB1390" s="243"/>
      <c r="AC1390" s="243"/>
      <c r="AD1390" s="243"/>
      <c r="AE1390" s="243"/>
      <c r="AF1390" s="243"/>
      <c r="AG1390" s="243"/>
      <c r="AH1390" s="243"/>
      <c r="AI1390" s="243"/>
      <c r="AJ1390" s="243"/>
    </row>
    <row r="1391" hidden="1">
      <c r="A1391" s="241" t="str">
        <f>IFERROR(__xludf.DUMMYFUNCTION("""COMPUTED_VALUE"""),"Chá Revitalizador ")</f>
        <v>Chá Revitalizador </v>
      </c>
      <c r="B1391" s="241"/>
      <c r="C1391" s="241" t="str">
        <f>IFERROR(__xludf.DUMMYFUNCTION("""COMPUTED_VALUE"""),"Chá Revitalizador ")</f>
        <v>Chá Revitalizador </v>
      </c>
      <c r="D1391" s="241"/>
      <c r="E1391" s="241" t="str">
        <f>IFERROR(__xludf.DUMMYFUNCTION("""COMPUTED_VALUE"""),"Sangue de Demônio")</f>
        <v>Sangue de Demônio</v>
      </c>
      <c r="F1391" s="241"/>
      <c r="G1391" s="241" t="str">
        <f>IFERROR(__xludf.DUMMYFUNCTION("""COMPUTED_VALUE"""),"Chá Revitalizador ")</f>
        <v>Chá Revitalizador </v>
      </c>
      <c r="H1391" s="241"/>
      <c r="I1391" s="241" t="str">
        <f>IFERROR(__xludf.DUMMYFUNCTION("""COMPUTED_VALUE"""),"Chá Revitalizador ")</f>
        <v>Chá Revitalizador </v>
      </c>
      <c r="J1391" s="241"/>
      <c r="K1391" s="241"/>
      <c r="L1391" s="242"/>
      <c r="M1391" s="241"/>
      <c r="N1391" s="241"/>
      <c r="O1391" s="241"/>
      <c r="P1391" s="241"/>
      <c r="Q1391" s="241"/>
      <c r="R1391" s="241"/>
      <c r="S1391" s="241"/>
      <c r="T1391" s="241"/>
      <c r="U1391" s="241"/>
      <c r="V1391" s="241"/>
      <c r="W1391" s="241"/>
      <c r="X1391" s="243"/>
      <c r="Y1391" s="243"/>
      <c r="Z1391" s="243"/>
      <c r="AA1391" s="243"/>
      <c r="AB1391" s="243"/>
      <c r="AC1391" s="243"/>
      <c r="AD1391" s="243"/>
      <c r="AE1391" s="243"/>
      <c r="AF1391" s="243"/>
      <c r="AG1391" s="243"/>
      <c r="AH1391" s="243"/>
      <c r="AI1391" s="243"/>
      <c r="AJ1391" s="243"/>
    </row>
    <row r="1392" hidden="1">
      <c r="A1392" s="241" t="str">
        <f>IFERROR(__xludf.DUMMYFUNCTION("""COMPUTED_VALUE"""),"Semente forte")</f>
        <v>Semente forte</v>
      </c>
      <c r="B1392" s="241"/>
      <c r="C1392" s="241" t="str">
        <f>IFERROR(__xludf.DUMMYFUNCTION("""COMPUTED_VALUE"""),"Semente forte")</f>
        <v>Semente forte</v>
      </c>
      <c r="D1392" s="241"/>
      <c r="E1392" s="241" t="str">
        <f>IFERROR(__xludf.DUMMYFUNCTION("""COMPUTED_VALUE"""),"Elven Sunblock")</f>
        <v>Elven Sunblock</v>
      </c>
      <c r="F1392" s="241"/>
      <c r="G1392" s="241" t="str">
        <f>IFERROR(__xludf.DUMMYFUNCTION("""COMPUTED_VALUE"""),"Semente forte")</f>
        <v>Semente forte</v>
      </c>
      <c r="H1392" s="241"/>
      <c r="I1392" s="241" t="str">
        <f>IFERROR(__xludf.DUMMYFUNCTION("""COMPUTED_VALUE"""),"Semente forte")</f>
        <v>Semente forte</v>
      </c>
      <c r="J1392" s="241"/>
      <c r="K1392" s="241"/>
      <c r="L1392" s="242"/>
      <c r="M1392" s="241"/>
      <c r="N1392" s="241"/>
      <c r="O1392" s="241"/>
      <c r="P1392" s="241"/>
      <c r="Q1392" s="241"/>
      <c r="R1392" s="241"/>
      <c r="S1392" s="241"/>
      <c r="T1392" s="241"/>
      <c r="U1392" s="241"/>
      <c r="V1392" s="241"/>
      <c r="W1392" s="241"/>
      <c r="X1392" s="243"/>
      <c r="Y1392" s="243"/>
      <c r="Z1392" s="243"/>
      <c r="AA1392" s="243"/>
      <c r="AB1392" s="243"/>
      <c r="AC1392" s="243"/>
      <c r="AD1392" s="243"/>
      <c r="AE1392" s="243"/>
      <c r="AF1392" s="243"/>
      <c r="AG1392" s="243"/>
      <c r="AH1392" s="243"/>
      <c r="AI1392" s="243"/>
      <c r="AJ1392" s="243"/>
    </row>
    <row r="1393" hidden="1">
      <c r="A1393" s="241" t="str">
        <f>IFERROR(__xludf.DUMMYFUNCTION("""COMPUTED_VALUE"""),"Panaceia")</f>
        <v>Panaceia</v>
      </c>
      <c r="B1393" s="241"/>
      <c r="C1393" s="241" t="str">
        <f>IFERROR(__xludf.DUMMYFUNCTION("""COMPUTED_VALUE"""),"Panaceia")</f>
        <v>Panaceia</v>
      </c>
      <c r="D1393" s="241"/>
      <c r="E1393" s="241" t="str">
        <f>IFERROR(__xludf.DUMMYFUNCTION("""COMPUTED_VALUE"""),"Elixir ")</f>
        <v>Elixir </v>
      </c>
      <c r="F1393" s="241"/>
      <c r="G1393" s="241" t="str">
        <f>IFERROR(__xludf.DUMMYFUNCTION("""COMPUTED_VALUE"""),"Panaceia")</f>
        <v>Panaceia</v>
      </c>
      <c r="H1393" s="241"/>
      <c r="I1393" s="241" t="str">
        <f>IFERROR(__xludf.DUMMYFUNCTION("""COMPUTED_VALUE"""),"Panaceia")</f>
        <v>Panaceia</v>
      </c>
      <c r="J1393" s="241"/>
      <c r="K1393" s="241"/>
      <c r="L1393" s="242"/>
      <c r="M1393" s="241"/>
      <c r="N1393" s="241"/>
      <c r="O1393" s="241"/>
      <c r="P1393" s="241"/>
      <c r="Q1393" s="241"/>
      <c r="R1393" s="241"/>
      <c r="S1393" s="241"/>
      <c r="T1393" s="241"/>
      <c r="U1393" s="241"/>
      <c r="V1393" s="241"/>
      <c r="W1393" s="241"/>
      <c r="X1393" s="243"/>
      <c r="Y1393" s="243"/>
      <c r="Z1393" s="243"/>
      <c r="AA1393" s="243"/>
      <c r="AB1393" s="243"/>
      <c r="AC1393" s="243"/>
      <c r="AD1393" s="243"/>
      <c r="AE1393" s="243"/>
      <c r="AF1393" s="243"/>
      <c r="AG1393" s="243"/>
      <c r="AH1393" s="243"/>
      <c r="AI1393" s="243"/>
      <c r="AJ1393" s="243"/>
    </row>
    <row r="1394" hidden="1">
      <c r="A1394" s="241" t="str">
        <f>IFERROR(__xludf.DUMMYFUNCTION("""COMPUTED_VALUE"""),"Lucky Clover")</f>
        <v>Lucky Clover</v>
      </c>
      <c r="B1394" s="241"/>
      <c r="C1394" s="241" t="str">
        <f>IFERROR(__xludf.DUMMYFUNCTION("""COMPUTED_VALUE"""),"Lucky Clover")</f>
        <v>Lucky Clover</v>
      </c>
      <c r="D1394" s="241"/>
      <c r="E1394" s="241" t="str">
        <f>IFERROR(__xludf.DUMMYFUNCTION("""COMPUTED_VALUE"""),"Sangue de Dragão ")</f>
        <v>Sangue de Dragão </v>
      </c>
      <c r="F1394" s="241"/>
      <c r="G1394" s="241" t="str">
        <f>IFERROR(__xludf.DUMMYFUNCTION("""COMPUTED_VALUE"""),"Lucky Clover")</f>
        <v>Lucky Clover</v>
      </c>
      <c r="H1394" s="241"/>
      <c r="I1394" s="241" t="str">
        <f>IFERROR(__xludf.DUMMYFUNCTION("""COMPUTED_VALUE"""),"Lucky Clover")</f>
        <v>Lucky Clover</v>
      </c>
      <c r="J1394" s="241"/>
      <c r="K1394" s="241"/>
      <c r="L1394" s="242"/>
      <c r="M1394" s="241"/>
      <c r="N1394" s="241"/>
      <c r="O1394" s="241"/>
      <c r="P1394" s="241"/>
      <c r="Q1394" s="241"/>
      <c r="R1394" s="241"/>
      <c r="S1394" s="241"/>
      <c r="T1394" s="241"/>
      <c r="U1394" s="241"/>
      <c r="V1394" s="241"/>
      <c r="W1394" s="241"/>
      <c r="X1394" s="243"/>
      <c r="Y1394" s="243"/>
      <c r="Z1394" s="243"/>
      <c r="AA1394" s="243"/>
      <c r="AB1394" s="243"/>
      <c r="AC1394" s="243"/>
      <c r="AD1394" s="243"/>
      <c r="AE1394" s="243"/>
      <c r="AF1394" s="243"/>
      <c r="AG1394" s="243"/>
      <c r="AH1394" s="243"/>
      <c r="AI1394" s="243"/>
      <c r="AJ1394" s="243"/>
    </row>
    <row r="1395" hidden="1">
      <c r="A1395" s="241" t="str">
        <f>IFERROR(__xludf.DUMMYFUNCTION("""COMPUTED_VALUE"""),"Semente mágica")</f>
        <v>Semente mágica</v>
      </c>
      <c r="B1395" s="241"/>
      <c r="C1395" s="241" t="str">
        <f>IFERROR(__xludf.DUMMYFUNCTION("""COMPUTED_VALUE"""),"Semente mágica")</f>
        <v>Semente mágica</v>
      </c>
      <c r="D1395" s="241"/>
      <c r="E1395" s="241" t="str">
        <f>IFERROR(__xludf.DUMMYFUNCTION("""COMPUTED_VALUE"""),"Megalixir ")</f>
        <v>Megalixir </v>
      </c>
      <c r="F1395" s="241"/>
      <c r="G1395" s="241" t="str">
        <f>IFERROR(__xludf.DUMMYFUNCTION("""COMPUTED_VALUE"""),"Semente mágica")</f>
        <v>Semente mágica</v>
      </c>
      <c r="H1395" s="241"/>
      <c r="I1395" s="241" t="str">
        <f>IFERROR(__xludf.DUMMYFUNCTION("""COMPUTED_VALUE"""),"Semente mágica")</f>
        <v>Semente mágica</v>
      </c>
      <c r="J1395" s="241"/>
      <c r="K1395" s="241"/>
      <c r="L1395" s="242"/>
      <c r="M1395" s="241"/>
      <c r="N1395" s="241"/>
      <c r="O1395" s="241"/>
      <c r="P1395" s="241"/>
      <c r="Q1395" s="241"/>
      <c r="R1395" s="241"/>
      <c r="S1395" s="241"/>
      <c r="T1395" s="241"/>
      <c r="U1395" s="241"/>
      <c r="V1395" s="241"/>
      <c r="W1395" s="241"/>
      <c r="X1395" s="243"/>
      <c r="Y1395" s="243"/>
      <c r="Z1395" s="243"/>
      <c r="AA1395" s="243"/>
      <c r="AB1395" s="243"/>
      <c r="AC1395" s="243"/>
      <c r="AD1395" s="243"/>
      <c r="AE1395" s="243"/>
      <c r="AF1395" s="243"/>
      <c r="AG1395" s="243"/>
      <c r="AH1395" s="243"/>
      <c r="AI1395" s="243"/>
      <c r="AJ1395" s="243"/>
    </row>
    <row r="1396" hidden="1">
      <c r="A1396" s="241" t="str">
        <f>IFERROR(__xludf.DUMMYFUNCTION("""COMPUTED_VALUE"""),"Feijões Mágicos ")</f>
        <v>Feijões Mágicos </v>
      </c>
      <c r="B1396" s="241"/>
      <c r="C1396" s="241" t="str">
        <f>IFERROR(__xludf.DUMMYFUNCTION("""COMPUTED_VALUE"""),"Feijões Mágicos ")</f>
        <v>Feijões Mágicos </v>
      </c>
      <c r="D1396" s="241"/>
      <c r="E1396" s="241" t="str">
        <f>IFERROR(__xludf.DUMMYFUNCTION("""COMPUTED_VALUE"""),"Elixir of Immortality")</f>
        <v>Elixir of Immortality</v>
      </c>
      <c r="F1396" s="241"/>
      <c r="G1396" s="241" t="str">
        <f>IFERROR(__xludf.DUMMYFUNCTION("""COMPUTED_VALUE"""),"Feijões Mágicos ")</f>
        <v>Feijões Mágicos </v>
      </c>
      <c r="H1396" s="241"/>
      <c r="I1396" s="241" t="str">
        <f>IFERROR(__xludf.DUMMYFUNCTION("""COMPUTED_VALUE"""),"Feijões Mágicos ")</f>
        <v>Feijões Mágicos </v>
      </c>
      <c r="J1396" s="241"/>
      <c r="K1396" s="241"/>
      <c r="L1396" s="242"/>
      <c r="M1396" s="241"/>
      <c r="N1396" s="241"/>
      <c r="O1396" s="241"/>
      <c r="P1396" s="241"/>
      <c r="Q1396" s="241"/>
      <c r="R1396" s="241"/>
      <c r="S1396" s="241"/>
      <c r="T1396" s="241"/>
      <c r="U1396" s="241"/>
      <c r="V1396" s="241"/>
      <c r="W1396" s="241"/>
      <c r="X1396" s="243"/>
      <c r="Y1396" s="243"/>
      <c r="Z1396" s="243"/>
      <c r="AA1396" s="243"/>
      <c r="AB1396" s="243"/>
      <c r="AC1396" s="243"/>
      <c r="AD1396" s="243"/>
      <c r="AE1396" s="243"/>
      <c r="AF1396" s="243"/>
      <c r="AG1396" s="243"/>
      <c r="AH1396" s="243"/>
      <c r="AI1396" s="243"/>
      <c r="AJ1396" s="243"/>
    </row>
    <row r="1397" hidden="1">
      <c r="A1397" s="241" t="str">
        <f>IFERROR(__xludf.DUMMYFUNCTION("""COMPUTED_VALUE"""),"Pó de demônio")</f>
        <v>Pó de demônio</v>
      </c>
      <c r="B1397" s="241"/>
      <c r="C1397" s="241" t="str">
        <f>IFERROR(__xludf.DUMMYFUNCTION("""COMPUTED_VALUE"""),"Pó de demônio")</f>
        <v>Pó de demônio</v>
      </c>
      <c r="D1397" s="241"/>
      <c r="E1397" s="241" t="str">
        <f>IFERROR(__xludf.DUMMYFUNCTION("""COMPUTED_VALUE"""),"Essência de Deus")</f>
        <v>Essência de Deus</v>
      </c>
      <c r="F1397" s="241"/>
      <c r="G1397" s="241" t="str">
        <f>IFERROR(__xludf.DUMMYFUNCTION("""COMPUTED_VALUE"""),"Pó de demônio")</f>
        <v>Pó de demônio</v>
      </c>
      <c r="H1397" s="241"/>
      <c r="I1397" s="241" t="str">
        <f>IFERROR(__xludf.DUMMYFUNCTION("""COMPUTED_VALUE"""),"Pó de demônio")</f>
        <v>Pó de demônio</v>
      </c>
      <c r="J1397" s="241"/>
      <c r="K1397" s="241"/>
      <c r="L1397" s="242"/>
      <c r="M1397" s="241"/>
      <c r="N1397" s="241"/>
      <c r="O1397" s="241"/>
      <c r="P1397" s="241"/>
      <c r="Q1397" s="241"/>
      <c r="R1397" s="241"/>
      <c r="S1397" s="241"/>
      <c r="T1397" s="241"/>
      <c r="U1397" s="241"/>
      <c r="V1397" s="241"/>
      <c r="W1397" s="241"/>
      <c r="X1397" s="243"/>
      <c r="Y1397" s="243"/>
      <c r="Z1397" s="243"/>
      <c r="AA1397" s="243"/>
      <c r="AB1397" s="243"/>
      <c r="AC1397" s="243"/>
      <c r="AD1397" s="243"/>
      <c r="AE1397" s="243"/>
      <c r="AF1397" s="243"/>
      <c r="AG1397" s="243"/>
      <c r="AH1397" s="243"/>
      <c r="AI1397" s="243"/>
      <c r="AJ1397" s="243"/>
    </row>
    <row r="1398" hidden="1">
      <c r="A1398" s="241" t="str">
        <f>IFERROR(__xludf.DUMMYFUNCTION("""COMPUTED_VALUE"""),"Chá dragônico")</f>
        <v>Chá dragônico</v>
      </c>
      <c r="B1398" s="241"/>
      <c r="C1398" s="241" t="str">
        <f>IFERROR(__xludf.DUMMYFUNCTION("""COMPUTED_VALUE"""),"Chá dragônico")</f>
        <v>Chá dragônico</v>
      </c>
      <c r="D1398" s="241"/>
      <c r="E1398" s="241" t="str">
        <f>IFERROR(__xludf.DUMMYFUNCTION("""COMPUTED_VALUE"""),"Poção de Obsidiana")</f>
        <v>Poção de Obsidiana</v>
      </c>
      <c r="F1398" s="241"/>
      <c r="G1398" s="241" t="str">
        <f>IFERROR(__xludf.DUMMYFUNCTION("""COMPUTED_VALUE"""),"Chá dragônico")</f>
        <v>Chá dragônico</v>
      </c>
      <c r="H1398" s="241"/>
      <c r="I1398" s="241" t="str">
        <f>IFERROR(__xludf.DUMMYFUNCTION("""COMPUTED_VALUE"""),"Chá dragônico")</f>
        <v>Chá dragônico</v>
      </c>
      <c r="J1398" s="241"/>
      <c r="K1398" s="241"/>
      <c r="L1398" s="242"/>
      <c r="M1398" s="241"/>
      <c r="N1398" s="241"/>
      <c r="O1398" s="241"/>
      <c r="P1398" s="241"/>
      <c r="Q1398" s="241"/>
      <c r="R1398" s="241"/>
      <c r="S1398" s="241"/>
      <c r="T1398" s="241"/>
      <c r="U1398" s="241"/>
      <c r="V1398" s="241"/>
      <c r="W1398" s="241"/>
      <c r="X1398" s="243"/>
      <c r="Y1398" s="243"/>
      <c r="Z1398" s="243"/>
      <c r="AA1398" s="243"/>
      <c r="AB1398" s="243"/>
      <c r="AC1398" s="243"/>
      <c r="AD1398" s="243"/>
      <c r="AE1398" s="243"/>
      <c r="AF1398" s="243"/>
      <c r="AG1398" s="243"/>
      <c r="AH1398" s="243"/>
      <c r="AI1398" s="243"/>
      <c r="AJ1398" s="243"/>
    </row>
    <row r="1399" hidden="1">
      <c r="A1399" s="241" t="str">
        <f>IFERROR(__xludf.DUMMYFUNCTION("""COMPUTED_VALUE"""),"Seed of Power")</f>
        <v>Seed of Power</v>
      </c>
      <c r="B1399" s="241"/>
      <c r="C1399" s="241" t="str">
        <f>IFERROR(__xludf.DUMMYFUNCTION("""COMPUTED_VALUE"""),"Seed of Power")</f>
        <v>Seed of Power</v>
      </c>
      <c r="D1399" s="241"/>
      <c r="E1399" s="241" t="str">
        <f>IFERROR(__xludf.DUMMYFUNCTION("""COMPUTED_VALUE"""),"Pirate's Brew")</f>
        <v>Pirate's Brew</v>
      </c>
      <c r="F1399" s="241"/>
      <c r="G1399" s="241" t="str">
        <f>IFERROR(__xludf.DUMMYFUNCTION("""COMPUTED_VALUE"""),"Seed of Power")</f>
        <v>Seed of Power</v>
      </c>
      <c r="H1399" s="241"/>
      <c r="I1399" s="241" t="str">
        <f>IFERROR(__xludf.DUMMYFUNCTION("""COMPUTED_VALUE"""),"Seed of Power")</f>
        <v>Seed of Power</v>
      </c>
      <c r="J1399" s="241"/>
      <c r="K1399" s="241"/>
      <c r="L1399" s="242"/>
      <c r="M1399" s="241"/>
      <c r="N1399" s="241"/>
      <c r="O1399" s="241"/>
      <c r="P1399" s="241"/>
      <c r="Q1399" s="241"/>
      <c r="R1399" s="241"/>
      <c r="S1399" s="241"/>
      <c r="T1399" s="241"/>
      <c r="U1399" s="241"/>
      <c r="V1399" s="241"/>
      <c r="W1399" s="241"/>
      <c r="X1399" s="243"/>
      <c r="Y1399" s="243"/>
      <c r="Z1399" s="243"/>
      <c r="AA1399" s="243"/>
      <c r="AB1399" s="243"/>
      <c r="AC1399" s="243"/>
      <c r="AD1399" s="243"/>
      <c r="AE1399" s="243"/>
      <c r="AF1399" s="243"/>
      <c r="AG1399" s="243"/>
      <c r="AH1399" s="243"/>
      <c r="AI1399" s="243"/>
      <c r="AJ1399" s="243"/>
    </row>
    <row r="1400" hidden="1">
      <c r="A1400" s="241" t="str">
        <f>IFERROR(__xludf.DUMMYFUNCTION("""COMPUTED_VALUE"""),"Sacred Mooncake")</f>
        <v>Sacred Mooncake</v>
      </c>
      <c r="B1400" s="241"/>
      <c r="C1400" s="241" t="str">
        <f>IFERROR(__xludf.DUMMYFUNCTION("""COMPUTED_VALUE"""),"Sacred Mooncake")</f>
        <v>Sacred Mooncake</v>
      </c>
      <c r="D1400" s="241"/>
      <c r="E1400" s="241" t="str">
        <f>IFERROR(__xludf.DUMMYFUNCTION("""COMPUTED_VALUE"""),"Poção Fogo de Dragão")</f>
        <v>Poção Fogo de Dragão</v>
      </c>
      <c r="F1400" s="241"/>
      <c r="G1400" s="241" t="str">
        <f>IFERROR(__xludf.DUMMYFUNCTION("""COMPUTED_VALUE"""),"Sacred Mooncake")</f>
        <v>Sacred Mooncake</v>
      </c>
      <c r="H1400" s="241"/>
      <c r="I1400" s="241" t="str">
        <f>IFERROR(__xludf.DUMMYFUNCTION("""COMPUTED_VALUE"""),"Sacred Mooncake")</f>
        <v>Sacred Mooncake</v>
      </c>
      <c r="J1400" s="241"/>
      <c r="K1400" s="241"/>
      <c r="L1400" s="242"/>
      <c r="M1400" s="241"/>
      <c r="N1400" s="241"/>
      <c r="O1400" s="241"/>
      <c r="P1400" s="241"/>
      <c r="Q1400" s="241"/>
      <c r="R1400" s="241"/>
      <c r="S1400" s="241"/>
      <c r="T1400" s="241"/>
      <c r="U1400" s="241"/>
      <c r="V1400" s="241"/>
      <c r="W1400" s="241"/>
      <c r="X1400" s="243"/>
      <c r="Y1400" s="243"/>
      <c r="Z1400" s="243"/>
      <c r="AA1400" s="243"/>
      <c r="AB1400" s="243"/>
      <c r="AC1400" s="243"/>
      <c r="AD1400" s="243"/>
      <c r="AE1400" s="243"/>
      <c r="AF1400" s="243"/>
      <c r="AG1400" s="243"/>
      <c r="AH1400" s="243"/>
      <c r="AI1400" s="243"/>
      <c r="AJ1400" s="243"/>
    </row>
    <row r="1401" hidden="1">
      <c r="A1401" s="241" t="str">
        <f>IFERROR(__xludf.DUMMYFUNCTION("""COMPUTED_VALUE"""),"Agulhas Envenenadas")</f>
        <v>Agulhas Envenenadas</v>
      </c>
      <c r="B1401" s="241"/>
      <c r="C1401" s="241" t="str">
        <f>IFERROR(__xludf.DUMMYFUNCTION("""COMPUTED_VALUE"""),"Totem da Dor")</f>
        <v>Totem da Dor</v>
      </c>
      <c r="D1401" s="241"/>
      <c r="E1401" s="241" t="str">
        <f>IFERROR(__xludf.DUMMYFUNCTION("""COMPUTED_VALUE"""),"Gaia's Essence")</f>
        <v>Gaia's Essence</v>
      </c>
      <c r="F1401" s="241"/>
      <c r="G1401" s="241"/>
      <c r="H1401" s="241"/>
      <c r="I1401" s="241" t="str">
        <f>IFERROR(__xludf.DUMMYFUNCTION("""COMPUTED_VALUE"""),"Totem da Dor")</f>
        <v>Totem da Dor</v>
      </c>
      <c r="J1401" s="241"/>
      <c r="K1401" s="241"/>
      <c r="L1401" s="242"/>
      <c r="M1401" s="241"/>
      <c r="N1401" s="241"/>
      <c r="O1401" s="241"/>
      <c r="P1401" s="241"/>
      <c r="Q1401" s="241"/>
      <c r="R1401" s="241"/>
      <c r="S1401" s="241"/>
      <c r="T1401" s="241"/>
      <c r="U1401" s="241"/>
      <c r="V1401" s="241"/>
      <c r="W1401" s="241"/>
      <c r="X1401" s="243"/>
      <c r="Y1401" s="243"/>
      <c r="Z1401" s="243"/>
      <c r="AA1401" s="243"/>
      <c r="AB1401" s="243"/>
      <c r="AC1401" s="243"/>
      <c r="AD1401" s="243"/>
      <c r="AE1401" s="243"/>
      <c r="AF1401" s="243"/>
      <c r="AG1401" s="243"/>
      <c r="AH1401" s="243"/>
      <c r="AI1401" s="243"/>
      <c r="AJ1401" s="243"/>
    </row>
    <row r="1402" hidden="1">
      <c r="A1402" s="241" t="str">
        <f>IFERROR(__xludf.DUMMYFUNCTION("""COMPUTED_VALUE"""),"Bomba Tóxica")</f>
        <v>Bomba Tóxica</v>
      </c>
      <c r="B1402" s="241"/>
      <c r="C1402" s="241" t="str">
        <f>IFERROR(__xludf.DUMMYFUNCTION("""COMPUTED_VALUE"""),"A arte da guerra")</f>
        <v>A arte da guerra</v>
      </c>
      <c r="D1402" s="241"/>
      <c r="E1402" s="241" t="str">
        <f>IFERROR(__xludf.DUMMYFUNCTION("""COMPUTED_VALUE"""),"Unholy Potion")</f>
        <v>Unholy Potion</v>
      </c>
      <c r="F1402" s="241"/>
      <c r="G1402" s="241"/>
      <c r="H1402" s="241"/>
      <c r="I1402" s="241" t="str">
        <f>IFERROR(__xludf.DUMMYFUNCTION("""COMPUTED_VALUE"""),"A arte da guerra")</f>
        <v>A arte da guerra</v>
      </c>
      <c r="J1402" s="241"/>
      <c r="K1402" s="241"/>
      <c r="L1402" s="242"/>
      <c r="M1402" s="241"/>
      <c r="N1402" s="241"/>
      <c r="O1402" s="241"/>
      <c r="P1402" s="241"/>
      <c r="Q1402" s="241"/>
      <c r="R1402" s="241"/>
      <c r="S1402" s="241"/>
      <c r="T1402" s="241"/>
      <c r="U1402" s="241"/>
      <c r="V1402" s="241"/>
      <c r="W1402" s="241"/>
      <c r="X1402" s="243"/>
      <c r="Y1402" s="243"/>
      <c r="Z1402" s="243"/>
      <c r="AA1402" s="243"/>
      <c r="AB1402" s="243"/>
      <c r="AC1402" s="243"/>
      <c r="AD1402" s="243"/>
      <c r="AE1402" s="243"/>
      <c r="AF1402" s="243"/>
      <c r="AG1402" s="243"/>
      <c r="AH1402" s="243"/>
      <c r="AI1402" s="243"/>
      <c r="AJ1402" s="243"/>
    </row>
    <row r="1403" hidden="1">
      <c r="A1403" s="241" t="str">
        <f>IFERROR(__xludf.DUMMYFUNCTION("""COMPUTED_VALUE"""),"Shuriken Mágico")</f>
        <v>Shuriken Mágico</v>
      </c>
      <c r="B1403" s="241"/>
      <c r="C1403" s="241" t="str">
        <f>IFERROR(__xludf.DUMMYFUNCTION("""COMPUTED_VALUE"""),"Ordem Imperial")</f>
        <v>Ordem Imperial</v>
      </c>
      <c r="D1403" s="241"/>
      <c r="E1403" s="241" t="str">
        <f>IFERROR(__xludf.DUMMYFUNCTION("""COMPUTED_VALUE"""),"Agulhas Envenenadas")</f>
        <v>Agulhas Envenenadas</v>
      </c>
      <c r="F1403" s="241"/>
      <c r="G1403" s="241"/>
      <c r="H1403" s="241"/>
      <c r="I1403" s="241" t="str">
        <f>IFERROR(__xludf.DUMMYFUNCTION("""COMPUTED_VALUE"""),"Ordem Imperial")</f>
        <v>Ordem Imperial</v>
      </c>
      <c r="J1403" s="241"/>
      <c r="K1403" s="241"/>
      <c r="L1403" s="242"/>
      <c r="M1403" s="241"/>
      <c r="N1403" s="241"/>
      <c r="O1403" s="241"/>
      <c r="P1403" s="241"/>
      <c r="Q1403" s="241"/>
      <c r="R1403" s="241"/>
      <c r="S1403" s="241"/>
      <c r="T1403" s="241"/>
      <c r="U1403" s="241"/>
      <c r="V1403" s="241"/>
      <c r="W1403" s="241"/>
      <c r="X1403" s="243"/>
      <c r="Y1403" s="243"/>
      <c r="Z1403" s="243"/>
      <c r="AA1403" s="243"/>
      <c r="AB1403" s="243"/>
      <c r="AC1403" s="243"/>
      <c r="AD1403" s="243"/>
      <c r="AE1403" s="243"/>
      <c r="AF1403" s="243"/>
      <c r="AG1403" s="243"/>
      <c r="AH1403" s="243"/>
      <c r="AI1403" s="243"/>
      <c r="AJ1403" s="243"/>
    </row>
    <row r="1404" hidden="1">
      <c r="A1404" s="241" t="str">
        <f>IFERROR(__xludf.DUMMYFUNCTION("""COMPUTED_VALUE"""),"Milho Arco-íris")</f>
        <v>Milho Arco-íris</v>
      </c>
      <c r="B1404" s="241"/>
      <c r="C1404" s="241" t="str">
        <f>IFERROR(__xludf.DUMMYFUNCTION("""COMPUTED_VALUE"""),"Celtic Slate")</f>
        <v>Celtic Slate</v>
      </c>
      <c r="D1404" s="241"/>
      <c r="E1404" s="241" t="str">
        <f>IFERROR(__xludf.DUMMYFUNCTION("""COMPUTED_VALUE"""),"Bomba Tóxica")</f>
        <v>Bomba Tóxica</v>
      </c>
      <c r="F1404" s="241"/>
      <c r="G1404" s="241"/>
      <c r="H1404" s="241"/>
      <c r="I1404" s="241" t="str">
        <f>IFERROR(__xludf.DUMMYFUNCTION("""COMPUTED_VALUE"""),"Celtic Slate")</f>
        <v>Celtic Slate</v>
      </c>
      <c r="J1404" s="241"/>
      <c r="K1404" s="241"/>
      <c r="L1404" s="242"/>
      <c r="M1404" s="241"/>
      <c r="N1404" s="241"/>
      <c r="O1404" s="241"/>
      <c r="P1404" s="241"/>
      <c r="Q1404" s="241"/>
      <c r="R1404" s="241"/>
      <c r="S1404" s="241"/>
      <c r="T1404" s="241"/>
      <c r="U1404" s="241"/>
      <c r="V1404" s="241"/>
      <c r="W1404" s="241"/>
      <c r="X1404" s="243"/>
      <c r="Y1404" s="243"/>
      <c r="Z1404" s="243"/>
      <c r="AA1404" s="243"/>
      <c r="AB1404" s="243"/>
      <c r="AC1404" s="243"/>
      <c r="AD1404" s="243"/>
      <c r="AE1404" s="243"/>
      <c r="AF1404" s="243"/>
      <c r="AG1404" s="243"/>
      <c r="AH1404" s="243"/>
      <c r="AI1404" s="243"/>
      <c r="AJ1404" s="243"/>
    </row>
    <row r="1405" hidden="1">
      <c r="A1405" s="241" t="str">
        <f>IFERROR(__xludf.DUMMYFUNCTION("""COMPUTED_VALUE"""),"Chakran Cantante")</f>
        <v>Chakran Cantante</v>
      </c>
      <c r="B1405" s="241"/>
      <c r="C1405" s="241" t="str">
        <f>IFERROR(__xludf.DUMMYFUNCTION("""COMPUTED_VALUE"""),"Codéx Mágico")</f>
        <v>Codéx Mágico</v>
      </c>
      <c r="D1405" s="241"/>
      <c r="E1405" s="241" t="str">
        <f>IFERROR(__xludf.DUMMYFUNCTION("""COMPUTED_VALUE"""),"Shuriken Mágico")</f>
        <v>Shuriken Mágico</v>
      </c>
      <c r="F1405" s="241"/>
      <c r="G1405" s="241"/>
      <c r="H1405" s="241"/>
      <c r="I1405" s="241" t="str">
        <f>IFERROR(__xludf.DUMMYFUNCTION("""COMPUTED_VALUE"""),"Codéx Mágico")</f>
        <v>Codéx Mágico</v>
      </c>
      <c r="J1405" s="241"/>
      <c r="K1405" s="241"/>
      <c r="L1405" s="242"/>
      <c r="M1405" s="241"/>
      <c r="N1405" s="241"/>
      <c r="O1405" s="241"/>
      <c r="P1405" s="241"/>
      <c r="Q1405" s="241"/>
      <c r="R1405" s="241"/>
      <c r="S1405" s="241"/>
      <c r="T1405" s="241"/>
      <c r="U1405" s="241"/>
      <c r="V1405" s="241"/>
      <c r="W1405" s="241"/>
      <c r="X1405" s="243"/>
      <c r="Y1405" s="243"/>
      <c r="Z1405" s="243"/>
      <c r="AA1405" s="243"/>
      <c r="AB1405" s="243"/>
      <c r="AC1405" s="243"/>
      <c r="AD1405" s="243"/>
      <c r="AE1405" s="243"/>
      <c r="AF1405" s="243"/>
      <c r="AG1405" s="243"/>
      <c r="AH1405" s="243"/>
      <c r="AI1405" s="243"/>
      <c r="AJ1405" s="243"/>
    </row>
    <row r="1406" hidden="1">
      <c r="A1406" s="241" t="str">
        <f>IFERROR(__xludf.DUMMYFUNCTION("""COMPUTED_VALUE"""),"Dardos Explosivos")</f>
        <v>Dardos Explosivos</v>
      </c>
      <c r="B1406" s="241"/>
      <c r="C1406" s="241" t="str">
        <f>IFERROR(__xludf.DUMMYFUNCTION("""COMPUTED_VALUE"""),"Selo do Mal")</f>
        <v>Selo do Mal</v>
      </c>
      <c r="D1406" s="241"/>
      <c r="E1406" s="241" t="str">
        <f>IFERROR(__xludf.DUMMYFUNCTION("""COMPUTED_VALUE"""),"Milho Arco-íris")</f>
        <v>Milho Arco-íris</v>
      </c>
      <c r="F1406" s="241"/>
      <c r="G1406" s="241"/>
      <c r="H1406" s="241"/>
      <c r="I1406" s="241" t="str">
        <f>IFERROR(__xludf.DUMMYFUNCTION("""COMPUTED_VALUE"""),"Selo do Mal")</f>
        <v>Selo do Mal</v>
      </c>
      <c r="J1406" s="241"/>
      <c r="K1406" s="241"/>
      <c r="L1406" s="242"/>
      <c r="M1406" s="241"/>
      <c r="N1406" s="241"/>
      <c r="O1406" s="241"/>
      <c r="P1406" s="241"/>
      <c r="Q1406" s="241"/>
      <c r="R1406" s="241"/>
      <c r="S1406" s="241"/>
      <c r="T1406" s="241"/>
      <c r="U1406" s="241"/>
      <c r="V1406" s="241"/>
      <c r="W1406" s="241"/>
      <c r="X1406" s="243"/>
      <c r="Y1406" s="243"/>
      <c r="Z1406" s="243"/>
      <c r="AA1406" s="243"/>
      <c r="AB1406" s="243"/>
      <c r="AC1406" s="243"/>
      <c r="AD1406" s="243"/>
      <c r="AE1406" s="243"/>
      <c r="AF1406" s="243"/>
      <c r="AG1406" s="243"/>
      <c r="AH1406" s="243"/>
      <c r="AI1406" s="243"/>
      <c r="AJ1406" s="243"/>
    </row>
    <row r="1407" hidden="1">
      <c r="A1407" s="241" t="str">
        <f>IFERROR(__xludf.DUMMYFUNCTION("""COMPUTED_VALUE"""),"Fura-Coração")</f>
        <v>Fura-Coração</v>
      </c>
      <c r="B1407" s="241"/>
      <c r="C1407" s="241" t="str">
        <f>IFERROR(__xludf.DUMMYFUNCTION("""COMPUTED_VALUE"""),"Selo de Tigre")</f>
        <v>Selo de Tigre</v>
      </c>
      <c r="D1407" s="241"/>
      <c r="E1407" s="241" t="str">
        <f>IFERROR(__xludf.DUMMYFUNCTION("""COMPUTED_VALUE"""),"Chakran Cantante")</f>
        <v>Chakran Cantante</v>
      </c>
      <c r="F1407" s="241"/>
      <c r="G1407" s="241"/>
      <c r="H1407" s="241"/>
      <c r="I1407" s="241" t="str">
        <f>IFERROR(__xludf.DUMMYFUNCTION("""COMPUTED_VALUE"""),"Selo de Tigre")</f>
        <v>Selo de Tigre</v>
      </c>
      <c r="J1407" s="241"/>
      <c r="K1407" s="241"/>
      <c r="L1407" s="242"/>
      <c r="M1407" s="241"/>
      <c r="N1407" s="241"/>
      <c r="O1407" s="241"/>
      <c r="P1407" s="241"/>
      <c r="Q1407" s="241"/>
      <c r="R1407" s="241"/>
      <c r="S1407" s="241"/>
      <c r="T1407" s="241"/>
      <c r="U1407" s="241"/>
      <c r="V1407" s="241"/>
      <c r="W1407" s="241"/>
      <c r="X1407" s="243"/>
      <c r="Y1407" s="243"/>
      <c r="Z1407" s="243"/>
      <c r="AA1407" s="243"/>
      <c r="AB1407" s="243"/>
      <c r="AC1407" s="243"/>
      <c r="AD1407" s="243"/>
      <c r="AE1407" s="243"/>
      <c r="AF1407" s="243"/>
      <c r="AG1407" s="243"/>
      <c r="AH1407" s="243"/>
      <c r="AI1407" s="243"/>
      <c r="AJ1407" s="243"/>
    </row>
    <row r="1408" hidden="1">
      <c r="A1408" s="241" t="str">
        <f>IFERROR(__xludf.DUMMYFUNCTION("""COMPUTED_VALUE"""),"Estrondo de trovão")</f>
        <v>Estrondo de trovão</v>
      </c>
      <c r="B1408" s="241"/>
      <c r="C1408" s="241" t="str">
        <f>IFERROR(__xludf.DUMMYFUNCTION("""COMPUTED_VALUE"""),"Compêndio Arcano")</f>
        <v>Compêndio Arcano</v>
      </c>
      <c r="D1408" s="241"/>
      <c r="E1408" s="241" t="str">
        <f>IFERROR(__xludf.DUMMYFUNCTION("""COMPUTED_VALUE"""),"Dardos Explosivos")</f>
        <v>Dardos Explosivos</v>
      </c>
      <c r="F1408" s="241"/>
      <c r="G1408" s="241"/>
      <c r="H1408" s="241"/>
      <c r="I1408" s="241" t="str">
        <f>IFERROR(__xludf.DUMMYFUNCTION("""COMPUTED_VALUE"""),"Compêndio Arcano")</f>
        <v>Compêndio Arcano</v>
      </c>
      <c r="J1408" s="241"/>
      <c r="K1408" s="241"/>
      <c r="L1408" s="242"/>
      <c r="M1408" s="241"/>
      <c r="N1408" s="241"/>
      <c r="O1408" s="241"/>
      <c r="P1408" s="241"/>
      <c r="Q1408" s="241"/>
      <c r="R1408" s="241"/>
      <c r="S1408" s="241"/>
      <c r="T1408" s="241"/>
      <c r="U1408" s="241"/>
      <c r="V1408" s="241"/>
      <c r="W1408" s="241"/>
      <c r="X1408" s="243"/>
      <c r="Y1408" s="243"/>
      <c r="Z1408" s="243"/>
      <c r="AA1408" s="243"/>
      <c r="AB1408" s="243"/>
      <c r="AC1408" s="243"/>
      <c r="AD1408" s="243"/>
      <c r="AE1408" s="243"/>
      <c r="AF1408" s="243"/>
      <c r="AG1408" s="243"/>
      <c r="AH1408" s="243"/>
      <c r="AI1408" s="243"/>
      <c r="AJ1408" s="243"/>
    </row>
    <row r="1409" hidden="1">
      <c r="A1409" s="241" t="str">
        <f>IFERROR(__xludf.DUMMYFUNCTION("""COMPUTED_VALUE"""),"Kunai de fogo-gelo")</f>
        <v>Kunai de fogo-gelo</v>
      </c>
      <c r="B1409" s="241"/>
      <c r="C1409" s="241" t="str">
        <f>IFERROR(__xludf.DUMMYFUNCTION("""COMPUTED_VALUE"""),"Pergaminho de Retorno")</f>
        <v>Pergaminho de Retorno</v>
      </c>
      <c r="D1409" s="241"/>
      <c r="E1409" s="241" t="str">
        <f>IFERROR(__xludf.DUMMYFUNCTION("""COMPUTED_VALUE"""),"Fura-Coração")</f>
        <v>Fura-Coração</v>
      </c>
      <c r="F1409" s="241"/>
      <c r="G1409" s="241"/>
      <c r="H1409" s="241"/>
      <c r="I1409" s="241" t="str">
        <f>IFERROR(__xludf.DUMMYFUNCTION("""COMPUTED_VALUE"""),"Pergaminho de Retorno")</f>
        <v>Pergaminho de Retorno</v>
      </c>
      <c r="J1409" s="241"/>
      <c r="K1409" s="241"/>
      <c r="L1409" s="242"/>
      <c r="M1409" s="241"/>
      <c r="N1409" s="241"/>
      <c r="O1409" s="241"/>
      <c r="P1409" s="241"/>
      <c r="Q1409" s="241"/>
      <c r="R1409" s="241"/>
      <c r="S1409" s="241"/>
      <c r="T1409" s="241"/>
      <c r="U1409" s="241"/>
      <c r="V1409" s="241"/>
      <c r="W1409" s="241"/>
      <c r="X1409" s="243"/>
      <c r="Y1409" s="243"/>
      <c r="Z1409" s="243"/>
      <c r="AA1409" s="243"/>
      <c r="AB1409" s="243"/>
      <c r="AC1409" s="243"/>
      <c r="AD1409" s="243"/>
      <c r="AE1409" s="243"/>
      <c r="AF1409" s="243"/>
      <c r="AG1409" s="243"/>
      <c r="AH1409" s="243"/>
      <c r="AI1409" s="243"/>
      <c r="AJ1409" s="243"/>
    </row>
    <row r="1410" hidden="1">
      <c r="A1410" s="241" t="str">
        <f>IFERROR(__xludf.DUMMYFUNCTION("""COMPUTED_VALUE"""),"Eggsplosives")</f>
        <v>Eggsplosives</v>
      </c>
      <c r="B1410" s="241"/>
      <c r="C1410" s="241" t="str">
        <f>IFERROR(__xludf.DUMMYFUNCTION("""COMPUTED_VALUE"""),"Tomo Divino")</f>
        <v>Tomo Divino</v>
      </c>
      <c r="D1410" s="241"/>
      <c r="E1410" s="241" t="str">
        <f>IFERROR(__xludf.DUMMYFUNCTION("""COMPUTED_VALUE"""),"Estrondo de trovão")</f>
        <v>Estrondo de trovão</v>
      </c>
      <c r="F1410" s="241"/>
      <c r="G1410" s="241"/>
      <c r="H1410" s="241"/>
      <c r="I1410" s="241" t="str">
        <f>IFERROR(__xludf.DUMMYFUNCTION("""COMPUTED_VALUE"""),"Tomo Divino")</f>
        <v>Tomo Divino</v>
      </c>
      <c r="J1410" s="241"/>
      <c r="K1410" s="241"/>
      <c r="L1410" s="242"/>
      <c r="M1410" s="241"/>
      <c r="N1410" s="241"/>
      <c r="O1410" s="241"/>
      <c r="P1410" s="241"/>
      <c r="Q1410" s="241"/>
      <c r="R1410" s="241"/>
      <c r="S1410" s="241"/>
      <c r="T1410" s="241"/>
      <c r="U1410" s="241"/>
      <c r="V1410" s="241"/>
      <c r="W1410" s="241"/>
      <c r="X1410" s="243"/>
      <c r="Y1410" s="243"/>
      <c r="Z1410" s="243"/>
      <c r="AA1410" s="243"/>
      <c r="AB1410" s="243"/>
      <c r="AC1410" s="243"/>
      <c r="AD1410" s="243"/>
      <c r="AE1410" s="243"/>
      <c r="AF1410" s="243"/>
      <c r="AG1410" s="243"/>
      <c r="AH1410" s="243"/>
      <c r="AI1410" s="243"/>
      <c r="AJ1410" s="243"/>
    </row>
    <row r="1411" hidden="1">
      <c r="A1411" s="241" t="str">
        <f>IFERROR(__xludf.DUMMYFUNCTION("""COMPUTED_VALUE"""),"Bomba do Inferno")</f>
        <v>Bomba do Inferno</v>
      </c>
      <c r="B1411" s="241"/>
      <c r="C1411" s="241" t="str">
        <f>IFERROR(__xludf.DUMMYFUNCTION("""COMPUTED_VALUE"""),"Pergaminho Assombrado")</f>
        <v>Pergaminho Assombrado</v>
      </c>
      <c r="D1411" s="241"/>
      <c r="E1411" s="241" t="str">
        <f>IFERROR(__xludf.DUMMYFUNCTION("""COMPUTED_VALUE"""),"Kunai de fogo-gelo")</f>
        <v>Kunai de fogo-gelo</v>
      </c>
      <c r="F1411" s="241"/>
      <c r="G1411" s="241"/>
      <c r="H1411" s="241"/>
      <c r="I1411" s="241" t="str">
        <f>IFERROR(__xludf.DUMMYFUNCTION("""COMPUTED_VALUE"""),"Pergaminho Assombrado")</f>
        <v>Pergaminho Assombrado</v>
      </c>
      <c r="J1411" s="241"/>
      <c r="K1411" s="241"/>
      <c r="L1411" s="242"/>
      <c r="M1411" s="241"/>
      <c r="N1411" s="241"/>
      <c r="O1411" s="241"/>
      <c r="P1411" s="241"/>
      <c r="Q1411" s="241"/>
      <c r="R1411" s="241"/>
      <c r="S1411" s="241"/>
      <c r="T1411" s="241"/>
      <c r="U1411" s="241"/>
      <c r="V1411" s="241"/>
      <c r="W1411" s="241"/>
      <c r="X1411" s="243"/>
      <c r="Y1411" s="243"/>
      <c r="Z1411" s="243"/>
      <c r="AA1411" s="243"/>
      <c r="AB1411" s="243"/>
      <c r="AC1411" s="243"/>
      <c r="AD1411" s="243"/>
      <c r="AE1411" s="243"/>
      <c r="AF1411" s="243"/>
      <c r="AG1411" s="243"/>
      <c r="AH1411" s="243"/>
      <c r="AI1411" s="243"/>
      <c r="AJ1411" s="243"/>
    </row>
    <row r="1412" hidden="1">
      <c r="A1412" s="241" t="str">
        <f>IFERROR(__xludf.DUMMYFUNCTION("""COMPUTED_VALUE"""),"Flying Guillotine")</f>
        <v>Flying Guillotine</v>
      </c>
      <c r="B1412" s="241"/>
      <c r="C1412" s="241" t="str">
        <f>IFERROR(__xludf.DUMMYFUNCTION("""COMPUTED_VALUE"""),"Guardian Seal")</f>
        <v>Guardian Seal</v>
      </c>
      <c r="D1412" s="241"/>
      <c r="E1412" s="241" t="str">
        <f>IFERROR(__xludf.DUMMYFUNCTION("""COMPUTED_VALUE"""),"Eggsplosives")</f>
        <v>Eggsplosives</v>
      </c>
      <c r="F1412" s="241"/>
      <c r="G1412" s="241"/>
      <c r="H1412" s="241"/>
      <c r="I1412" s="241" t="str">
        <f>IFERROR(__xludf.DUMMYFUNCTION("""COMPUTED_VALUE"""),"Guardian Seal")</f>
        <v>Guardian Seal</v>
      </c>
      <c r="J1412" s="241"/>
      <c r="K1412" s="241"/>
      <c r="L1412" s="242"/>
      <c r="M1412" s="241"/>
      <c r="N1412" s="241"/>
      <c r="O1412" s="241"/>
      <c r="P1412" s="241"/>
      <c r="Q1412" s="241"/>
      <c r="R1412" s="241"/>
      <c r="S1412" s="241"/>
      <c r="T1412" s="241"/>
      <c r="U1412" s="241"/>
      <c r="V1412" s="241"/>
      <c r="W1412" s="241"/>
      <c r="X1412" s="243"/>
      <c r="Y1412" s="243"/>
      <c r="Z1412" s="243"/>
      <c r="AA1412" s="243"/>
      <c r="AB1412" s="243"/>
      <c r="AC1412" s="243"/>
      <c r="AD1412" s="243"/>
      <c r="AE1412" s="243"/>
      <c r="AF1412" s="243"/>
      <c r="AG1412" s="243"/>
      <c r="AH1412" s="243"/>
      <c r="AI1412" s="243"/>
      <c r="AJ1412" s="243"/>
    </row>
    <row r="1413" hidden="1">
      <c r="A1413" s="241" t="str">
        <f>IFERROR(__xludf.DUMMYFUNCTION("""COMPUTED_VALUE"""),"Quicksilver")</f>
        <v>Quicksilver</v>
      </c>
      <c r="B1413" s="241"/>
      <c r="C1413" s="241" t="str">
        <f>IFERROR(__xludf.DUMMYFUNCTION("""COMPUTED_VALUE"""),"Pergaminho de sangue")</f>
        <v>Pergaminho de sangue</v>
      </c>
      <c r="D1413" s="241"/>
      <c r="E1413" s="241" t="str">
        <f>IFERROR(__xludf.DUMMYFUNCTION("""COMPUTED_VALUE"""),"Bomba do Inferno")</f>
        <v>Bomba do Inferno</v>
      </c>
      <c r="F1413" s="241"/>
      <c r="G1413" s="241"/>
      <c r="H1413" s="241"/>
      <c r="I1413" s="241" t="str">
        <f>IFERROR(__xludf.DUMMYFUNCTION("""COMPUTED_VALUE"""),"Pergaminho de sangue")</f>
        <v>Pergaminho de sangue</v>
      </c>
      <c r="J1413" s="241"/>
      <c r="K1413" s="241"/>
      <c r="L1413" s="242"/>
      <c r="M1413" s="241"/>
      <c r="N1413" s="241"/>
      <c r="O1413" s="241"/>
      <c r="P1413" s="241"/>
      <c r="Q1413" s="241"/>
      <c r="R1413" s="241"/>
      <c r="S1413" s="241"/>
      <c r="T1413" s="241"/>
      <c r="U1413" s="241"/>
      <c r="V1413" s="241"/>
      <c r="W1413" s="241"/>
      <c r="X1413" s="243"/>
      <c r="Y1413" s="243"/>
      <c r="Z1413" s="243"/>
      <c r="AA1413" s="243"/>
      <c r="AB1413" s="243"/>
      <c r="AC1413" s="243"/>
      <c r="AD1413" s="243"/>
      <c r="AE1413" s="243"/>
      <c r="AF1413" s="243"/>
      <c r="AG1413" s="243"/>
      <c r="AH1413" s="243"/>
      <c r="AI1413" s="243"/>
      <c r="AJ1413" s="243"/>
    </row>
    <row r="1414" hidden="1">
      <c r="A1414" s="241"/>
      <c r="B1414" s="241"/>
      <c r="C1414" s="241"/>
      <c r="D1414" s="241"/>
      <c r="E1414" s="241" t="str">
        <f>IFERROR(__xludf.DUMMYFUNCTION("""COMPUTED_VALUE"""),"Flying Guillotine")</f>
        <v>Flying Guillotine</v>
      </c>
      <c r="F1414" s="241"/>
      <c r="G1414" s="241"/>
      <c r="H1414" s="241"/>
      <c r="I1414" s="241"/>
      <c r="J1414" s="241"/>
      <c r="K1414" s="241"/>
      <c r="L1414" s="242"/>
      <c r="M1414" s="241"/>
      <c r="N1414" s="241"/>
      <c r="O1414" s="241"/>
      <c r="P1414" s="241"/>
      <c r="Q1414" s="241"/>
      <c r="R1414" s="241"/>
      <c r="S1414" s="241"/>
      <c r="T1414" s="241"/>
      <c r="U1414" s="241"/>
      <c r="V1414" s="241"/>
      <c r="W1414" s="241"/>
      <c r="X1414" s="243"/>
      <c r="Y1414" s="243"/>
      <c r="Z1414" s="243"/>
      <c r="AA1414" s="243"/>
      <c r="AB1414" s="243"/>
      <c r="AC1414" s="243"/>
      <c r="AD1414" s="243"/>
      <c r="AE1414" s="243"/>
      <c r="AF1414" s="243"/>
      <c r="AG1414" s="243"/>
      <c r="AH1414" s="243"/>
      <c r="AI1414" s="243"/>
      <c r="AJ1414" s="243"/>
    </row>
    <row r="1415" hidden="1">
      <c r="A1415" s="241"/>
      <c r="B1415" s="241"/>
      <c r="C1415" s="241"/>
      <c r="D1415" s="241"/>
      <c r="E1415" s="241" t="str">
        <f>IFERROR(__xludf.DUMMYFUNCTION("""COMPUTED_VALUE"""),"Quicksilver")</f>
        <v>Quicksilver</v>
      </c>
      <c r="F1415" s="241"/>
      <c r="G1415" s="241"/>
      <c r="H1415" s="241"/>
      <c r="I1415" s="241"/>
      <c r="J1415" s="241"/>
      <c r="K1415" s="241"/>
      <c r="L1415" s="242"/>
      <c r="M1415" s="241"/>
      <c r="N1415" s="241"/>
      <c r="O1415" s="241"/>
      <c r="P1415" s="241"/>
      <c r="Q1415" s="241"/>
      <c r="R1415" s="241"/>
      <c r="S1415" s="241"/>
      <c r="T1415" s="241"/>
      <c r="U1415" s="241"/>
      <c r="V1415" s="241"/>
      <c r="W1415" s="241"/>
      <c r="X1415" s="243"/>
      <c r="Y1415" s="243"/>
      <c r="Z1415" s="243"/>
      <c r="AA1415" s="243"/>
      <c r="AB1415" s="243"/>
      <c r="AC1415" s="243"/>
      <c r="AD1415" s="243"/>
      <c r="AE1415" s="243"/>
      <c r="AF1415" s="243"/>
      <c r="AG1415" s="243"/>
      <c r="AH1415" s="243"/>
      <c r="AI1415" s="243"/>
      <c r="AJ1415" s="243"/>
    </row>
    <row r="1416" hidden="1">
      <c r="A1416" s="241"/>
      <c r="B1416" s="241"/>
      <c r="C1416" s="241"/>
      <c r="D1416" s="241"/>
      <c r="E1416" s="241"/>
      <c r="F1416" s="241"/>
      <c r="G1416" s="241"/>
      <c r="H1416" s="241"/>
      <c r="I1416" s="241"/>
      <c r="J1416" s="241"/>
      <c r="K1416" s="241"/>
      <c r="L1416" s="242"/>
      <c r="M1416" s="241"/>
      <c r="N1416" s="241"/>
      <c r="O1416" s="241"/>
      <c r="P1416" s="241"/>
      <c r="Q1416" s="241"/>
      <c r="R1416" s="241"/>
      <c r="S1416" s="241"/>
      <c r="T1416" s="241"/>
      <c r="U1416" s="241"/>
      <c r="V1416" s="241"/>
      <c r="W1416" s="241"/>
      <c r="X1416" s="243"/>
      <c r="Y1416" s="243"/>
      <c r="Z1416" s="243"/>
      <c r="AA1416" s="243"/>
      <c r="AB1416" s="243"/>
      <c r="AC1416" s="243"/>
      <c r="AD1416" s="243"/>
      <c r="AE1416" s="243"/>
      <c r="AF1416" s="243"/>
      <c r="AG1416" s="243"/>
      <c r="AH1416" s="243"/>
      <c r="AI1416" s="243"/>
      <c r="AJ1416" s="243"/>
    </row>
    <row r="1417" hidden="1">
      <c r="A1417" s="241"/>
      <c r="B1417" s="241"/>
      <c r="C1417" s="241"/>
      <c r="D1417" s="241"/>
      <c r="E1417" s="241"/>
      <c r="F1417" s="241"/>
      <c r="G1417" s="241"/>
      <c r="H1417" s="241"/>
      <c r="I1417" s="241"/>
      <c r="J1417" s="241"/>
      <c r="K1417" s="241"/>
      <c r="L1417" s="242"/>
      <c r="M1417" s="241"/>
      <c r="N1417" s="241"/>
      <c r="O1417" s="241"/>
      <c r="P1417" s="241"/>
      <c r="Q1417" s="241"/>
      <c r="R1417" s="241"/>
      <c r="S1417" s="241"/>
      <c r="T1417" s="241"/>
      <c r="U1417" s="241"/>
      <c r="V1417" s="241"/>
      <c r="W1417" s="241"/>
      <c r="X1417" s="243"/>
      <c r="Y1417" s="243"/>
      <c r="Z1417" s="243"/>
      <c r="AA1417" s="243"/>
      <c r="AB1417" s="243"/>
      <c r="AC1417" s="243"/>
      <c r="AD1417" s="243"/>
      <c r="AE1417" s="243"/>
      <c r="AF1417" s="243"/>
      <c r="AG1417" s="243"/>
      <c r="AH1417" s="243"/>
      <c r="AI1417" s="243"/>
      <c r="AJ1417" s="243"/>
    </row>
    <row r="1418" hidden="1">
      <c r="A1418" s="241"/>
      <c r="B1418" s="241"/>
      <c r="C1418" s="241"/>
      <c r="D1418" s="241"/>
      <c r="E1418" s="241"/>
      <c r="F1418" s="241"/>
      <c r="G1418" s="241"/>
      <c r="H1418" s="241"/>
      <c r="I1418" s="241"/>
      <c r="J1418" s="241"/>
      <c r="K1418" s="241"/>
      <c r="L1418" s="242"/>
      <c r="M1418" s="241"/>
      <c r="N1418" s="241"/>
      <c r="O1418" s="241"/>
      <c r="P1418" s="241"/>
      <c r="Q1418" s="241"/>
      <c r="R1418" s="241"/>
      <c r="S1418" s="241"/>
      <c r="T1418" s="241"/>
      <c r="U1418" s="241"/>
      <c r="V1418" s="241"/>
      <c r="W1418" s="241"/>
      <c r="X1418" s="243"/>
      <c r="Y1418" s="243"/>
      <c r="Z1418" s="243"/>
      <c r="AA1418" s="243"/>
      <c r="AB1418" s="243"/>
      <c r="AC1418" s="243"/>
      <c r="AD1418" s="243"/>
      <c r="AE1418" s="243"/>
      <c r="AF1418" s="243"/>
      <c r="AG1418" s="243"/>
      <c r="AH1418" s="243"/>
      <c r="AI1418" s="243"/>
      <c r="AJ1418" s="243"/>
    </row>
    <row r="1419" hidden="1">
      <c r="A1419" s="241"/>
      <c r="B1419" s="241"/>
      <c r="C1419" s="241"/>
      <c r="D1419" s="241"/>
      <c r="E1419" s="241"/>
      <c r="F1419" s="241"/>
      <c r="G1419" s="241"/>
      <c r="H1419" s="241"/>
      <c r="I1419" s="241"/>
      <c r="J1419" s="241"/>
      <c r="K1419" s="241"/>
      <c r="L1419" s="242"/>
      <c r="M1419" s="241"/>
      <c r="N1419" s="241"/>
      <c r="O1419" s="241"/>
      <c r="P1419" s="241"/>
      <c r="Q1419" s="241"/>
      <c r="R1419" s="241"/>
      <c r="S1419" s="241"/>
      <c r="T1419" s="241"/>
      <c r="U1419" s="241"/>
      <c r="V1419" s="241"/>
      <c r="W1419" s="241"/>
      <c r="X1419" s="243"/>
      <c r="Y1419" s="243"/>
      <c r="Z1419" s="243"/>
      <c r="AA1419" s="243"/>
      <c r="AB1419" s="243"/>
      <c r="AC1419" s="243"/>
      <c r="AD1419" s="243"/>
      <c r="AE1419" s="243"/>
      <c r="AF1419" s="243"/>
      <c r="AG1419" s="243"/>
      <c r="AH1419" s="243"/>
      <c r="AI1419" s="243"/>
      <c r="AJ1419" s="243"/>
    </row>
    <row r="1420" hidden="1">
      <c r="A1420" s="241"/>
      <c r="B1420" s="241"/>
      <c r="C1420" s="241"/>
      <c r="D1420" s="241"/>
      <c r="E1420" s="241"/>
      <c r="F1420" s="241"/>
      <c r="G1420" s="241"/>
      <c r="H1420" s="241"/>
      <c r="I1420" s="241"/>
      <c r="J1420" s="241"/>
      <c r="K1420" s="241"/>
      <c r="L1420" s="242"/>
      <c r="M1420" s="241"/>
      <c r="N1420" s="241"/>
      <c r="O1420" s="241"/>
      <c r="P1420" s="241"/>
      <c r="Q1420" s="241"/>
      <c r="R1420" s="241"/>
      <c r="S1420" s="241"/>
      <c r="T1420" s="241"/>
      <c r="U1420" s="241"/>
      <c r="V1420" s="241"/>
      <c r="W1420" s="241"/>
      <c r="X1420" s="243"/>
      <c r="Y1420" s="243"/>
      <c r="Z1420" s="243"/>
      <c r="AA1420" s="243"/>
      <c r="AB1420" s="243"/>
      <c r="AC1420" s="243"/>
      <c r="AD1420" s="243"/>
      <c r="AE1420" s="243"/>
      <c r="AF1420" s="243"/>
      <c r="AG1420" s="243"/>
      <c r="AH1420" s="243"/>
      <c r="AI1420" s="243"/>
      <c r="AJ1420" s="243"/>
    </row>
    <row r="1421" hidden="1">
      <c r="A1421" s="241"/>
      <c r="B1421" s="241"/>
      <c r="C1421" s="241"/>
      <c r="D1421" s="241"/>
      <c r="E1421" s="241"/>
      <c r="F1421" s="241"/>
      <c r="G1421" s="241"/>
      <c r="H1421" s="241"/>
      <c r="I1421" s="241"/>
      <c r="J1421" s="241"/>
      <c r="K1421" s="241"/>
      <c r="L1421" s="242"/>
      <c r="M1421" s="241"/>
      <c r="N1421" s="241"/>
      <c r="O1421" s="241"/>
      <c r="P1421" s="241"/>
      <c r="Q1421" s="241"/>
      <c r="R1421" s="241"/>
      <c r="S1421" s="241"/>
      <c r="T1421" s="241"/>
      <c r="U1421" s="241"/>
      <c r="V1421" s="241"/>
      <c r="W1421" s="241"/>
      <c r="X1421" s="243"/>
      <c r="Y1421" s="243"/>
      <c r="Z1421" s="243"/>
      <c r="AA1421" s="243"/>
      <c r="AB1421" s="243"/>
      <c r="AC1421" s="243"/>
      <c r="AD1421" s="243"/>
      <c r="AE1421" s="243"/>
      <c r="AF1421" s="243"/>
      <c r="AG1421" s="243"/>
      <c r="AH1421" s="243"/>
      <c r="AI1421" s="243"/>
      <c r="AJ1421" s="243"/>
    </row>
    <row r="1422" hidden="1">
      <c r="A1422" s="241"/>
      <c r="B1422" s="241"/>
      <c r="C1422" s="241"/>
      <c r="D1422" s="241"/>
      <c r="E1422" s="241"/>
      <c r="F1422" s="241"/>
      <c r="G1422" s="241"/>
      <c r="H1422" s="241"/>
      <c r="I1422" s="241"/>
      <c r="J1422" s="241"/>
      <c r="K1422" s="241"/>
      <c r="L1422" s="242"/>
      <c r="M1422" s="241"/>
      <c r="N1422" s="241"/>
      <c r="O1422" s="241"/>
      <c r="P1422" s="241"/>
      <c r="Q1422" s="241"/>
      <c r="R1422" s="241"/>
      <c r="S1422" s="241"/>
      <c r="T1422" s="241"/>
      <c r="U1422" s="241"/>
      <c r="V1422" s="241"/>
      <c r="W1422" s="241"/>
      <c r="X1422" s="243"/>
      <c r="Y1422" s="243"/>
      <c r="Z1422" s="243"/>
      <c r="AA1422" s="243"/>
      <c r="AB1422" s="243"/>
      <c r="AC1422" s="243"/>
      <c r="AD1422" s="243"/>
      <c r="AE1422" s="243"/>
      <c r="AF1422" s="243"/>
      <c r="AG1422" s="243"/>
      <c r="AH1422" s="243"/>
      <c r="AI1422" s="243"/>
      <c r="AJ1422" s="243"/>
    </row>
    <row r="1423" hidden="1">
      <c r="A1423" s="241"/>
      <c r="B1423" s="241"/>
      <c r="C1423" s="241"/>
      <c r="D1423" s="241"/>
      <c r="E1423" s="241"/>
      <c r="F1423" s="241"/>
      <c r="G1423" s="241"/>
      <c r="H1423" s="241"/>
      <c r="I1423" s="241"/>
      <c r="J1423" s="241"/>
      <c r="K1423" s="241"/>
      <c r="L1423" s="242"/>
      <c r="M1423" s="241"/>
      <c r="N1423" s="241"/>
      <c r="O1423" s="241"/>
      <c r="P1423" s="241"/>
      <c r="Q1423" s="241"/>
      <c r="R1423" s="241"/>
      <c r="S1423" s="241"/>
      <c r="T1423" s="241"/>
      <c r="U1423" s="241"/>
      <c r="V1423" s="241"/>
      <c r="W1423" s="241"/>
      <c r="X1423" s="243"/>
      <c r="Y1423" s="243"/>
      <c r="Z1423" s="243"/>
      <c r="AA1423" s="243"/>
      <c r="AB1423" s="243"/>
      <c r="AC1423" s="243"/>
      <c r="AD1423" s="243"/>
      <c r="AE1423" s="243"/>
      <c r="AF1423" s="243"/>
      <c r="AG1423" s="243"/>
      <c r="AH1423" s="243"/>
      <c r="AI1423" s="243"/>
      <c r="AJ1423" s="243"/>
    </row>
    <row r="1424" hidden="1">
      <c r="A1424" s="241"/>
      <c r="B1424" s="241"/>
      <c r="C1424" s="241"/>
      <c r="D1424" s="241"/>
      <c r="E1424" s="241"/>
      <c r="F1424" s="241"/>
      <c r="G1424" s="241"/>
      <c r="H1424" s="241"/>
      <c r="I1424" s="241"/>
      <c r="J1424" s="241"/>
      <c r="K1424" s="241"/>
      <c r="L1424" s="242"/>
      <c r="M1424" s="241"/>
      <c r="N1424" s="241"/>
      <c r="O1424" s="241"/>
      <c r="P1424" s="241"/>
      <c r="Q1424" s="241"/>
      <c r="R1424" s="241"/>
      <c r="S1424" s="241"/>
      <c r="T1424" s="241"/>
      <c r="U1424" s="241"/>
      <c r="V1424" s="241"/>
      <c r="W1424" s="241"/>
      <c r="X1424" s="243"/>
      <c r="Y1424" s="243"/>
      <c r="Z1424" s="243"/>
      <c r="AA1424" s="243"/>
      <c r="AB1424" s="243"/>
      <c r="AC1424" s="243"/>
      <c r="AD1424" s="243"/>
      <c r="AE1424" s="243"/>
      <c r="AF1424" s="243"/>
      <c r="AG1424" s="243"/>
      <c r="AH1424" s="243"/>
      <c r="AI1424" s="243"/>
      <c r="AJ1424" s="243"/>
    </row>
    <row r="1425" hidden="1">
      <c r="A1425" s="241"/>
      <c r="B1425" s="241"/>
      <c r="C1425" s="241"/>
      <c r="D1425" s="241"/>
      <c r="E1425" s="241"/>
      <c r="F1425" s="241"/>
      <c r="G1425" s="241"/>
      <c r="H1425" s="241"/>
      <c r="I1425" s="241"/>
      <c r="J1425" s="241"/>
      <c r="K1425" s="241"/>
      <c r="L1425" s="242"/>
      <c r="M1425" s="241"/>
      <c r="N1425" s="241"/>
      <c r="O1425" s="241"/>
      <c r="P1425" s="241"/>
      <c r="Q1425" s="241"/>
      <c r="R1425" s="241"/>
      <c r="S1425" s="241"/>
      <c r="T1425" s="241"/>
      <c r="U1425" s="241"/>
      <c r="V1425" s="241"/>
      <c r="W1425" s="241"/>
      <c r="X1425" s="243"/>
      <c r="Y1425" s="243"/>
      <c r="Z1425" s="243"/>
      <c r="AA1425" s="243"/>
      <c r="AB1425" s="243"/>
      <c r="AC1425" s="243"/>
      <c r="AD1425" s="243"/>
      <c r="AE1425" s="243"/>
      <c r="AF1425" s="243"/>
      <c r="AG1425" s="243"/>
      <c r="AH1425" s="243"/>
      <c r="AI1425" s="243"/>
      <c r="AJ1425" s="243"/>
    </row>
    <row r="1426" hidden="1">
      <c r="A1426" s="241"/>
      <c r="B1426" s="241"/>
      <c r="C1426" s="241"/>
      <c r="D1426" s="241"/>
      <c r="E1426" s="241"/>
      <c r="F1426" s="241"/>
      <c r="G1426" s="241"/>
      <c r="H1426" s="241"/>
      <c r="I1426" s="241"/>
      <c r="J1426" s="241"/>
      <c r="K1426" s="241"/>
      <c r="L1426" s="242"/>
      <c r="M1426" s="241"/>
      <c r="N1426" s="241"/>
      <c r="O1426" s="241"/>
      <c r="P1426" s="241"/>
      <c r="Q1426" s="241"/>
      <c r="R1426" s="241"/>
      <c r="S1426" s="241"/>
      <c r="T1426" s="241"/>
      <c r="U1426" s="241"/>
      <c r="V1426" s="241"/>
      <c r="W1426" s="241"/>
      <c r="X1426" s="243"/>
      <c r="Y1426" s="243"/>
      <c r="Z1426" s="243"/>
      <c r="AA1426" s="243"/>
      <c r="AB1426" s="243"/>
      <c r="AC1426" s="243"/>
      <c r="AD1426" s="243"/>
      <c r="AE1426" s="243"/>
      <c r="AF1426" s="243"/>
      <c r="AG1426" s="243"/>
      <c r="AH1426" s="243"/>
      <c r="AI1426" s="243"/>
      <c r="AJ1426" s="243"/>
    </row>
    <row r="1427" hidden="1">
      <c r="A1427" s="241"/>
      <c r="B1427" s="241"/>
      <c r="C1427" s="241"/>
      <c r="D1427" s="241"/>
      <c r="E1427" s="241"/>
      <c r="F1427" s="241"/>
      <c r="G1427" s="241"/>
      <c r="H1427" s="241"/>
      <c r="I1427" s="241"/>
      <c r="J1427" s="241"/>
      <c r="K1427" s="241"/>
      <c r="L1427" s="242"/>
      <c r="M1427" s="241"/>
      <c r="N1427" s="241"/>
      <c r="O1427" s="241"/>
      <c r="P1427" s="241"/>
      <c r="Q1427" s="241"/>
      <c r="R1427" s="241"/>
      <c r="S1427" s="241"/>
      <c r="T1427" s="241"/>
      <c r="U1427" s="241"/>
      <c r="V1427" s="241"/>
      <c r="W1427" s="241"/>
      <c r="X1427" s="243"/>
      <c r="Y1427" s="243"/>
      <c r="Z1427" s="243"/>
      <c r="AA1427" s="243"/>
      <c r="AB1427" s="243"/>
      <c r="AC1427" s="243"/>
      <c r="AD1427" s="243"/>
      <c r="AE1427" s="243"/>
      <c r="AF1427" s="243"/>
      <c r="AG1427" s="243"/>
      <c r="AH1427" s="243"/>
      <c r="AI1427" s="243"/>
      <c r="AJ1427" s="243"/>
    </row>
    <row r="1428" hidden="1">
      <c r="A1428" s="241"/>
      <c r="B1428" s="241"/>
      <c r="C1428" s="241"/>
      <c r="D1428" s="241"/>
      <c r="E1428" s="241"/>
      <c r="F1428" s="241"/>
      <c r="G1428" s="241"/>
      <c r="H1428" s="241"/>
      <c r="I1428" s="241"/>
      <c r="J1428" s="241"/>
      <c r="K1428" s="241"/>
      <c r="L1428" s="242"/>
      <c r="M1428" s="241"/>
      <c r="N1428" s="241"/>
      <c r="O1428" s="241"/>
      <c r="P1428" s="241"/>
      <c r="Q1428" s="241"/>
      <c r="R1428" s="241"/>
      <c r="S1428" s="241"/>
      <c r="T1428" s="241"/>
      <c r="U1428" s="241"/>
      <c r="V1428" s="241"/>
      <c r="W1428" s="241"/>
      <c r="X1428" s="243"/>
      <c r="Y1428" s="243"/>
      <c r="Z1428" s="243"/>
      <c r="AA1428" s="243"/>
      <c r="AB1428" s="243"/>
      <c r="AC1428" s="243"/>
      <c r="AD1428" s="243"/>
      <c r="AE1428" s="243"/>
      <c r="AF1428" s="243"/>
      <c r="AG1428" s="243"/>
      <c r="AH1428" s="243"/>
      <c r="AI1428" s="243"/>
      <c r="AJ1428" s="243"/>
    </row>
    <row r="1429" hidden="1">
      <c r="A1429" s="241"/>
      <c r="B1429" s="241"/>
      <c r="C1429" s="241"/>
      <c r="D1429" s="241"/>
      <c r="E1429" s="241"/>
      <c r="F1429" s="241"/>
      <c r="G1429" s="241"/>
      <c r="H1429" s="241"/>
      <c r="I1429" s="241"/>
      <c r="J1429" s="241"/>
      <c r="K1429" s="241"/>
      <c r="L1429" s="242"/>
      <c r="M1429" s="241"/>
      <c r="N1429" s="241"/>
      <c r="O1429" s="241"/>
      <c r="P1429" s="241"/>
      <c r="Q1429" s="241"/>
      <c r="R1429" s="241"/>
      <c r="S1429" s="241"/>
      <c r="T1429" s="241"/>
      <c r="U1429" s="241"/>
      <c r="V1429" s="241"/>
      <c r="W1429" s="241"/>
      <c r="X1429" s="243"/>
      <c r="Y1429" s="243"/>
      <c r="Z1429" s="243"/>
      <c r="AA1429" s="243"/>
      <c r="AB1429" s="243"/>
      <c r="AC1429" s="243"/>
      <c r="AD1429" s="243"/>
      <c r="AE1429" s="243"/>
      <c r="AF1429" s="243"/>
      <c r="AG1429" s="243"/>
      <c r="AH1429" s="243"/>
      <c r="AI1429" s="243"/>
      <c r="AJ1429" s="243"/>
    </row>
    <row r="1430" hidden="1">
      <c r="A1430" s="241"/>
      <c r="B1430" s="241"/>
      <c r="C1430" s="241"/>
      <c r="D1430" s="241"/>
      <c r="E1430" s="241"/>
      <c r="F1430" s="241"/>
      <c r="G1430" s="241"/>
      <c r="H1430" s="241"/>
      <c r="I1430" s="241"/>
      <c r="J1430" s="241"/>
      <c r="K1430" s="241"/>
      <c r="L1430" s="242"/>
      <c r="M1430" s="241"/>
      <c r="N1430" s="241"/>
      <c r="O1430" s="241"/>
      <c r="P1430" s="241"/>
      <c r="Q1430" s="241"/>
      <c r="R1430" s="241"/>
      <c r="S1430" s="241"/>
      <c r="T1430" s="241"/>
      <c r="U1430" s="241"/>
      <c r="V1430" s="241"/>
      <c r="W1430" s="241"/>
      <c r="X1430" s="243"/>
      <c r="Y1430" s="243"/>
      <c r="Z1430" s="243"/>
      <c r="AA1430" s="243"/>
      <c r="AB1430" s="243"/>
      <c r="AC1430" s="243"/>
      <c r="AD1430" s="243"/>
      <c r="AE1430" s="243"/>
      <c r="AF1430" s="243"/>
      <c r="AG1430" s="243"/>
      <c r="AH1430" s="243"/>
      <c r="AI1430" s="243"/>
      <c r="AJ1430" s="243"/>
    </row>
    <row r="1431" hidden="1">
      <c r="A1431" s="241"/>
      <c r="B1431" s="241"/>
      <c r="C1431" s="241"/>
      <c r="D1431" s="241"/>
      <c r="E1431" s="241"/>
      <c r="F1431" s="241"/>
      <c r="G1431" s="241"/>
      <c r="H1431" s="241"/>
      <c r="I1431" s="241"/>
      <c r="J1431" s="241"/>
      <c r="K1431" s="241"/>
      <c r="L1431" s="242"/>
      <c r="M1431" s="241"/>
      <c r="N1431" s="241"/>
      <c r="O1431" s="241"/>
      <c r="P1431" s="241"/>
      <c r="Q1431" s="241"/>
      <c r="R1431" s="241"/>
      <c r="S1431" s="241"/>
      <c r="T1431" s="241"/>
      <c r="U1431" s="241"/>
      <c r="V1431" s="241"/>
      <c r="W1431" s="241"/>
      <c r="X1431" s="243"/>
      <c r="Y1431" s="243"/>
      <c r="Z1431" s="243"/>
      <c r="AA1431" s="243"/>
      <c r="AB1431" s="243"/>
      <c r="AC1431" s="243"/>
      <c r="AD1431" s="243"/>
      <c r="AE1431" s="243"/>
      <c r="AF1431" s="243"/>
      <c r="AG1431" s="243"/>
      <c r="AH1431" s="243"/>
      <c r="AI1431" s="243"/>
      <c r="AJ1431" s="243"/>
    </row>
    <row r="1432" hidden="1">
      <c r="A1432" s="241"/>
      <c r="B1432" s="241"/>
      <c r="C1432" s="241"/>
      <c r="D1432" s="241"/>
      <c r="E1432" s="241"/>
      <c r="F1432" s="241"/>
      <c r="G1432" s="241"/>
      <c r="H1432" s="241"/>
      <c r="I1432" s="241"/>
      <c r="J1432" s="241"/>
      <c r="K1432" s="241"/>
      <c r="L1432" s="242"/>
      <c r="M1432" s="241"/>
      <c r="N1432" s="241"/>
      <c r="O1432" s="241"/>
      <c r="P1432" s="241"/>
      <c r="Q1432" s="241"/>
      <c r="R1432" s="241"/>
      <c r="S1432" s="241"/>
      <c r="T1432" s="241"/>
      <c r="U1432" s="241"/>
      <c r="V1432" s="241"/>
      <c r="W1432" s="241"/>
      <c r="X1432" s="243"/>
      <c r="Y1432" s="243"/>
      <c r="Z1432" s="243"/>
      <c r="AA1432" s="243"/>
      <c r="AB1432" s="243"/>
      <c r="AC1432" s="243"/>
      <c r="AD1432" s="243"/>
      <c r="AE1432" s="243"/>
      <c r="AF1432" s="243"/>
      <c r="AG1432" s="243"/>
      <c r="AH1432" s="243"/>
      <c r="AI1432" s="243"/>
      <c r="AJ1432" s="243"/>
    </row>
    <row r="1433" hidden="1">
      <c r="A1433" s="241"/>
      <c r="B1433" s="241"/>
      <c r="C1433" s="241"/>
      <c r="D1433" s="241"/>
      <c r="E1433" s="241"/>
      <c r="F1433" s="241"/>
      <c r="G1433" s="241"/>
      <c r="H1433" s="241"/>
      <c r="I1433" s="241"/>
      <c r="J1433" s="241"/>
      <c r="K1433" s="241"/>
      <c r="L1433" s="242"/>
      <c r="M1433" s="241"/>
      <c r="N1433" s="241"/>
      <c r="O1433" s="241"/>
      <c r="P1433" s="241"/>
      <c r="Q1433" s="241"/>
      <c r="R1433" s="241"/>
      <c r="S1433" s="241"/>
      <c r="T1433" s="241"/>
      <c r="U1433" s="241"/>
      <c r="V1433" s="241"/>
      <c r="W1433" s="241"/>
      <c r="X1433" s="243"/>
      <c r="Y1433" s="243"/>
      <c r="Z1433" s="243"/>
      <c r="AA1433" s="243"/>
      <c r="AB1433" s="243"/>
      <c r="AC1433" s="243"/>
      <c r="AD1433" s="243"/>
      <c r="AE1433" s="243"/>
      <c r="AF1433" s="243"/>
      <c r="AG1433" s="243"/>
      <c r="AH1433" s="243"/>
      <c r="AI1433" s="243"/>
      <c r="AJ1433" s="243"/>
    </row>
    <row r="1434" hidden="1">
      <c r="A1434" s="241"/>
      <c r="B1434" s="241"/>
      <c r="C1434" s="241"/>
      <c r="D1434" s="241"/>
      <c r="E1434" s="241"/>
      <c r="F1434" s="241"/>
      <c r="G1434" s="241"/>
      <c r="H1434" s="241"/>
      <c r="I1434" s="241"/>
      <c r="J1434" s="241"/>
      <c r="K1434" s="241"/>
      <c r="L1434" s="242"/>
      <c r="M1434" s="241"/>
      <c r="N1434" s="241"/>
      <c r="O1434" s="241"/>
      <c r="P1434" s="241"/>
      <c r="Q1434" s="241"/>
      <c r="R1434" s="241"/>
      <c r="S1434" s="241"/>
      <c r="T1434" s="241"/>
      <c r="U1434" s="241"/>
      <c r="V1434" s="241"/>
      <c r="W1434" s="241"/>
      <c r="X1434" s="243"/>
      <c r="Y1434" s="243"/>
      <c r="Z1434" s="243"/>
      <c r="AA1434" s="243"/>
      <c r="AB1434" s="243"/>
      <c r="AC1434" s="243"/>
      <c r="AD1434" s="243"/>
      <c r="AE1434" s="243"/>
      <c r="AF1434" s="243"/>
      <c r="AG1434" s="243"/>
      <c r="AH1434" s="243"/>
      <c r="AI1434" s="243"/>
      <c r="AJ1434" s="243"/>
    </row>
    <row r="1435" hidden="1">
      <c r="A1435" s="241"/>
      <c r="B1435" s="241"/>
      <c r="C1435" s="241"/>
      <c r="D1435" s="241"/>
      <c r="E1435" s="241"/>
      <c r="F1435" s="241"/>
      <c r="G1435" s="241"/>
      <c r="H1435" s="241"/>
      <c r="I1435" s="241"/>
      <c r="J1435" s="241"/>
      <c r="K1435" s="241"/>
      <c r="L1435" s="242"/>
      <c r="M1435" s="241"/>
      <c r="N1435" s="241"/>
      <c r="O1435" s="241"/>
      <c r="P1435" s="241"/>
      <c r="Q1435" s="241"/>
      <c r="R1435" s="241"/>
      <c r="S1435" s="241"/>
      <c r="T1435" s="241"/>
      <c r="U1435" s="241"/>
      <c r="V1435" s="241"/>
      <c r="W1435" s="241"/>
      <c r="X1435" s="243"/>
      <c r="Y1435" s="243"/>
      <c r="Z1435" s="243"/>
      <c r="AA1435" s="243"/>
      <c r="AB1435" s="243"/>
      <c r="AC1435" s="243"/>
      <c r="AD1435" s="243"/>
      <c r="AE1435" s="243"/>
      <c r="AF1435" s="243"/>
      <c r="AG1435" s="243"/>
      <c r="AH1435" s="243"/>
      <c r="AI1435" s="243"/>
      <c r="AJ1435" s="243"/>
    </row>
    <row r="1436" hidden="1">
      <c r="A1436" s="241"/>
      <c r="B1436" s="241"/>
      <c r="C1436" s="241"/>
      <c r="D1436" s="241"/>
      <c r="E1436" s="241"/>
      <c r="F1436" s="241"/>
      <c r="G1436" s="241"/>
      <c r="H1436" s="241"/>
      <c r="I1436" s="241"/>
      <c r="J1436" s="241"/>
      <c r="K1436" s="241"/>
      <c r="L1436" s="242"/>
      <c r="M1436" s="241"/>
      <c r="N1436" s="241"/>
      <c r="O1436" s="241"/>
      <c r="P1436" s="241"/>
      <c r="Q1436" s="241"/>
      <c r="R1436" s="241"/>
      <c r="S1436" s="241"/>
      <c r="T1436" s="241"/>
      <c r="U1436" s="241"/>
      <c r="V1436" s="241"/>
      <c r="W1436" s="241"/>
      <c r="X1436" s="243"/>
      <c r="Y1436" s="243"/>
      <c r="Z1436" s="243"/>
      <c r="AA1436" s="243"/>
      <c r="AB1436" s="243"/>
      <c r="AC1436" s="243"/>
      <c r="AD1436" s="243"/>
      <c r="AE1436" s="243"/>
      <c r="AF1436" s="243"/>
      <c r="AG1436" s="243"/>
      <c r="AH1436" s="243"/>
      <c r="AI1436" s="243"/>
      <c r="AJ1436" s="243"/>
    </row>
    <row r="1437" hidden="1">
      <c r="A1437" s="241"/>
      <c r="B1437" s="241"/>
      <c r="C1437" s="241"/>
      <c r="D1437" s="241"/>
      <c r="E1437" s="241"/>
      <c r="F1437" s="241"/>
      <c r="G1437" s="241"/>
      <c r="H1437" s="241"/>
      <c r="I1437" s="241"/>
      <c r="J1437" s="241"/>
      <c r="K1437" s="241"/>
      <c r="L1437" s="242"/>
      <c r="M1437" s="241"/>
      <c r="N1437" s="241"/>
      <c r="O1437" s="241"/>
      <c r="P1437" s="241"/>
      <c r="Q1437" s="241"/>
      <c r="R1437" s="241"/>
      <c r="S1437" s="241"/>
      <c r="T1437" s="241"/>
      <c r="U1437" s="241"/>
      <c r="V1437" s="241"/>
      <c r="W1437" s="241"/>
      <c r="X1437" s="243"/>
      <c r="Y1437" s="243"/>
      <c r="Z1437" s="243"/>
      <c r="AA1437" s="243"/>
      <c r="AB1437" s="243"/>
      <c r="AC1437" s="243"/>
      <c r="AD1437" s="243"/>
      <c r="AE1437" s="243"/>
      <c r="AF1437" s="243"/>
      <c r="AG1437" s="243"/>
      <c r="AH1437" s="243"/>
      <c r="AI1437" s="243"/>
      <c r="AJ1437" s="243"/>
    </row>
    <row r="1438" hidden="1">
      <c r="A1438" s="241"/>
      <c r="B1438" s="241"/>
      <c r="C1438" s="241"/>
      <c r="D1438" s="241"/>
      <c r="E1438" s="241"/>
      <c r="F1438" s="241"/>
      <c r="G1438" s="241"/>
      <c r="H1438" s="241"/>
      <c r="I1438" s="241"/>
      <c r="J1438" s="241"/>
      <c r="K1438" s="241"/>
      <c r="L1438" s="242"/>
      <c r="M1438" s="241"/>
      <c r="N1438" s="241"/>
      <c r="O1438" s="241"/>
      <c r="P1438" s="241"/>
      <c r="Q1438" s="241"/>
      <c r="R1438" s="241"/>
      <c r="S1438" s="241"/>
      <c r="T1438" s="241"/>
      <c r="U1438" s="241"/>
      <c r="V1438" s="241"/>
      <c r="W1438" s="241"/>
      <c r="X1438" s="243"/>
      <c r="Y1438" s="243"/>
      <c r="Z1438" s="243"/>
      <c r="AA1438" s="243"/>
      <c r="AB1438" s="243"/>
      <c r="AC1438" s="243"/>
      <c r="AD1438" s="243"/>
      <c r="AE1438" s="243"/>
      <c r="AF1438" s="243"/>
      <c r="AG1438" s="243"/>
      <c r="AH1438" s="243"/>
      <c r="AI1438" s="243"/>
      <c r="AJ1438" s="243"/>
    </row>
    <row r="1439" hidden="1">
      <c r="A1439" s="241"/>
      <c r="B1439" s="241"/>
      <c r="C1439" s="241"/>
      <c r="D1439" s="241"/>
      <c r="E1439" s="241"/>
      <c r="F1439" s="241"/>
      <c r="G1439" s="241"/>
      <c r="H1439" s="241"/>
      <c r="I1439" s="241"/>
      <c r="J1439" s="241"/>
      <c r="K1439" s="241"/>
      <c r="L1439" s="242"/>
      <c r="M1439" s="241"/>
      <c r="N1439" s="241"/>
      <c r="O1439" s="241"/>
      <c r="P1439" s="241"/>
      <c r="Q1439" s="241"/>
      <c r="R1439" s="241"/>
      <c r="S1439" s="241"/>
      <c r="T1439" s="241"/>
      <c r="U1439" s="241"/>
      <c r="V1439" s="241"/>
      <c r="W1439" s="241"/>
      <c r="X1439" s="243"/>
      <c r="Y1439" s="243"/>
      <c r="Z1439" s="243"/>
      <c r="AA1439" s="243"/>
      <c r="AB1439" s="243"/>
      <c r="AC1439" s="243"/>
      <c r="AD1439" s="243"/>
      <c r="AE1439" s="243"/>
      <c r="AF1439" s="243"/>
      <c r="AG1439" s="243"/>
      <c r="AH1439" s="243"/>
      <c r="AI1439" s="243"/>
      <c r="AJ1439" s="243"/>
    </row>
    <row r="1440" hidden="1">
      <c r="A1440" s="241"/>
      <c r="B1440" s="241"/>
      <c r="C1440" s="241"/>
      <c r="D1440" s="241"/>
      <c r="E1440" s="241"/>
      <c r="F1440" s="241"/>
      <c r="G1440" s="241"/>
      <c r="H1440" s="241"/>
      <c r="I1440" s="241"/>
      <c r="J1440" s="241"/>
      <c r="K1440" s="241"/>
      <c r="L1440" s="242"/>
      <c r="M1440" s="241"/>
      <c r="N1440" s="241"/>
      <c r="O1440" s="241"/>
      <c r="P1440" s="241"/>
      <c r="Q1440" s="241"/>
      <c r="R1440" s="241"/>
      <c r="S1440" s="241"/>
      <c r="T1440" s="241"/>
      <c r="U1440" s="241"/>
      <c r="V1440" s="241"/>
      <c r="W1440" s="241"/>
      <c r="X1440" s="243"/>
      <c r="Y1440" s="243"/>
      <c r="Z1440" s="243"/>
      <c r="AA1440" s="243"/>
      <c r="AB1440" s="243"/>
      <c r="AC1440" s="243"/>
      <c r="AD1440" s="243"/>
      <c r="AE1440" s="243"/>
      <c r="AF1440" s="243"/>
      <c r="AG1440" s="243"/>
      <c r="AH1440" s="243"/>
      <c r="AI1440" s="243"/>
      <c r="AJ1440" s="243"/>
    </row>
    <row r="1441" hidden="1">
      <c r="A1441" s="241"/>
      <c r="B1441" s="241"/>
      <c r="C1441" s="241"/>
      <c r="D1441" s="241"/>
      <c r="E1441" s="241"/>
      <c r="F1441" s="241"/>
      <c r="G1441" s="241"/>
      <c r="H1441" s="241"/>
      <c r="I1441" s="241"/>
      <c r="J1441" s="241"/>
      <c r="K1441" s="241"/>
      <c r="L1441" s="242"/>
      <c r="M1441" s="241"/>
      <c r="N1441" s="241"/>
      <c r="O1441" s="241"/>
      <c r="P1441" s="241"/>
      <c r="Q1441" s="241"/>
      <c r="R1441" s="241"/>
      <c r="S1441" s="241"/>
      <c r="T1441" s="241"/>
      <c r="U1441" s="241"/>
      <c r="V1441" s="241"/>
      <c r="W1441" s="241"/>
      <c r="X1441" s="243"/>
      <c r="Y1441" s="243"/>
      <c r="Z1441" s="243"/>
      <c r="AA1441" s="243"/>
      <c r="AB1441" s="243"/>
      <c r="AC1441" s="243"/>
      <c r="AD1441" s="243"/>
      <c r="AE1441" s="243"/>
      <c r="AF1441" s="243"/>
      <c r="AG1441" s="243"/>
      <c r="AH1441" s="243"/>
      <c r="AI1441" s="243"/>
      <c r="AJ1441" s="243"/>
    </row>
    <row r="1442" hidden="1">
      <c r="A1442" s="241"/>
      <c r="B1442" s="241"/>
      <c r="C1442" s="241"/>
      <c r="D1442" s="241"/>
      <c r="E1442" s="241"/>
      <c r="F1442" s="241"/>
      <c r="G1442" s="241"/>
      <c r="H1442" s="241"/>
      <c r="I1442" s="241"/>
      <c r="J1442" s="241"/>
      <c r="K1442" s="241"/>
      <c r="L1442" s="242"/>
      <c r="M1442" s="241"/>
      <c r="N1442" s="241"/>
      <c r="O1442" s="241"/>
      <c r="P1442" s="241"/>
      <c r="Q1442" s="241"/>
      <c r="R1442" s="241"/>
      <c r="S1442" s="241"/>
      <c r="T1442" s="241"/>
      <c r="U1442" s="241"/>
      <c r="V1442" s="241"/>
      <c r="W1442" s="241"/>
      <c r="X1442" s="243"/>
      <c r="Y1442" s="243"/>
      <c r="Z1442" s="243"/>
      <c r="AA1442" s="243"/>
      <c r="AB1442" s="243"/>
      <c r="AC1442" s="243"/>
      <c r="AD1442" s="243"/>
      <c r="AE1442" s="243"/>
      <c r="AF1442" s="243"/>
      <c r="AG1442" s="243"/>
      <c r="AH1442" s="243"/>
      <c r="AI1442" s="243"/>
      <c r="AJ1442" s="243"/>
    </row>
    <row r="1443" hidden="1">
      <c r="A1443" s="241"/>
      <c r="B1443" s="241"/>
      <c r="C1443" s="241"/>
      <c r="D1443" s="241"/>
      <c r="E1443" s="241"/>
      <c r="F1443" s="241"/>
      <c r="G1443" s="241"/>
      <c r="H1443" s="241"/>
      <c r="I1443" s="241"/>
      <c r="J1443" s="241"/>
      <c r="K1443" s="241"/>
      <c r="L1443" s="242"/>
      <c r="M1443" s="241"/>
      <c r="N1443" s="241"/>
      <c r="O1443" s="241"/>
      <c r="P1443" s="241"/>
      <c r="Q1443" s="241"/>
      <c r="R1443" s="241"/>
      <c r="S1443" s="241"/>
      <c r="T1443" s="241"/>
      <c r="U1443" s="241"/>
      <c r="V1443" s="241"/>
      <c r="W1443" s="241"/>
      <c r="X1443" s="243"/>
      <c r="Y1443" s="243"/>
      <c r="Z1443" s="243"/>
      <c r="AA1443" s="243"/>
      <c r="AB1443" s="243"/>
      <c r="AC1443" s="243"/>
      <c r="AD1443" s="243"/>
      <c r="AE1443" s="243"/>
      <c r="AF1443" s="243"/>
      <c r="AG1443" s="243"/>
      <c r="AH1443" s="243"/>
      <c r="AI1443" s="243"/>
      <c r="AJ1443" s="243"/>
    </row>
    <row r="1444" hidden="1">
      <c r="A1444" s="241"/>
      <c r="B1444" s="241"/>
      <c r="C1444" s="241"/>
      <c r="D1444" s="241"/>
      <c r="E1444" s="241"/>
      <c r="F1444" s="241"/>
      <c r="G1444" s="241"/>
      <c r="H1444" s="241"/>
      <c r="I1444" s="241"/>
      <c r="J1444" s="241"/>
      <c r="K1444" s="241"/>
      <c r="L1444" s="242"/>
      <c r="M1444" s="241"/>
      <c r="N1444" s="241"/>
      <c r="O1444" s="241"/>
      <c r="P1444" s="241"/>
      <c r="Q1444" s="241"/>
      <c r="R1444" s="241"/>
      <c r="S1444" s="241"/>
      <c r="T1444" s="241"/>
      <c r="U1444" s="241"/>
      <c r="V1444" s="241"/>
      <c r="W1444" s="241"/>
      <c r="X1444" s="243"/>
      <c r="Y1444" s="243"/>
      <c r="Z1444" s="243"/>
      <c r="AA1444" s="243"/>
      <c r="AB1444" s="243"/>
      <c r="AC1444" s="243"/>
      <c r="AD1444" s="243"/>
      <c r="AE1444" s="243"/>
      <c r="AF1444" s="243"/>
      <c r="AG1444" s="243"/>
      <c r="AH1444" s="243"/>
      <c r="AI1444" s="243"/>
      <c r="AJ1444" s="243"/>
    </row>
    <row r="1445" hidden="1">
      <c r="A1445" s="241"/>
      <c r="B1445" s="241"/>
      <c r="C1445" s="241"/>
      <c r="D1445" s="241"/>
      <c r="E1445" s="241"/>
      <c r="F1445" s="241"/>
      <c r="G1445" s="241"/>
      <c r="H1445" s="241"/>
      <c r="I1445" s="241"/>
      <c r="J1445" s="241"/>
      <c r="K1445" s="241"/>
      <c r="L1445" s="242"/>
      <c r="M1445" s="241"/>
      <c r="N1445" s="241"/>
      <c r="O1445" s="241"/>
      <c r="P1445" s="241"/>
      <c r="Q1445" s="241"/>
      <c r="R1445" s="241"/>
      <c r="S1445" s="241"/>
      <c r="T1445" s="241"/>
      <c r="U1445" s="241"/>
      <c r="V1445" s="241"/>
      <c r="W1445" s="241"/>
      <c r="X1445" s="243"/>
      <c r="Y1445" s="243"/>
      <c r="Z1445" s="243"/>
      <c r="AA1445" s="243"/>
      <c r="AB1445" s="243"/>
      <c r="AC1445" s="243"/>
      <c r="AD1445" s="243"/>
      <c r="AE1445" s="243"/>
      <c r="AF1445" s="243"/>
      <c r="AG1445" s="243"/>
      <c r="AH1445" s="243"/>
      <c r="AI1445" s="243"/>
      <c r="AJ1445" s="243"/>
    </row>
    <row r="1446" hidden="1">
      <c r="A1446" s="241"/>
      <c r="B1446" s="241"/>
      <c r="C1446" s="241"/>
      <c r="D1446" s="241"/>
      <c r="E1446" s="241"/>
      <c r="F1446" s="241"/>
      <c r="G1446" s="241"/>
      <c r="H1446" s="241"/>
      <c r="I1446" s="241"/>
      <c r="J1446" s="241"/>
      <c r="K1446" s="241"/>
      <c r="L1446" s="242"/>
      <c r="M1446" s="241"/>
      <c r="N1446" s="241"/>
      <c r="O1446" s="241"/>
      <c r="P1446" s="241"/>
      <c r="Q1446" s="241"/>
      <c r="R1446" s="241"/>
      <c r="S1446" s="241"/>
      <c r="T1446" s="241"/>
      <c r="U1446" s="241"/>
      <c r="V1446" s="241"/>
      <c r="W1446" s="241"/>
      <c r="X1446" s="243"/>
      <c r="Y1446" s="243"/>
      <c r="Z1446" s="243"/>
      <c r="AA1446" s="243"/>
      <c r="AB1446" s="243"/>
      <c r="AC1446" s="243"/>
      <c r="AD1446" s="243"/>
      <c r="AE1446" s="243"/>
      <c r="AF1446" s="243"/>
      <c r="AG1446" s="243"/>
      <c r="AH1446" s="243"/>
      <c r="AI1446" s="243"/>
      <c r="AJ1446" s="243"/>
    </row>
    <row r="1447" hidden="1">
      <c r="A1447" s="241"/>
      <c r="B1447" s="241"/>
      <c r="C1447" s="241"/>
      <c r="D1447" s="241"/>
      <c r="E1447" s="241"/>
      <c r="F1447" s="241"/>
      <c r="G1447" s="241"/>
      <c r="H1447" s="241"/>
      <c r="I1447" s="241"/>
      <c r="J1447" s="241"/>
      <c r="K1447" s="241"/>
      <c r="L1447" s="242"/>
      <c r="M1447" s="241"/>
      <c r="N1447" s="241"/>
      <c r="O1447" s="241"/>
      <c r="P1447" s="241"/>
      <c r="Q1447" s="241"/>
      <c r="R1447" s="241"/>
      <c r="S1447" s="241"/>
      <c r="T1447" s="241"/>
      <c r="U1447" s="241"/>
      <c r="V1447" s="241"/>
      <c r="W1447" s="241"/>
      <c r="X1447" s="243"/>
      <c r="Y1447" s="243"/>
      <c r="Z1447" s="243"/>
      <c r="AA1447" s="243"/>
      <c r="AB1447" s="243"/>
      <c r="AC1447" s="243"/>
      <c r="AD1447" s="243"/>
      <c r="AE1447" s="243"/>
      <c r="AF1447" s="243"/>
      <c r="AG1447" s="243"/>
      <c r="AH1447" s="243"/>
      <c r="AI1447" s="243"/>
      <c r="AJ1447" s="243"/>
    </row>
    <row r="1448" hidden="1">
      <c r="A1448" s="241"/>
      <c r="B1448" s="241"/>
      <c r="C1448" s="241"/>
      <c r="D1448" s="241"/>
      <c r="E1448" s="241"/>
      <c r="F1448" s="241"/>
      <c r="G1448" s="241"/>
      <c r="H1448" s="241"/>
      <c r="I1448" s="241"/>
      <c r="J1448" s="241"/>
      <c r="K1448" s="241"/>
      <c r="L1448" s="242"/>
      <c r="M1448" s="241"/>
      <c r="N1448" s="241"/>
      <c r="O1448" s="241"/>
      <c r="P1448" s="241"/>
      <c r="Q1448" s="241"/>
      <c r="R1448" s="241"/>
      <c r="S1448" s="241"/>
      <c r="T1448" s="241"/>
      <c r="U1448" s="241"/>
      <c r="V1448" s="241"/>
      <c r="W1448" s="241"/>
      <c r="X1448" s="243"/>
      <c r="Y1448" s="243"/>
      <c r="Z1448" s="243"/>
      <c r="AA1448" s="243"/>
      <c r="AB1448" s="243"/>
      <c r="AC1448" s="243"/>
      <c r="AD1448" s="243"/>
      <c r="AE1448" s="243"/>
      <c r="AF1448" s="243"/>
      <c r="AG1448" s="243"/>
      <c r="AH1448" s="243"/>
      <c r="AI1448" s="243"/>
      <c r="AJ1448" s="243"/>
    </row>
    <row r="1449" hidden="1">
      <c r="A1449" s="241"/>
      <c r="B1449" s="241"/>
      <c r="C1449" s="241"/>
      <c r="D1449" s="241"/>
      <c r="E1449" s="241"/>
      <c r="F1449" s="241"/>
      <c r="G1449" s="241"/>
      <c r="H1449" s="241"/>
      <c r="I1449" s="241"/>
      <c r="J1449" s="241"/>
      <c r="K1449" s="241"/>
      <c r="L1449" s="242"/>
      <c r="M1449" s="241"/>
      <c r="N1449" s="241"/>
      <c r="O1449" s="241"/>
      <c r="P1449" s="241"/>
      <c r="Q1449" s="241"/>
      <c r="R1449" s="241"/>
      <c r="S1449" s="241"/>
      <c r="T1449" s="241"/>
      <c r="U1449" s="241"/>
      <c r="V1449" s="241"/>
      <c r="W1449" s="241"/>
      <c r="X1449" s="243"/>
      <c r="Y1449" s="243"/>
      <c r="Z1449" s="243"/>
      <c r="AA1449" s="243"/>
      <c r="AB1449" s="243"/>
      <c r="AC1449" s="243"/>
      <c r="AD1449" s="243"/>
      <c r="AE1449" s="243"/>
      <c r="AF1449" s="243"/>
      <c r="AG1449" s="243"/>
      <c r="AH1449" s="243"/>
      <c r="AI1449" s="243"/>
      <c r="AJ1449" s="243"/>
    </row>
    <row r="1450" hidden="1">
      <c r="A1450" s="241"/>
      <c r="B1450" s="241"/>
      <c r="C1450" s="241"/>
      <c r="D1450" s="241"/>
      <c r="E1450" s="241"/>
      <c r="F1450" s="241"/>
      <c r="G1450" s="241"/>
      <c r="H1450" s="241"/>
      <c r="I1450" s="241"/>
      <c r="J1450" s="241"/>
      <c r="K1450" s="241"/>
      <c r="L1450" s="242"/>
      <c r="M1450" s="241"/>
      <c r="N1450" s="241"/>
      <c r="O1450" s="241"/>
      <c r="P1450" s="241"/>
      <c r="Q1450" s="241"/>
      <c r="R1450" s="241"/>
      <c r="S1450" s="241"/>
      <c r="T1450" s="241"/>
      <c r="U1450" s="241"/>
      <c r="V1450" s="241"/>
      <c r="W1450" s="241"/>
      <c r="X1450" s="243"/>
      <c r="Y1450" s="243"/>
      <c r="Z1450" s="243"/>
      <c r="AA1450" s="243"/>
      <c r="AB1450" s="243"/>
      <c r="AC1450" s="243"/>
      <c r="AD1450" s="243"/>
      <c r="AE1450" s="243"/>
      <c r="AF1450" s="243"/>
      <c r="AG1450" s="243"/>
      <c r="AH1450" s="243"/>
      <c r="AI1450" s="243"/>
      <c r="AJ1450" s="243"/>
    </row>
    <row r="1451" hidden="1">
      <c r="A1451" s="241"/>
      <c r="B1451" s="241"/>
      <c r="C1451" s="241"/>
      <c r="D1451" s="241"/>
      <c r="E1451" s="241"/>
      <c r="F1451" s="241"/>
      <c r="G1451" s="241"/>
      <c r="H1451" s="241"/>
      <c r="I1451" s="241"/>
      <c r="J1451" s="241"/>
      <c r="K1451" s="241"/>
      <c r="L1451" s="242"/>
      <c r="M1451" s="241"/>
      <c r="N1451" s="241"/>
      <c r="O1451" s="241"/>
      <c r="P1451" s="241"/>
      <c r="Q1451" s="241"/>
      <c r="R1451" s="241"/>
      <c r="S1451" s="241"/>
      <c r="T1451" s="241"/>
      <c r="U1451" s="241"/>
      <c r="V1451" s="241"/>
      <c r="W1451" s="241"/>
      <c r="X1451" s="243"/>
      <c r="Y1451" s="243"/>
      <c r="Z1451" s="243"/>
      <c r="AA1451" s="243"/>
      <c r="AB1451" s="243"/>
      <c r="AC1451" s="243"/>
      <c r="AD1451" s="243"/>
      <c r="AE1451" s="243"/>
      <c r="AF1451" s="243"/>
      <c r="AG1451" s="243"/>
      <c r="AH1451" s="243"/>
      <c r="AI1451" s="243"/>
      <c r="AJ1451" s="243"/>
    </row>
    <row r="1452" hidden="1">
      <c r="A1452" s="241"/>
      <c r="B1452" s="241"/>
      <c r="C1452" s="241"/>
      <c r="D1452" s="241"/>
      <c r="E1452" s="241"/>
      <c r="F1452" s="241"/>
      <c r="G1452" s="241"/>
      <c r="H1452" s="241"/>
      <c r="I1452" s="241"/>
      <c r="J1452" s="241"/>
      <c r="K1452" s="241"/>
      <c r="L1452" s="242"/>
      <c r="M1452" s="241"/>
      <c r="N1452" s="241"/>
      <c r="O1452" s="241"/>
      <c r="P1452" s="241"/>
      <c r="Q1452" s="241"/>
      <c r="R1452" s="241"/>
      <c r="S1452" s="241"/>
      <c r="T1452" s="241"/>
      <c r="U1452" s="241"/>
      <c r="V1452" s="241"/>
      <c r="W1452" s="241"/>
      <c r="X1452" s="243"/>
      <c r="Y1452" s="243"/>
      <c r="Z1452" s="243"/>
      <c r="AA1452" s="243"/>
      <c r="AB1452" s="243"/>
      <c r="AC1452" s="243"/>
      <c r="AD1452" s="243"/>
      <c r="AE1452" s="243"/>
      <c r="AF1452" s="243"/>
      <c r="AG1452" s="243"/>
      <c r="AH1452" s="243"/>
      <c r="AI1452" s="243"/>
      <c r="AJ1452" s="243"/>
    </row>
    <row r="1453" hidden="1">
      <c r="A1453" s="241"/>
      <c r="B1453" s="241"/>
      <c r="C1453" s="241"/>
      <c r="D1453" s="241"/>
      <c r="E1453" s="241"/>
      <c r="F1453" s="241"/>
      <c r="G1453" s="241"/>
      <c r="H1453" s="241"/>
      <c r="I1453" s="241"/>
      <c r="J1453" s="241"/>
      <c r="K1453" s="241"/>
      <c r="L1453" s="242"/>
      <c r="M1453" s="241"/>
      <c r="N1453" s="241"/>
      <c r="O1453" s="241"/>
      <c r="P1453" s="241"/>
      <c r="Q1453" s="241"/>
      <c r="R1453" s="241"/>
      <c r="S1453" s="241"/>
      <c r="T1453" s="241"/>
      <c r="U1453" s="241"/>
      <c r="V1453" s="241"/>
      <c r="W1453" s="241"/>
      <c r="X1453" s="243"/>
      <c r="Y1453" s="243"/>
      <c r="Z1453" s="243"/>
      <c r="AA1453" s="243"/>
      <c r="AB1453" s="243"/>
      <c r="AC1453" s="243"/>
      <c r="AD1453" s="243"/>
      <c r="AE1453" s="243"/>
      <c r="AF1453" s="243"/>
      <c r="AG1453" s="243"/>
      <c r="AH1453" s="243"/>
      <c r="AI1453" s="243"/>
      <c r="AJ1453" s="243"/>
    </row>
    <row r="1454" hidden="1">
      <c r="A1454" s="241"/>
      <c r="B1454" s="241"/>
      <c r="C1454" s="241"/>
      <c r="D1454" s="241"/>
      <c r="E1454" s="241"/>
      <c r="F1454" s="241"/>
      <c r="G1454" s="241"/>
      <c r="H1454" s="241"/>
      <c r="I1454" s="241"/>
      <c r="J1454" s="241"/>
      <c r="K1454" s="241"/>
      <c r="L1454" s="242"/>
      <c r="M1454" s="241"/>
      <c r="N1454" s="241"/>
      <c r="O1454" s="241"/>
      <c r="P1454" s="241"/>
      <c r="Q1454" s="241"/>
      <c r="R1454" s="241"/>
      <c r="S1454" s="241"/>
      <c r="T1454" s="241"/>
      <c r="U1454" s="241"/>
      <c r="V1454" s="241"/>
      <c r="W1454" s="241"/>
      <c r="X1454" s="243"/>
      <c r="Y1454" s="243"/>
      <c r="Z1454" s="243"/>
      <c r="AA1454" s="243"/>
      <c r="AB1454" s="243"/>
      <c r="AC1454" s="243"/>
      <c r="AD1454" s="243"/>
      <c r="AE1454" s="243"/>
      <c r="AF1454" s="243"/>
      <c r="AG1454" s="243"/>
      <c r="AH1454" s="243"/>
      <c r="AI1454" s="243"/>
      <c r="AJ1454" s="243"/>
    </row>
    <row r="1455" hidden="1">
      <c r="A1455" s="241"/>
      <c r="B1455" s="241"/>
      <c r="C1455" s="241"/>
      <c r="D1455" s="241"/>
      <c r="E1455" s="241"/>
      <c r="F1455" s="241"/>
      <c r="G1455" s="241"/>
      <c r="H1455" s="241"/>
      <c r="I1455" s="241"/>
      <c r="J1455" s="241"/>
      <c r="K1455" s="241"/>
      <c r="L1455" s="242"/>
      <c r="M1455" s="241"/>
      <c r="N1455" s="241"/>
      <c r="O1455" s="241"/>
      <c r="P1455" s="241"/>
      <c r="Q1455" s="241"/>
      <c r="R1455" s="241"/>
      <c r="S1455" s="241"/>
      <c r="T1455" s="241"/>
      <c r="U1455" s="241"/>
      <c r="V1455" s="241"/>
      <c r="W1455" s="241"/>
      <c r="X1455" s="243"/>
      <c r="Y1455" s="243"/>
      <c r="Z1455" s="243"/>
      <c r="AA1455" s="243"/>
      <c r="AB1455" s="243"/>
      <c r="AC1455" s="243"/>
      <c r="AD1455" s="243"/>
      <c r="AE1455" s="243"/>
      <c r="AF1455" s="243"/>
      <c r="AG1455" s="243"/>
      <c r="AH1455" s="243"/>
      <c r="AI1455" s="243"/>
      <c r="AJ1455" s="243"/>
    </row>
    <row r="1456" hidden="1">
      <c r="A1456" s="241"/>
      <c r="B1456" s="241"/>
      <c r="C1456" s="241"/>
      <c r="D1456" s="241"/>
      <c r="E1456" s="241"/>
      <c r="F1456" s="241"/>
      <c r="G1456" s="241"/>
      <c r="H1456" s="241"/>
      <c r="I1456" s="241"/>
      <c r="J1456" s="241"/>
      <c r="K1456" s="241"/>
      <c r="L1456" s="242"/>
      <c r="M1456" s="241"/>
      <c r="N1456" s="241"/>
      <c r="O1456" s="241"/>
      <c r="P1456" s="241"/>
      <c r="Q1456" s="241"/>
      <c r="R1456" s="241"/>
      <c r="S1456" s="241"/>
      <c r="T1456" s="241"/>
      <c r="U1456" s="241"/>
      <c r="V1456" s="241"/>
      <c r="W1456" s="241"/>
      <c r="X1456" s="243"/>
      <c r="Y1456" s="243"/>
      <c r="Z1456" s="243"/>
      <c r="AA1456" s="243"/>
      <c r="AB1456" s="243"/>
      <c r="AC1456" s="243"/>
      <c r="AD1456" s="243"/>
      <c r="AE1456" s="243"/>
      <c r="AF1456" s="243"/>
      <c r="AG1456" s="243"/>
      <c r="AH1456" s="243"/>
      <c r="AI1456" s="243"/>
      <c r="AJ1456" s="243"/>
    </row>
    <row r="1457" hidden="1">
      <c r="A1457" s="241"/>
      <c r="B1457" s="241"/>
      <c r="C1457" s="241"/>
      <c r="D1457" s="241"/>
      <c r="E1457" s="241"/>
      <c r="F1457" s="241"/>
      <c r="G1457" s="241"/>
      <c r="H1457" s="241"/>
      <c r="I1457" s="241"/>
      <c r="J1457" s="241"/>
      <c r="K1457" s="241"/>
      <c r="L1457" s="242"/>
      <c r="M1457" s="241"/>
      <c r="N1457" s="241"/>
      <c r="O1457" s="241"/>
      <c r="P1457" s="241"/>
      <c r="Q1457" s="241"/>
      <c r="R1457" s="241"/>
      <c r="S1457" s="241"/>
      <c r="T1457" s="241"/>
      <c r="U1457" s="241"/>
      <c r="V1457" s="241"/>
      <c r="W1457" s="241"/>
      <c r="X1457" s="243"/>
      <c r="Y1457" s="243"/>
      <c r="Z1457" s="243"/>
      <c r="AA1457" s="243"/>
      <c r="AB1457" s="243"/>
      <c r="AC1457" s="243"/>
      <c r="AD1457" s="243"/>
      <c r="AE1457" s="243"/>
      <c r="AF1457" s="243"/>
      <c r="AG1457" s="243"/>
      <c r="AH1457" s="243"/>
      <c r="AI1457" s="243"/>
      <c r="AJ1457" s="243"/>
    </row>
    <row r="1458" hidden="1">
      <c r="A1458" s="241"/>
      <c r="B1458" s="241"/>
      <c r="C1458" s="241"/>
      <c r="D1458" s="241"/>
      <c r="E1458" s="241"/>
      <c r="F1458" s="241"/>
      <c r="G1458" s="241"/>
      <c r="H1458" s="241"/>
      <c r="I1458" s="241"/>
      <c r="J1458" s="241"/>
      <c r="K1458" s="241"/>
      <c r="L1458" s="242"/>
      <c r="M1458" s="241"/>
      <c r="N1458" s="241"/>
      <c r="O1458" s="241"/>
      <c r="P1458" s="241"/>
      <c r="Q1458" s="241"/>
      <c r="R1458" s="241"/>
      <c r="S1458" s="241"/>
      <c r="T1458" s="241"/>
      <c r="U1458" s="241"/>
      <c r="V1458" s="241"/>
      <c r="W1458" s="241"/>
      <c r="X1458" s="243"/>
      <c r="Y1458" s="243"/>
      <c r="Z1458" s="243"/>
      <c r="AA1458" s="243"/>
      <c r="AB1458" s="243"/>
      <c r="AC1458" s="243"/>
      <c r="AD1458" s="243"/>
      <c r="AE1458" s="243"/>
      <c r="AF1458" s="243"/>
      <c r="AG1458" s="243"/>
      <c r="AH1458" s="243"/>
      <c r="AI1458" s="243"/>
      <c r="AJ1458" s="243"/>
    </row>
    <row r="1459" hidden="1">
      <c r="A1459" s="241"/>
      <c r="B1459" s="241"/>
      <c r="C1459" s="241"/>
      <c r="D1459" s="241"/>
      <c r="E1459" s="241"/>
      <c r="F1459" s="241"/>
      <c r="G1459" s="241"/>
      <c r="H1459" s="241"/>
      <c r="I1459" s="241"/>
      <c r="J1459" s="241"/>
      <c r="K1459" s="241"/>
      <c r="L1459" s="242"/>
      <c r="M1459" s="241"/>
      <c r="N1459" s="241"/>
      <c r="O1459" s="241"/>
      <c r="P1459" s="241"/>
      <c r="Q1459" s="241"/>
      <c r="R1459" s="241"/>
      <c r="S1459" s="241"/>
      <c r="T1459" s="241"/>
      <c r="U1459" s="241"/>
      <c r="V1459" s="241"/>
      <c r="W1459" s="241"/>
      <c r="X1459" s="243"/>
      <c r="Y1459" s="243"/>
      <c r="Z1459" s="243"/>
      <c r="AA1459" s="243"/>
      <c r="AB1459" s="243"/>
      <c r="AC1459" s="243"/>
      <c r="AD1459" s="243"/>
      <c r="AE1459" s="243"/>
      <c r="AF1459" s="243"/>
      <c r="AG1459" s="243"/>
      <c r="AH1459" s="243"/>
      <c r="AI1459" s="243"/>
      <c r="AJ1459" s="243"/>
    </row>
    <row r="1460" hidden="1">
      <c r="A1460" s="241"/>
      <c r="B1460" s="241"/>
      <c r="C1460" s="241"/>
      <c r="D1460" s="241"/>
      <c r="E1460" s="241"/>
      <c r="F1460" s="241"/>
      <c r="G1460" s="241"/>
      <c r="H1460" s="241"/>
      <c r="I1460" s="241"/>
      <c r="J1460" s="241"/>
      <c r="K1460" s="241"/>
      <c r="L1460" s="242"/>
      <c r="M1460" s="241"/>
      <c r="N1460" s="241"/>
      <c r="O1460" s="241"/>
      <c r="P1460" s="241"/>
      <c r="Q1460" s="241"/>
      <c r="R1460" s="241"/>
      <c r="S1460" s="241"/>
      <c r="T1460" s="241"/>
      <c r="U1460" s="241"/>
      <c r="V1460" s="241"/>
      <c r="W1460" s="241"/>
      <c r="X1460" s="243"/>
      <c r="Y1460" s="243"/>
      <c r="Z1460" s="243"/>
      <c r="AA1460" s="243"/>
      <c r="AB1460" s="243"/>
      <c r="AC1460" s="243"/>
      <c r="AD1460" s="243"/>
      <c r="AE1460" s="243"/>
      <c r="AF1460" s="243"/>
      <c r="AG1460" s="243"/>
      <c r="AH1460" s="243"/>
      <c r="AI1460" s="243"/>
      <c r="AJ1460" s="243"/>
    </row>
    <row r="1461" hidden="1">
      <c r="A1461" s="241"/>
      <c r="B1461" s="241"/>
      <c r="C1461" s="241"/>
      <c r="D1461" s="241"/>
      <c r="E1461" s="241"/>
      <c r="F1461" s="241"/>
      <c r="G1461" s="241"/>
      <c r="H1461" s="241"/>
      <c r="I1461" s="241"/>
      <c r="J1461" s="241"/>
      <c r="K1461" s="241"/>
      <c r="L1461" s="242"/>
      <c r="M1461" s="241"/>
      <c r="N1461" s="241"/>
      <c r="O1461" s="241"/>
      <c r="P1461" s="241"/>
      <c r="Q1461" s="241"/>
      <c r="R1461" s="241"/>
      <c r="S1461" s="241"/>
      <c r="T1461" s="241"/>
      <c r="U1461" s="241"/>
      <c r="V1461" s="241"/>
      <c r="W1461" s="241"/>
      <c r="X1461" s="243"/>
      <c r="Y1461" s="243"/>
      <c r="Z1461" s="243"/>
      <c r="AA1461" s="243"/>
      <c r="AB1461" s="243"/>
      <c r="AC1461" s="243"/>
      <c r="AD1461" s="243"/>
      <c r="AE1461" s="243"/>
      <c r="AF1461" s="243"/>
      <c r="AG1461" s="243"/>
      <c r="AH1461" s="243"/>
      <c r="AI1461" s="243"/>
      <c r="AJ1461" s="243"/>
    </row>
    <row r="1462" hidden="1">
      <c r="A1462" s="241"/>
      <c r="B1462" s="241"/>
      <c r="C1462" s="241"/>
      <c r="D1462" s="241"/>
      <c r="E1462" s="241"/>
      <c r="F1462" s="241"/>
      <c r="G1462" s="241"/>
      <c r="H1462" s="241"/>
      <c r="I1462" s="241"/>
      <c r="J1462" s="241"/>
      <c r="K1462" s="241"/>
      <c r="L1462" s="242"/>
      <c r="M1462" s="241"/>
      <c r="N1462" s="241"/>
      <c r="O1462" s="241"/>
      <c r="P1462" s="241"/>
      <c r="Q1462" s="241"/>
      <c r="R1462" s="241"/>
      <c r="S1462" s="241"/>
      <c r="T1462" s="241"/>
      <c r="U1462" s="241"/>
      <c r="V1462" s="241"/>
      <c r="W1462" s="241"/>
      <c r="X1462" s="243"/>
      <c r="Y1462" s="243"/>
      <c r="Z1462" s="243"/>
      <c r="AA1462" s="243"/>
      <c r="AB1462" s="243"/>
      <c r="AC1462" s="243"/>
      <c r="AD1462" s="243"/>
      <c r="AE1462" s="243"/>
      <c r="AF1462" s="243"/>
      <c r="AG1462" s="243"/>
      <c r="AH1462" s="243"/>
      <c r="AI1462" s="243"/>
      <c r="AJ1462" s="243"/>
    </row>
    <row r="1463" hidden="1">
      <c r="A1463" s="241"/>
      <c r="B1463" s="241"/>
      <c r="C1463" s="241"/>
      <c r="D1463" s="241"/>
      <c r="E1463" s="241"/>
      <c r="F1463" s="241"/>
      <c r="G1463" s="241"/>
      <c r="H1463" s="241"/>
      <c r="I1463" s="241"/>
      <c r="J1463" s="241"/>
      <c r="K1463" s="241"/>
      <c r="L1463" s="242"/>
      <c r="M1463" s="241"/>
      <c r="N1463" s="241"/>
      <c r="O1463" s="241"/>
      <c r="P1463" s="241"/>
      <c r="Q1463" s="241"/>
      <c r="R1463" s="241"/>
      <c r="S1463" s="241"/>
      <c r="T1463" s="241"/>
      <c r="U1463" s="241"/>
      <c r="V1463" s="241"/>
      <c r="W1463" s="241"/>
      <c r="X1463" s="243"/>
      <c r="Y1463" s="243"/>
      <c r="Z1463" s="243"/>
      <c r="AA1463" s="243"/>
      <c r="AB1463" s="243"/>
      <c r="AC1463" s="243"/>
      <c r="AD1463" s="243"/>
      <c r="AE1463" s="243"/>
      <c r="AF1463" s="243"/>
      <c r="AG1463" s="243"/>
      <c r="AH1463" s="243"/>
      <c r="AI1463" s="243"/>
      <c r="AJ1463" s="243"/>
    </row>
    <row r="1464" hidden="1">
      <c r="A1464" s="241"/>
      <c r="B1464" s="241"/>
      <c r="C1464" s="241"/>
      <c r="D1464" s="241"/>
      <c r="E1464" s="241"/>
      <c r="F1464" s="241"/>
      <c r="G1464" s="241"/>
      <c r="H1464" s="241"/>
      <c r="I1464" s="241"/>
      <c r="J1464" s="241"/>
      <c r="K1464" s="241"/>
      <c r="L1464" s="242"/>
      <c r="M1464" s="241"/>
      <c r="N1464" s="241"/>
      <c r="O1464" s="241"/>
      <c r="P1464" s="241"/>
      <c r="Q1464" s="241"/>
      <c r="R1464" s="241"/>
      <c r="S1464" s="241"/>
      <c r="T1464" s="241"/>
      <c r="U1464" s="241"/>
      <c r="V1464" s="241"/>
      <c r="W1464" s="241"/>
      <c r="X1464" s="243"/>
      <c r="Y1464" s="243"/>
      <c r="Z1464" s="243"/>
      <c r="AA1464" s="243"/>
      <c r="AB1464" s="243"/>
      <c r="AC1464" s="243"/>
      <c r="AD1464" s="243"/>
      <c r="AE1464" s="243"/>
      <c r="AF1464" s="243"/>
      <c r="AG1464" s="243"/>
      <c r="AH1464" s="243"/>
      <c r="AI1464" s="243"/>
      <c r="AJ1464" s="243"/>
    </row>
    <row r="1465" hidden="1">
      <c r="A1465" s="241"/>
      <c r="B1465" s="241"/>
      <c r="C1465" s="241"/>
      <c r="D1465" s="241"/>
      <c r="E1465" s="241"/>
      <c r="F1465" s="241"/>
      <c r="G1465" s="241"/>
      <c r="H1465" s="241"/>
      <c r="I1465" s="241"/>
      <c r="J1465" s="241"/>
      <c r="K1465" s="241"/>
      <c r="L1465" s="242"/>
      <c r="M1465" s="241"/>
      <c r="N1465" s="241"/>
      <c r="O1465" s="241"/>
      <c r="P1465" s="241"/>
      <c r="Q1465" s="241"/>
      <c r="R1465" s="241"/>
      <c r="S1465" s="241"/>
      <c r="T1465" s="241"/>
      <c r="U1465" s="241"/>
      <c r="V1465" s="241"/>
      <c r="W1465" s="241"/>
      <c r="X1465" s="243"/>
      <c r="Y1465" s="243"/>
      <c r="Z1465" s="243"/>
      <c r="AA1465" s="243"/>
      <c r="AB1465" s="243"/>
      <c r="AC1465" s="243"/>
      <c r="AD1465" s="243"/>
      <c r="AE1465" s="243"/>
      <c r="AF1465" s="243"/>
      <c r="AG1465" s="243"/>
      <c r="AH1465" s="243"/>
      <c r="AI1465" s="243"/>
      <c r="AJ1465" s="243"/>
    </row>
    <row r="1466" hidden="1">
      <c r="A1466" s="241"/>
      <c r="B1466" s="241"/>
      <c r="C1466" s="241"/>
      <c r="D1466" s="241"/>
      <c r="E1466" s="241"/>
      <c r="F1466" s="241"/>
      <c r="G1466" s="241"/>
      <c r="H1466" s="241"/>
      <c r="I1466" s="241"/>
      <c r="J1466" s="241"/>
      <c r="K1466" s="241"/>
      <c r="L1466" s="242"/>
      <c r="M1466" s="241"/>
      <c r="N1466" s="241"/>
      <c r="O1466" s="241"/>
      <c r="P1466" s="241"/>
      <c r="Q1466" s="241"/>
      <c r="R1466" s="241"/>
      <c r="S1466" s="241"/>
      <c r="T1466" s="241"/>
      <c r="U1466" s="241"/>
      <c r="V1466" s="241"/>
      <c r="W1466" s="241"/>
      <c r="X1466" s="243"/>
      <c r="Y1466" s="243"/>
      <c r="Z1466" s="243"/>
      <c r="AA1466" s="243"/>
      <c r="AB1466" s="243"/>
      <c r="AC1466" s="243"/>
      <c r="AD1466" s="243"/>
      <c r="AE1466" s="243"/>
      <c r="AF1466" s="243"/>
      <c r="AG1466" s="243"/>
      <c r="AH1466" s="243"/>
      <c r="AI1466" s="243"/>
      <c r="AJ1466" s="243"/>
    </row>
    <row r="1467" hidden="1">
      <c r="A1467" s="241"/>
      <c r="B1467" s="241"/>
      <c r="C1467" s="241"/>
      <c r="D1467" s="241"/>
      <c r="E1467" s="241"/>
      <c r="F1467" s="241"/>
      <c r="G1467" s="241"/>
      <c r="H1467" s="241"/>
      <c r="I1467" s="241"/>
      <c r="J1467" s="241"/>
      <c r="K1467" s="241"/>
      <c r="L1467" s="242"/>
      <c r="M1467" s="241"/>
      <c r="N1467" s="241"/>
      <c r="O1467" s="241"/>
      <c r="P1467" s="241"/>
      <c r="Q1467" s="241"/>
      <c r="R1467" s="241"/>
      <c r="S1467" s="241"/>
      <c r="T1467" s="241"/>
      <c r="U1467" s="241"/>
      <c r="V1467" s="241"/>
      <c r="W1467" s="241"/>
      <c r="X1467" s="243"/>
      <c r="Y1467" s="243"/>
      <c r="Z1467" s="243"/>
      <c r="AA1467" s="243"/>
      <c r="AB1467" s="243"/>
      <c r="AC1467" s="243"/>
      <c r="AD1467" s="243"/>
      <c r="AE1467" s="243"/>
      <c r="AF1467" s="243"/>
      <c r="AG1467" s="243"/>
      <c r="AH1467" s="243"/>
      <c r="AI1467" s="243"/>
      <c r="AJ1467" s="243"/>
    </row>
    <row r="1468" hidden="1">
      <c r="A1468" s="241"/>
      <c r="B1468" s="241"/>
      <c r="C1468" s="241"/>
      <c r="D1468" s="241"/>
      <c r="E1468" s="241"/>
      <c r="F1468" s="241"/>
      <c r="G1468" s="241"/>
      <c r="H1468" s="241"/>
      <c r="I1468" s="241"/>
      <c r="J1468" s="241"/>
      <c r="K1468" s="241"/>
      <c r="L1468" s="242"/>
      <c r="M1468" s="241"/>
      <c r="N1468" s="241"/>
      <c r="O1468" s="241"/>
      <c r="P1468" s="241"/>
      <c r="Q1468" s="241"/>
      <c r="R1468" s="241"/>
      <c r="S1468" s="241"/>
      <c r="T1468" s="241"/>
      <c r="U1468" s="241"/>
      <c r="V1468" s="241"/>
      <c r="W1468" s="241"/>
      <c r="X1468" s="243"/>
      <c r="Y1468" s="243"/>
      <c r="Z1468" s="243"/>
      <c r="AA1468" s="243"/>
      <c r="AB1468" s="243"/>
      <c r="AC1468" s="243"/>
      <c r="AD1468" s="243"/>
      <c r="AE1468" s="243"/>
      <c r="AF1468" s="243"/>
      <c r="AG1468" s="243"/>
      <c r="AH1468" s="243"/>
      <c r="AI1468" s="243"/>
      <c r="AJ1468" s="243"/>
    </row>
    <row r="1469" hidden="1">
      <c r="A1469" s="241"/>
      <c r="B1469" s="241"/>
      <c r="C1469" s="241"/>
      <c r="D1469" s="241"/>
      <c r="E1469" s="241"/>
      <c r="F1469" s="241"/>
      <c r="G1469" s="241"/>
      <c r="H1469" s="241"/>
      <c r="I1469" s="241"/>
      <c r="J1469" s="241"/>
      <c r="K1469" s="241"/>
      <c r="L1469" s="242"/>
      <c r="M1469" s="241"/>
      <c r="N1469" s="241"/>
      <c r="O1469" s="241"/>
      <c r="P1469" s="241"/>
      <c r="Q1469" s="241"/>
      <c r="R1469" s="241"/>
      <c r="S1469" s="241"/>
      <c r="T1469" s="241"/>
      <c r="U1469" s="241"/>
      <c r="V1469" s="241"/>
      <c r="W1469" s="241"/>
      <c r="X1469" s="243"/>
      <c r="Y1469" s="243"/>
      <c r="Z1469" s="243"/>
      <c r="AA1469" s="243"/>
      <c r="AB1469" s="243"/>
      <c r="AC1469" s="243"/>
      <c r="AD1469" s="243"/>
      <c r="AE1469" s="243"/>
      <c r="AF1469" s="243"/>
      <c r="AG1469" s="243"/>
      <c r="AH1469" s="243"/>
      <c r="AI1469" s="243"/>
      <c r="AJ1469" s="243"/>
    </row>
    <row r="1470" hidden="1">
      <c r="A1470" s="241"/>
      <c r="B1470" s="241"/>
      <c r="C1470" s="241"/>
      <c r="D1470" s="241"/>
      <c r="E1470" s="241"/>
      <c r="F1470" s="241"/>
      <c r="G1470" s="241"/>
      <c r="H1470" s="241"/>
      <c r="I1470" s="241"/>
      <c r="J1470" s="241"/>
      <c r="K1470" s="241"/>
      <c r="L1470" s="242"/>
      <c r="M1470" s="241"/>
      <c r="N1470" s="241"/>
      <c r="O1470" s="241"/>
      <c r="P1470" s="241"/>
      <c r="Q1470" s="241"/>
      <c r="R1470" s="241"/>
      <c r="S1470" s="241"/>
      <c r="T1470" s="241"/>
      <c r="U1470" s="241"/>
      <c r="V1470" s="241"/>
      <c r="W1470" s="241"/>
      <c r="X1470" s="243"/>
      <c r="Y1470" s="243"/>
      <c r="Z1470" s="243"/>
      <c r="AA1470" s="243"/>
      <c r="AB1470" s="243"/>
      <c r="AC1470" s="243"/>
      <c r="AD1470" s="243"/>
      <c r="AE1470" s="243"/>
      <c r="AF1470" s="243"/>
      <c r="AG1470" s="243"/>
      <c r="AH1470" s="243"/>
      <c r="AI1470" s="243"/>
      <c r="AJ1470" s="243"/>
    </row>
    <row r="1471" hidden="1">
      <c r="A1471" s="241"/>
      <c r="B1471" s="241"/>
      <c r="C1471" s="241"/>
      <c r="D1471" s="241"/>
      <c r="E1471" s="241"/>
      <c r="F1471" s="241"/>
      <c r="G1471" s="241"/>
      <c r="H1471" s="241"/>
      <c r="I1471" s="241"/>
      <c r="J1471" s="241"/>
      <c r="K1471" s="241"/>
      <c r="L1471" s="242"/>
      <c r="M1471" s="241"/>
      <c r="N1471" s="241"/>
      <c r="O1471" s="241"/>
      <c r="P1471" s="241"/>
      <c r="Q1471" s="241"/>
      <c r="R1471" s="241"/>
      <c r="S1471" s="241"/>
      <c r="T1471" s="241"/>
      <c r="U1471" s="241"/>
      <c r="V1471" s="241"/>
      <c r="W1471" s="241"/>
      <c r="X1471" s="243"/>
      <c r="Y1471" s="243"/>
      <c r="Z1471" s="243"/>
      <c r="AA1471" s="243"/>
      <c r="AB1471" s="243"/>
      <c r="AC1471" s="243"/>
      <c r="AD1471" s="243"/>
      <c r="AE1471" s="243"/>
      <c r="AF1471" s="243"/>
      <c r="AG1471" s="243"/>
      <c r="AH1471" s="243"/>
      <c r="AI1471" s="243"/>
      <c r="AJ1471" s="243"/>
    </row>
    <row r="1472" hidden="1">
      <c r="A1472" s="241"/>
      <c r="B1472" s="241"/>
      <c r="C1472" s="241"/>
      <c r="D1472" s="241"/>
      <c r="E1472" s="241"/>
      <c r="F1472" s="241"/>
      <c r="G1472" s="241"/>
      <c r="H1472" s="241"/>
      <c r="I1472" s="241"/>
      <c r="J1472" s="241"/>
      <c r="K1472" s="241"/>
      <c r="L1472" s="242"/>
      <c r="M1472" s="241"/>
      <c r="N1472" s="241"/>
      <c r="O1472" s="241"/>
      <c r="P1472" s="241"/>
      <c r="Q1472" s="241"/>
      <c r="R1472" s="241"/>
      <c r="S1472" s="241"/>
      <c r="T1472" s="241"/>
      <c r="U1472" s="241"/>
      <c r="V1472" s="241"/>
      <c r="W1472" s="241"/>
      <c r="X1472" s="243"/>
      <c r="Y1472" s="243"/>
      <c r="Z1472" s="243"/>
      <c r="AA1472" s="243"/>
      <c r="AB1472" s="243"/>
      <c r="AC1472" s="243"/>
      <c r="AD1472" s="243"/>
      <c r="AE1472" s="243"/>
      <c r="AF1472" s="243"/>
      <c r="AG1472" s="243"/>
      <c r="AH1472" s="243"/>
      <c r="AI1472" s="243"/>
      <c r="AJ1472" s="243"/>
    </row>
    <row r="1473" hidden="1">
      <c r="A1473" s="241"/>
      <c r="B1473" s="241"/>
      <c r="C1473" s="241"/>
      <c r="D1473" s="241"/>
      <c r="E1473" s="241"/>
      <c r="F1473" s="241"/>
      <c r="G1473" s="241"/>
      <c r="H1473" s="241"/>
      <c r="I1473" s="241"/>
      <c r="J1473" s="241"/>
      <c r="K1473" s="241"/>
      <c r="L1473" s="242"/>
      <c r="M1473" s="241"/>
      <c r="N1473" s="241"/>
      <c r="O1473" s="241"/>
      <c r="P1473" s="241"/>
      <c r="Q1473" s="241"/>
      <c r="R1473" s="241"/>
      <c r="S1473" s="241"/>
      <c r="T1473" s="241"/>
      <c r="U1473" s="241"/>
      <c r="V1473" s="241"/>
      <c r="W1473" s="241"/>
      <c r="X1473" s="243"/>
      <c r="Y1473" s="243"/>
      <c r="Z1473" s="243"/>
      <c r="AA1473" s="243"/>
      <c r="AB1473" s="243"/>
      <c r="AC1473" s="243"/>
      <c r="AD1473" s="243"/>
      <c r="AE1473" s="243"/>
      <c r="AF1473" s="243"/>
      <c r="AG1473" s="243"/>
      <c r="AH1473" s="243"/>
      <c r="AI1473" s="243"/>
      <c r="AJ1473" s="243"/>
    </row>
    <row r="1474" hidden="1">
      <c r="A1474" s="241"/>
      <c r="B1474" s="241"/>
      <c r="C1474" s="241"/>
      <c r="D1474" s="241"/>
      <c r="E1474" s="241"/>
      <c r="F1474" s="241"/>
      <c r="G1474" s="241"/>
      <c r="H1474" s="241"/>
      <c r="I1474" s="241"/>
      <c r="J1474" s="241"/>
      <c r="K1474" s="241"/>
      <c r="L1474" s="242"/>
      <c r="M1474" s="241"/>
      <c r="N1474" s="241"/>
      <c r="O1474" s="241"/>
      <c r="P1474" s="241"/>
      <c r="Q1474" s="241"/>
      <c r="R1474" s="241"/>
      <c r="S1474" s="241"/>
      <c r="T1474" s="241"/>
      <c r="U1474" s="241"/>
      <c r="V1474" s="241"/>
      <c r="W1474" s="241"/>
      <c r="X1474" s="243"/>
      <c r="Y1474" s="243"/>
      <c r="Z1474" s="243"/>
      <c r="AA1474" s="243"/>
      <c r="AB1474" s="243"/>
      <c r="AC1474" s="243"/>
      <c r="AD1474" s="243"/>
      <c r="AE1474" s="243"/>
      <c r="AF1474" s="243"/>
      <c r="AG1474" s="243"/>
      <c r="AH1474" s="243"/>
      <c r="AI1474" s="243"/>
      <c r="AJ1474" s="243"/>
    </row>
    <row r="1475" hidden="1">
      <c r="A1475" s="241"/>
      <c r="B1475" s="241"/>
      <c r="C1475" s="241"/>
      <c r="D1475" s="241"/>
      <c r="E1475" s="241"/>
      <c r="F1475" s="241"/>
      <c r="G1475" s="241"/>
      <c r="H1475" s="241"/>
      <c r="I1475" s="241"/>
      <c r="J1475" s="241"/>
      <c r="K1475" s="241"/>
      <c r="L1475" s="242"/>
      <c r="M1475" s="241"/>
      <c r="N1475" s="241"/>
      <c r="O1475" s="241"/>
      <c r="P1475" s="241"/>
      <c r="Q1475" s="241"/>
      <c r="R1475" s="241"/>
      <c r="S1475" s="241"/>
      <c r="T1475" s="241"/>
      <c r="U1475" s="241"/>
      <c r="V1475" s="241"/>
      <c r="W1475" s="241"/>
      <c r="X1475" s="243"/>
      <c r="Y1475" s="243"/>
      <c r="Z1475" s="243"/>
      <c r="AA1475" s="243"/>
      <c r="AB1475" s="243"/>
      <c r="AC1475" s="243"/>
      <c r="AD1475" s="243"/>
      <c r="AE1475" s="243"/>
      <c r="AF1475" s="243"/>
      <c r="AG1475" s="243"/>
      <c r="AH1475" s="243"/>
      <c r="AI1475" s="243"/>
      <c r="AJ1475" s="243"/>
    </row>
    <row r="1476" hidden="1">
      <c r="A1476" s="241"/>
      <c r="B1476" s="241"/>
      <c r="C1476" s="241"/>
      <c r="D1476" s="241"/>
      <c r="E1476" s="241"/>
      <c r="F1476" s="241"/>
      <c r="G1476" s="241"/>
      <c r="H1476" s="241"/>
      <c r="I1476" s="241"/>
      <c r="J1476" s="241"/>
      <c r="K1476" s="241"/>
      <c r="L1476" s="242"/>
      <c r="M1476" s="241"/>
      <c r="N1476" s="241"/>
      <c r="O1476" s="241"/>
      <c r="P1476" s="241"/>
      <c r="Q1476" s="241"/>
      <c r="R1476" s="241"/>
      <c r="S1476" s="241"/>
      <c r="T1476" s="241"/>
      <c r="U1476" s="241"/>
      <c r="V1476" s="241"/>
      <c r="W1476" s="241"/>
      <c r="X1476" s="243"/>
      <c r="Y1476" s="243"/>
      <c r="Z1476" s="243"/>
      <c r="AA1476" s="243"/>
      <c r="AB1476" s="243"/>
      <c r="AC1476" s="243"/>
      <c r="AD1476" s="243"/>
      <c r="AE1476" s="243"/>
      <c r="AF1476" s="243"/>
      <c r="AG1476" s="243"/>
      <c r="AH1476" s="243"/>
      <c r="AI1476" s="243"/>
      <c r="AJ1476" s="243"/>
    </row>
    <row r="1477" hidden="1">
      <c r="A1477" s="241"/>
      <c r="B1477" s="241"/>
      <c r="C1477" s="241"/>
      <c r="D1477" s="241"/>
      <c r="E1477" s="241"/>
      <c r="F1477" s="241"/>
      <c r="G1477" s="241"/>
      <c r="H1477" s="241"/>
      <c r="I1477" s="241"/>
      <c r="J1477" s="241"/>
      <c r="K1477" s="241"/>
      <c r="L1477" s="242"/>
      <c r="M1477" s="241"/>
      <c r="N1477" s="241"/>
      <c r="O1477" s="241"/>
      <c r="P1477" s="241"/>
      <c r="Q1477" s="241"/>
      <c r="R1477" s="241"/>
      <c r="S1477" s="241"/>
      <c r="T1477" s="241"/>
      <c r="U1477" s="241"/>
      <c r="V1477" s="241"/>
      <c r="W1477" s="241"/>
      <c r="X1477" s="243"/>
      <c r="Y1477" s="243"/>
      <c r="Z1477" s="243"/>
      <c r="AA1477" s="243"/>
      <c r="AB1477" s="243"/>
      <c r="AC1477" s="243"/>
      <c r="AD1477" s="243"/>
      <c r="AE1477" s="243"/>
      <c r="AF1477" s="243"/>
      <c r="AG1477" s="243"/>
      <c r="AH1477" s="243"/>
      <c r="AI1477" s="243"/>
      <c r="AJ1477" s="243"/>
    </row>
    <row r="1478" hidden="1">
      <c r="A1478" s="241"/>
      <c r="B1478" s="241"/>
      <c r="C1478" s="241"/>
      <c r="D1478" s="241"/>
      <c r="E1478" s="241"/>
      <c r="F1478" s="241"/>
      <c r="G1478" s="241"/>
      <c r="H1478" s="241"/>
      <c r="I1478" s="241"/>
      <c r="J1478" s="241"/>
      <c r="K1478" s="241"/>
      <c r="L1478" s="242"/>
      <c r="M1478" s="241"/>
      <c r="N1478" s="241"/>
      <c r="O1478" s="241"/>
      <c r="P1478" s="241"/>
      <c r="Q1478" s="241"/>
      <c r="R1478" s="241"/>
      <c r="S1478" s="241"/>
      <c r="T1478" s="241"/>
      <c r="U1478" s="241"/>
      <c r="V1478" s="241"/>
      <c r="W1478" s="241"/>
      <c r="X1478" s="243"/>
      <c r="Y1478" s="243"/>
      <c r="Z1478" s="243"/>
      <c r="AA1478" s="243"/>
      <c r="AB1478" s="243"/>
      <c r="AC1478" s="243"/>
      <c r="AD1478" s="243"/>
      <c r="AE1478" s="243"/>
      <c r="AF1478" s="243"/>
      <c r="AG1478" s="243"/>
      <c r="AH1478" s="243"/>
      <c r="AI1478" s="243"/>
      <c r="AJ1478" s="243"/>
    </row>
    <row r="1479" hidden="1">
      <c r="A1479" s="241"/>
      <c r="B1479" s="241"/>
      <c r="C1479" s="241"/>
      <c r="D1479" s="241"/>
      <c r="E1479" s="241"/>
      <c r="F1479" s="241"/>
      <c r="G1479" s="241"/>
      <c r="H1479" s="241"/>
      <c r="I1479" s="241"/>
      <c r="J1479" s="241"/>
      <c r="K1479" s="241"/>
      <c r="L1479" s="242"/>
      <c r="M1479" s="241"/>
      <c r="N1479" s="241"/>
      <c r="O1479" s="241"/>
      <c r="P1479" s="241"/>
      <c r="Q1479" s="241"/>
      <c r="R1479" s="241"/>
      <c r="S1479" s="241"/>
      <c r="T1479" s="241"/>
      <c r="U1479" s="241"/>
      <c r="V1479" s="241"/>
      <c r="W1479" s="241"/>
      <c r="X1479" s="243"/>
      <c r="Y1479" s="243"/>
      <c r="Z1479" s="243"/>
      <c r="AA1479" s="243"/>
      <c r="AB1479" s="243"/>
      <c r="AC1479" s="243"/>
      <c r="AD1479" s="243"/>
      <c r="AE1479" s="243"/>
      <c r="AF1479" s="243"/>
      <c r="AG1479" s="243"/>
      <c r="AH1479" s="243"/>
      <c r="AI1479" s="243"/>
      <c r="AJ1479" s="243"/>
    </row>
    <row r="1480" hidden="1">
      <c r="A1480" s="241"/>
      <c r="B1480" s="241"/>
      <c r="C1480" s="241"/>
      <c r="D1480" s="241"/>
      <c r="E1480" s="241"/>
      <c r="F1480" s="241"/>
      <c r="G1480" s="241"/>
      <c r="H1480" s="241"/>
      <c r="I1480" s="241"/>
      <c r="J1480" s="241"/>
      <c r="K1480" s="241"/>
      <c r="L1480" s="242"/>
      <c r="M1480" s="241"/>
      <c r="N1480" s="241"/>
      <c r="O1480" s="241"/>
      <c r="P1480" s="241"/>
      <c r="Q1480" s="241"/>
      <c r="R1480" s="241"/>
      <c r="S1480" s="241"/>
      <c r="T1480" s="241"/>
      <c r="U1480" s="241"/>
      <c r="V1480" s="241"/>
      <c r="W1480" s="241"/>
      <c r="X1480" s="243"/>
      <c r="Y1480" s="243"/>
      <c r="Z1480" s="243"/>
      <c r="AA1480" s="243"/>
      <c r="AB1480" s="243"/>
      <c r="AC1480" s="243"/>
      <c r="AD1480" s="243"/>
      <c r="AE1480" s="243"/>
      <c r="AF1480" s="243"/>
      <c r="AG1480" s="243"/>
      <c r="AH1480" s="243"/>
      <c r="AI1480" s="243"/>
      <c r="AJ1480" s="243"/>
    </row>
    <row r="1481" hidden="1">
      <c r="A1481" s="241"/>
      <c r="B1481" s="241"/>
      <c r="C1481" s="241"/>
      <c r="D1481" s="241"/>
      <c r="E1481" s="241"/>
      <c r="F1481" s="241"/>
      <c r="G1481" s="241"/>
      <c r="H1481" s="241"/>
      <c r="I1481" s="241"/>
      <c r="J1481" s="241"/>
      <c r="K1481" s="241"/>
      <c r="L1481" s="242"/>
      <c r="M1481" s="241"/>
      <c r="N1481" s="241"/>
      <c r="O1481" s="241"/>
      <c r="P1481" s="241"/>
      <c r="Q1481" s="241"/>
      <c r="R1481" s="241"/>
      <c r="S1481" s="241"/>
      <c r="T1481" s="241"/>
      <c r="U1481" s="241"/>
      <c r="V1481" s="241"/>
      <c r="W1481" s="241"/>
      <c r="X1481" s="243"/>
      <c r="Y1481" s="243"/>
      <c r="Z1481" s="243"/>
      <c r="AA1481" s="243"/>
      <c r="AB1481" s="243"/>
      <c r="AC1481" s="243"/>
      <c r="AD1481" s="243"/>
      <c r="AE1481" s="243"/>
      <c r="AF1481" s="243"/>
      <c r="AG1481" s="243"/>
      <c r="AH1481" s="243"/>
      <c r="AI1481" s="243"/>
      <c r="AJ1481" s="243"/>
    </row>
    <row r="1482" hidden="1">
      <c r="A1482" s="241"/>
      <c r="B1482" s="241"/>
      <c r="C1482" s="241"/>
      <c r="D1482" s="241"/>
      <c r="E1482" s="241"/>
      <c r="F1482" s="241"/>
      <c r="G1482" s="241"/>
      <c r="H1482" s="241"/>
      <c r="I1482" s="241"/>
      <c r="J1482" s="241"/>
      <c r="K1482" s="241"/>
      <c r="L1482" s="242"/>
      <c r="M1482" s="241"/>
      <c r="N1482" s="241"/>
      <c r="O1482" s="241"/>
      <c r="P1482" s="241"/>
      <c r="Q1482" s="241"/>
      <c r="R1482" s="241"/>
      <c r="S1482" s="241"/>
      <c r="T1482" s="241"/>
      <c r="U1482" s="241"/>
      <c r="V1482" s="241"/>
      <c r="W1482" s="241"/>
      <c r="X1482" s="243"/>
      <c r="Y1482" s="243"/>
      <c r="Z1482" s="243"/>
      <c r="AA1482" s="243"/>
      <c r="AB1482" s="243"/>
      <c r="AC1482" s="243"/>
      <c r="AD1482" s="243"/>
      <c r="AE1482" s="243"/>
      <c r="AF1482" s="243"/>
      <c r="AG1482" s="243"/>
      <c r="AH1482" s="243"/>
      <c r="AI1482" s="243"/>
      <c r="AJ1482" s="243"/>
    </row>
    <row r="1483" hidden="1">
      <c r="A1483" s="241"/>
      <c r="B1483" s="241"/>
      <c r="C1483" s="241"/>
      <c r="D1483" s="241"/>
      <c r="E1483" s="241"/>
      <c r="F1483" s="241"/>
      <c r="G1483" s="241"/>
      <c r="H1483" s="241"/>
      <c r="I1483" s="241"/>
      <c r="J1483" s="241"/>
      <c r="K1483" s="241"/>
      <c r="L1483" s="242"/>
      <c r="M1483" s="241"/>
      <c r="N1483" s="241"/>
      <c r="O1483" s="241"/>
      <c r="P1483" s="241"/>
      <c r="Q1483" s="241"/>
      <c r="R1483" s="241"/>
      <c r="S1483" s="241"/>
      <c r="T1483" s="241"/>
      <c r="U1483" s="241"/>
      <c r="V1483" s="241"/>
      <c r="W1483" s="241"/>
      <c r="X1483" s="243"/>
      <c r="Y1483" s="243"/>
      <c r="Z1483" s="243"/>
      <c r="AA1483" s="243"/>
      <c r="AB1483" s="243"/>
      <c r="AC1483" s="243"/>
      <c r="AD1483" s="243"/>
      <c r="AE1483" s="243"/>
      <c r="AF1483" s="243"/>
      <c r="AG1483" s="243"/>
      <c r="AH1483" s="243"/>
      <c r="AI1483" s="243"/>
      <c r="AJ1483" s="243"/>
    </row>
    <row r="1484" hidden="1">
      <c r="A1484" s="241"/>
      <c r="B1484" s="241"/>
      <c r="C1484" s="241"/>
      <c r="D1484" s="241"/>
      <c r="E1484" s="241"/>
      <c r="F1484" s="241"/>
      <c r="G1484" s="241"/>
      <c r="H1484" s="241"/>
      <c r="I1484" s="241"/>
      <c r="J1484" s="241"/>
      <c r="K1484" s="241"/>
      <c r="L1484" s="242"/>
      <c r="M1484" s="241"/>
      <c r="N1484" s="241"/>
      <c r="O1484" s="241"/>
      <c r="P1484" s="241"/>
      <c r="Q1484" s="241"/>
      <c r="R1484" s="241"/>
      <c r="S1484" s="241"/>
      <c r="T1484" s="241"/>
      <c r="U1484" s="241"/>
      <c r="V1484" s="241"/>
      <c r="W1484" s="241"/>
      <c r="X1484" s="243"/>
      <c r="Y1484" s="243"/>
      <c r="Z1484" s="243"/>
      <c r="AA1484" s="243"/>
      <c r="AB1484" s="243"/>
      <c r="AC1484" s="243"/>
      <c r="AD1484" s="243"/>
      <c r="AE1484" s="243"/>
      <c r="AF1484" s="243"/>
      <c r="AG1484" s="243"/>
      <c r="AH1484" s="243"/>
      <c r="AI1484" s="243"/>
      <c r="AJ1484" s="243"/>
    </row>
    <row r="1485" hidden="1">
      <c r="A1485" s="241"/>
      <c r="B1485" s="241"/>
      <c r="C1485" s="241"/>
      <c r="D1485" s="241"/>
      <c r="E1485" s="241"/>
      <c r="F1485" s="241"/>
      <c r="G1485" s="241"/>
      <c r="H1485" s="241"/>
      <c r="I1485" s="241"/>
      <c r="J1485" s="241"/>
      <c r="K1485" s="241"/>
      <c r="L1485" s="242"/>
      <c r="M1485" s="241"/>
      <c r="N1485" s="241"/>
      <c r="O1485" s="241"/>
      <c r="P1485" s="241"/>
      <c r="Q1485" s="241"/>
      <c r="R1485" s="241"/>
      <c r="S1485" s="241"/>
      <c r="T1485" s="241"/>
      <c r="U1485" s="241"/>
      <c r="V1485" s="241"/>
      <c r="W1485" s="241"/>
      <c r="X1485" s="243"/>
      <c r="Y1485" s="243"/>
      <c r="Z1485" s="243"/>
      <c r="AA1485" s="243"/>
      <c r="AB1485" s="243"/>
      <c r="AC1485" s="243"/>
      <c r="AD1485" s="243"/>
      <c r="AE1485" s="243"/>
      <c r="AF1485" s="243"/>
      <c r="AG1485" s="243"/>
      <c r="AH1485" s="243"/>
      <c r="AI1485" s="243"/>
      <c r="AJ1485" s="243"/>
    </row>
    <row r="1486" hidden="1">
      <c r="A1486" s="241"/>
      <c r="B1486" s="241"/>
      <c r="C1486" s="241"/>
      <c r="D1486" s="241"/>
      <c r="E1486" s="241"/>
      <c r="F1486" s="241"/>
      <c r="G1486" s="241"/>
      <c r="H1486" s="241"/>
      <c r="I1486" s="241"/>
      <c r="J1486" s="241"/>
      <c r="K1486" s="241"/>
      <c r="L1486" s="242"/>
      <c r="M1486" s="241"/>
      <c r="N1486" s="241"/>
      <c r="O1486" s="241"/>
      <c r="P1486" s="241"/>
      <c r="Q1486" s="241"/>
      <c r="R1486" s="241"/>
      <c r="S1486" s="241"/>
      <c r="T1486" s="241"/>
      <c r="U1486" s="241"/>
      <c r="V1486" s="241"/>
      <c r="W1486" s="241"/>
      <c r="X1486" s="243"/>
      <c r="Y1486" s="243"/>
      <c r="Z1486" s="243"/>
      <c r="AA1486" s="243"/>
      <c r="AB1486" s="243"/>
      <c r="AC1486" s="243"/>
      <c r="AD1486" s="243"/>
      <c r="AE1486" s="243"/>
      <c r="AF1486" s="243"/>
      <c r="AG1486" s="243"/>
      <c r="AH1486" s="243"/>
      <c r="AI1486" s="243"/>
      <c r="AJ1486" s="243"/>
    </row>
    <row r="1487" hidden="1">
      <c r="A1487" s="241"/>
      <c r="B1487" s="241"/>
      <c r="C1487" s="241"/>
      <c r="D1487" s="241"/>
      <c r="E1487" s="241"/>
      <c r="F1487" s="241"/>
      <c r="G1487" s="241"/>
      <c r="H1487" s="241"/>
      <c r="I1487" s="241"/>
      <c r="J1487" s="241"/>
      <c r="K1487" s="241"/>
      <c r="L1487" s="242"/>
      <c r="M1487" s="241"/>
      <c r="N1487" s="241"/>
      <c r="O1487" s="241"/>
      <c r="P1487" s="241"/>
      <c r="Q1487" s="241"/>
      <c r="R1487" s="241"/>
      <c r="S1487" s="241"/>
      <c r="T1487" s="241"/>
      <c r="U1487" s="241"/>
      <c r="V1487" s="241"/>
      <c r="W1487" s="241"/>
      <c r="X1487" s="243"/>
      <c r="Y1487" s="243"/>
      <c r="Z1487" s="243"/>
      <c r="AA1487" s="243"/>
      <c r="AB1487" s="243"/>
      <c r="AC1487" s="243"/>
      <c r="AD1487" s="243"/>
      <c r="AE1487" s="243"/>
      <c r="AF1487" s="243"/>
      <c r="AG1487" s="243"/>
      <c r="AH1487" s="243"/>
      <c r="AI1487" s="243"/>
      <c r="AJ1487" s="243"/>
    </row>
    <row r="1488" hidden="1">
      <c r="A1488" s="241"/>
      <c r="B1488" s="241"/>
      <c r="C1488" s="241"/>
      <c r="D1488" s="241"/>
      <c r="E1488" s="241"/>
      <c r="F1488" s="241"/>
      <c r="G1488" s="241"/>
      <c r="H1488" s="241"/>
      <c r="I1488" s="241"/>
      <c r="J1488" s="241"/>
      <c r="K1488" s="241"/>
      <c r="L1488" s="242"/>
      <c r="M1488" s="241"/>
      <c r="N1488" s="241"/>
      <c r="O1488" s="241"/>
      <c r="P1488" s="241"/>
      <c r="Q1488" s="241"/>
      <c r="R1488" s="241"/>
      <c r="S1488" s="241"/>
      <c r="T1488" s="241"/>
      <c r="U1488" s="241"/>
      <c r="V1488" s="241"/>
      <c r="W1488" s="241"/>
      <c r="X1488" s="243"/>
      <c r="Y1488" s="243"/>
      <c r="Z1488" s="243"/>
      <c r="AA1488" s="243"/>
      <c r="AB1488" s="243"/>
      <c r="AC1488" s="243"/>
      <c r="AD1488" s="243"/>
      <c r="AE1488" s="243"/>
      <c r="AF1488" s="243"/>
      <c r="AG1488" s="243"/>
      <c r="AH1488" s="243"/>
      <c r="AI1488" s="243"/>
      <c r="AJ1488" s="243"/>
    </row>
    <row r="1489" hidden="1">
      <c r="A1489" s="241"/>
      <c r="B1489" s="241"/>
      <c r="C1489" s="241"/>
      <c r="D1489" s="241"/>
      <c r="E1489" s="241"/>
      <c r="F1489" s="241"/>
      <c r="G1489" s="241"/>
      <c r="H1489" s="241"/>
      <c r="I1489" s="241"/>
      <c r="J1489" s="241"/>
      <c r="K1489" s="241"/>
      <c r="L1489" s="242"/>
      <c r="M1489" s="241"/>
      <c r="N1489" s="241"/>
      <c r="O1489" s="241"/>
      <c r="P1489" s="241"/>
      <c r="Q1489" s="241"/>
      <c r="R1489" s="241"/>
      <c r="S1489" s="241"/>
      <c r="T1489" s="241"/>
      <c r="U1489" s="241"/>
      <c r="V1489" s="241"/>
      <c r="W1489" s="241"/>
      <c r="X1489" s="243"/>
      <c r="Y1489" s="243"/>
      <c r="Z1489" s="243"/>
      <c r="AA1489" s="243"/>
      <c r="AB1489" s="243"/>
      <c r="AC1489" s="243"/>
      <c r="AD1489" s="243"/>
      <c r="AE1489" s="243"/>
      <c r="AF1489" s="243"/>
      <c r="AG1489" s="243"/>
      <c r="AH1489" s="243"/>
      <c r="AI1489" s="243"/>
      <c r="AJ1489" s="243"/>
    </row>
    <row r="1490" hidden="1">
      <c r="A1490" s="241"/>
      <c r="B1490" s="241"/>
      <c r="C1490" s="241"/>
      <c r="D1490" s="241"/>
      <c r="E1490" s="241"/>
      <c r="F1490" s="241"/>
      <c r="G1490" s="241"/>
      <c r="H1490" s="241"/>
      <c r="I1490" s="241"/>
      <c r="J1490" s="241"/>
      <c r="K1490" s="241"/>
      <c r="L1490" s="242"/>
      <c r="M1490" s="241"/>
      <c r="N1490" s="241"/>
      <c r="O1490" s="241"/>
      <c r="P1490" s="241"/>
      <c r="Q1490" s="241"/>
      <c r="R1490" s="241"/>
      <c r="S1490" s="241"/>
      <c r="T1490" s="241"/>
      <c r="U1490" s="241"/>
      <c r="V1490" s="241"/>
      <c r="W1490" s="241"/>
      <c r="X1490" s="243"/>
      <c r="Y1490" s="243"/>
      <c r="Z1490" s="243"/>
      <c r="AA1490" s="243"/>
      <c r="AB1490" s="243"/>
      <c r="AC1490" s="243"/>
      <c r="AD1490" s="243"/>
      <c r="AE1490" s="243"/>
      <c r="AF1490" s="243"/>
      <c r="AG1490" s="243"/>
      <c r="AH1490" s="243"/>
      <c r="AI1490" s="243"/>
      <c r="AJ1490" s="243"/>
    </row>
    <row r="1491" hidden="1">
      <c r="A1491" s="241"/>
      <c r="B1491" s="241"/>
      <c r="C1491" s="241"/>
      <c r="D1491" s="241"/>
      <c r="E1491" s="241"/>
      <c r="F1491" s="241"/>
      <c r="G1491" s="241"/>
      <c r="H1491" s="241"/>
      <c r="I1491" s="241"/>
      <c r="J1491" s="241"/>
      <c r="K1491" s="241"/>
      <c r="L1491" s="242"/>
      <c r="M1491" s="241"/>
      <c r="N1491" s="241"/>
      <c r="O1491" s="241"/>
      <c r="P1491" s="241"/>
      <c r="Q1491" s="241"/>
      <c r="R1491" s="241"/>
      <c r="S1491" s="241"/>
      <c r="T1491" s="241"/>
      <c r="U1491" s="241"/>
      <c r="V1491" s="241"/>
      <c r="W1491" s="241"/>
      <c r="X1491" s="243"/>
      <c r="Y1491" s="243"/>
      <c r="Z1491" s="243"/>
      <c r="AA1491" s="243"/>
      <c r="AB1491" s="243"/>
      <c r="AC1491" s="243"/>
      <c r="AD1491" s="243"/>
      <c r="AE1491" s="243"/>
      <c r="AF1491" s="243"/>
      <c r="AG1491" s="243"/>
      <c r="AH1491" s="243"/>
      <c r="AI1491" s="243"/>
      <c r="AJ1491" s="243"/>
    </row>
    <row r="1492" hidden="1">
      <c r="A1492" s="241"/>
      <c r="B1492" s="241"/>
      <c r="C1492" s="241"/>
      <c r="D1492" s="241"/>
      <c r="E1492" s="241"/>
      <c r="F1492" s="241"/>
      <c r="G1492" s="241"/>
      <c r="H1492" s="241"/>
      <c r="I1492" s="241"/>
      <c r="J1492" s="241"/>
      <c r="K1492" s="241"/>
      <c r="L1492" s="242"/>
      <c r="M1492" s="241"/>
      <c r="N1492" s="241"/>
      <c r="O1492" s="241"/>
      <c r="P1492" s="241"/>
      <c r="Q1492" s="241"/>
      <c r="R1492" s="241"/>
      <c r="S1492" s="241"/>
      <c r="T1492" s="241"/>
      <c r="U1492" s="241"/>
      <c r="V1492" s="241"/>
      <c r="W1492" s="241"/>
      <c r="X1492" s="243"/>
      <c r="Y1492" s="243"/>
      <c r="Z1492" s="243"/>
      <c r="AA1492" s="243"/>
      <c r="AB1492" s="243"/>
      <c r="AC1492" s="243"/>
      <c r="AD1492" s="243"/>
      <c r="AE1492" s="243"/>
      <c r="AF1492" s="243"/>
      <c r="AG1492" s="243"/>
      <c r="AH1492" s="243"/>
      <c r="AI1492" s="243"/>
      <c r="AJ1492" s="243"/>
    </row>
    <row r="1493" hidden="1">
      <c r="A1493" s="241"/>
      <c r="B1493" s="241"/>
      <c r="C1493" s="241"/>
      <c r="D1493" s="241"/>
      <c r="E1493" s="241"/>
      <c r="F1493" s="241"/>
      <c r="G1493" s="241"/>
      <c r="H1493" s="241"/>
      <c r="I1493" s="241"/>
      <c r="J1493" s="241"/>
      <c r="K1493" s="241"/>
      <c r="L1493" s="242"/>
      <c r="M1493" s="241"/>
      <c r="N1493" s="241"/>
      <c r="O1493" s="241"/>
      <c r="P1493" s="241"/>
      <c r="Q1493" s="241"/>
      <c r="R1493" s="241"/>
      <c r="S1493" s="241"/>
      <c r="T1493" s="241"/>
      <c r="U1493" s="241"/>
      <c r="V1493" s="241"/>
      <c r="W1493" s="241"/>
      <c r="X1493" s="243"/>
      <c r="Y1493" s="243"/>
      <c r="Z1493" s="243"/>
      <c r="AA1493" s="243"/>
      <c r="AB1493" s="243"/>
      <c r="AC1493" s="243"/>
      <c r="AD1493" s="243"/>
      <c r="AE1493" s="243"/>
      <c r="AF1493" s="243"/>
      <c r="AG1493" s="243"/>
      <c r="AH1493" s="243"/>
      <c r="AI1493" s="243"/>
      <c r="AJ1493" s="243"/>
    </row>
    <row r="1494" hidden="1">
      <c r="A1494" s="241"/>
      <c r="B1494" s="241"/>
      <c r="C1494" s="241"/>
      <c r="D1494" s="241"/>
      <c r="E1494" s="241"/>
      <c r="F1494" s="241"/>
      <c r="G1494" s="241"/>
      <c r="H1494" s="241"/>
      <c r="I1494" s="241"/>
      <c r="J1494" s="241"/>
      <c r="K1494" s="241"/>
      <c r="L1494" s="242"/>
      <c r="M1494" s="241"/>
      <c r="N1494" s="241"/>
      <c r="O1494" s="241"/>
      <c r="P1494" s="241"/>
      <c r="Q1494" s="241"/>
      <c r="R1494" s="241"/>
      <c r="S1494" s="241"/>
      <c r="T1494" s="241"/>
      <c r="U1494" s="241"/>
      <c r="V1494" s="241"/>
      <c r="W1494" s="241"/>
      <c r="X1494" s="243"/>
      <c r="Y1494" s="243"/>
      <c r="Z1494" s="243"/>
      <c r="AA1494" s="243"/>
      <c r="AB1494" s="243"/>
      <c r="AC1494" s="243"/>
      <c r="AD1494" s="243"/>
      <c r="AE1494" s="243"/>
      <c r="AF1494" s="243"/>
      <c r="AG1494" s="243"/>
      <c r="AH1494" s="243"/>
      <c r="AI1494" s="243"/>
      <c r="AJ1494" s="243"/>
    </row>
    <row r="1495" hidden="1">
      <c r="A1495" s="241"/>
      <c r="B1495" s="241"/>
      <c r="C1495" s="241"/>
      <c r="D1495" s="241"/>
      <c r="E1495" s="241"/>
      <c r="F1495" s="241"/>
      <c r="G1495" s="241"/>
      <c r="H1495" s="241"/>
      <c r="I1495" s="241"/>
      <c r="J1495" s="241"/>
      <c r="K1495" s="241"/>
      <c r="L1495" s="242"/>
      <c r="M1495" s="241"/>
      <c r="N1495" s="241"/>
      <c r="O1495" s="241"/>
      <c r="P1495" s="241"/>
      <c r="Q1495" s="241"/>
      <c r="R1495" s="241"/>
      <c r="S1495" s="241"/>
      <c r="T1495" s="241"/>
      <c r="U1495" s="241"/>
      <c r="V1495" s="241"/>
      <c r="W1495" s="241"/>
      <c r="X1495" s="243"/>
      <c r="Y1495" s="243"/>
      <c r="Z1495" s="243"/>
      <c r="AA1495" s="243"/>
      <c r="AB1495" s="243"/>
      <c r="AC1495" s="243"/>
      <c r="AD1495" s="243"/>
      <c r="AE1495" s="243"/>
      <c r="AF1495" s="243"/>
      <c r="AG1495" s="243"/>
      <c r="AH1495" s="243"/>
      <c r="AI1495" s="243"/>
      <c r="AJ1495" s="243"/>
    </row>
    <row r="1496" hidden="1">
      <c r="A1496" s="241"/>
      <c r="B1496" s="241"/>
      <c r="C1496" s="241"/>
      <c r="D1496" s="241"/>
      <c r="E1496" s="241"/>
      <c r="F1496" s="241"/>
      <c r="G1496" s="241"/>
      <c r="H1496" s="241"/>
      <c r="I1496" s="241"/>
      <c r="J1496" s="241"/>
      <c r="K1496" s="241"/>
      <c r="L1496" s="242"/>
      <c r="M1496" s="241"/>
      <c r="N1496" s="241"/>
      <c r="O1496" s="241"/>
      <c r="P1496" s="241"/>
      <c r="Q1496" s="241"/>
      <c r="R1496" s="241"/>
      <c r="S1496" s="241"/>
      <c r="T1496" s="241"/>
      <c r="U1496" s="241"/>
      <c r="V1496" s="241"/>
      <c r="W1496" s="241"/>
      <c r="X1496" s="243"/>
      <c r="Y1496" s="243"/>
      <c r="Z1496" s="243"/>
      <c r="AA1496" s="243"/>
      <c r="AB1496" s="243"/>
      <c r="AC1496" s="243"/>
      <c r="AD1496" s="243"/>
      <c r="AE1496" s="243"/>
      <c r="AF1496" s="243"/>
      <c r="AG1496" s="243"/>
      <c r="AH1496" s="243"/>
      <c r="AI1496" s="243"/>
      <c r="AJ1496" s="243"/>
    </row>
    <row r="1497" hidden="1">
      <c r="A1497" s="241"/>
      <c r="B1497" s="241"/>
      <c r="C1497" s="241"/>
      <c r="D1497" s="241"/>
      <c r="E1497" s="241"/>
      <c r="F1497" s="241"/>
      <c r="G1497" s="241"/>
      <c r="H1497" s="241"/>
      <c r="I1497" s="241"/>
      <c r="J1497" s="241"/>
      <c r="K1497" s="241"/>
      <c r="L1497" s="242"/>
      <c r="M1497" s="241"/>
      <c r="N1497" s="241"/>
      <c r="O1497" s="241"/>
      <c r="P1497" s="241"/>
      <c r="Q1497" s="241"/>
      <c r="R1497" s="241"/>
      <c r="S1497" s="241"/>
      <c r="T1497" s="241"/>
      <c r="U1497" s="241"/>
      <c r="V1497" s="241"/>
      <c r="W1497" s="241"/>
      <c r="X1497" s="243"/>
      <c r="Y1497" s="243"/>
      <c r="Z1497" s="243"/>
      <c r="AA1497" s="243"/>
      <c r="AB1497" s="243"/>
      <c r="AC1497" s="243"/>
      <c r="AD1497" s="243"/>
      <c r="AE1497" s="243"/>
      <c r="AF1497" s="243"/>
      <c r="AG1497" s="243"/>
      <c r="AH1497" s="243"/>
      <c r="AI1497" s="243"/>
      <c r="AJ1497" s="243"/>
    </row>
    <row r="1498" hidden="1">
      <c r="A1498" s="241"/>
      <c r="B1498" s="241"/>
      <c r="C1498" s="241"/>
      <c r="D1498" s="241"/>
      <c r="E1498" s="241"/>
      <c r="F1498" s="241"/>
      <c r="G1498" s="241"/>
      <c r="H1498" s="241"/>
      <c r="I1498" s="241"/>
      <c r="J1498" s="241"/>
      <c r="K1498" s="241"/>
      <c r="L1498" s="242"/>
      <c r="M1498" s="241"/>
      <c r="N1498" s="241"/>
      <c r="O1498" s="241"/>
      <c r="P1498" s="241"/>
      <c r="Q1498" s="241"/>
      <c r="R1498" s="241"/>
      <c r="S1498" s="241"/>
      <c r="T1498" s="241"/>
      <c r="U1498" s="241"/>
      <c r="V1498" s="241"/>
      <c r="W1498" s="241"/>
      <c r="X1498" s="243"/>
      <c r="Y1498" s="243"/>
      <c r="Z1498" s="243"/>
      <c r="AA1498" s="243"/>
      <c r="AB1498" s="243"/>
      <c r="AC1498" s="243"/>
      <c r="AD1498" s="243"/>
      <c r="AE1498" s="243"/>
      <c r="AF1498" s="243"/>
      <c r="AG1498" s="243"/>
      <c r="AH1498" s="243"/>
      <c r="AI1498" s="243"/>
      <c r="AJ1498" s="243"/>
    </row>
    <row r="1499" hidden="1">
      <c r="A1499" s="241"/>
      <c r="B1499" s="241"/>
      <c r="C1499" s="241"/>
      <c r="D1499" s="241"/>
      <c r="E1499" s="241"/>
      <c r="F1499" s="241"/>
      <c r="G1499" s="241"/>
      <c r="H1499" s="241"/>
      <c r="I1499" s="241"/>
      <c r="J1499" s="241"/>
      <c r="K1499" s="241"/>
      <c r="L1499" s="242"/>
      <c r="M1499" s="241"/>
      <c r="N1499" s="241"/>
      <c r="O1499" s="241"/>
      <c r="P1499" s="241"/>
      <c r="Q1499" s="241"/>
      <c r="R1499" s="241"/>
      <c r="S1499" s="241"/>
      <c r="T1499" s="241"/>
      <c r="U1499" s="241"/>
      <c r="V1499" s="241"/>
      <c r="W1499" s="241"/>
      <c r="X1499" s="243"/>
      <c r="Y1499" s="243"/>
      <c r="Z1499" s="243"/>
      <c r="AA1499" s="243"/>
      <c r="AB1499" s="243"/>
      <c r="AC1499" s="243"/>
      <c r="AD1499" s="243"/>
      <c r="AE1499" s="243"/>
      <c r="AF1499" s="243"/>
      <c r="AG1499" s="243"/>
      <c r="AH1499" s="243"/>
      <c r="AI1499" s="243"/>
      <c r="AJ1499" s="243"/>
    </row>
    <row r="1500" hidden="1">
      <c r="A1500" s="241"/>
      <c r="B1500" s="241"/>
      <c r="C1500" s="241"/>
      <c r="D1500" s="241"/>
      <c r="E1500" s="241"/>
      <c r="F1500" s="241"/>
      <c r="G1500" s="241"/>
      <c r="H1500" s="241"/>
      <c r="I1500" s="241"/>
      <c r="J1500" s="241"/>
      <c r="K1500" s="241"/>
      <c r="L1500" s="242"/>
      <c r="M1500" s="241"/>
      <c r="N1500" s="241"/>
      <c r="O1500" s="241"/>
      <c r="P1500" s="241"/>
      <c r="Q1500" s="241"/>
      <c r="R1500" s="241"/>
      <c r="S1500" s="241"/>
      <c r="T1500" s="241"/>
      <c r="U1500" s="241"/>
      <c r="V1500" s="241"/>
      <c r="W1500" s="241"/>
      <c r="X1500" s="243"/>
      <c r="Y1500" s="243"/>
      <c r="Z1500" s="243"/>
      <c r="AA1500" s="243"/>
      <c r="AB1500" s="243"/>
      <c r="AC1500" s="243"/>
      <c r="AD1500" s="243"/>
      <c r="AE1500" s="243"/>
      <c r="AF1500" s="243"/>
      <c r="AG1500" s="243"/>
      <c r="AH1500" s="243"/>
      <c r="AI1500" s="243"/>
      <c r="AJ1500" s="243"/>
    </row>
    <row r="1501" hidden="1">
      <c r="A1501" s="241"/>
      <c r="B1501" s="241"/>
      <c r="C1501" s="241"/>
      <c r="D1501" s="241"/>
      <c r="E1501" s="241"/>
      <c r="F1501" s="241"/>
      <c r="G1501" s="241"/>
      <c r="H1501" s="241"/>
      <c r="I1501" s="241"/>
      <c r="J1501" s="241"/>
      <c r="K1501" s="241"/>
      <c r="L1501" s="242"/>
      <c r="M1501" s="241"/>
      <c r="N1501" s="241"/>
      <c r="O1501" s="241"/>
      <c r="P1501" s="241"/>
      <c r="Q1501" s="241"/>
      <c r="R1501" s="241"/>
      <c r="S1501" s="241"/>
      <c r="T1501" s="241"/>
      <c r="U1501" s="241"/>
      <c r="V1501" s="241"/>
      <c r="W1501" s="241"/>
      <c r="X1501" s="243"/>
      <c r="Y1501" s="243"/>
      <c r="Z1501" s="243"/>
      <c r="AA1501" s="243"/>
      <c r="AB1501" s="243"/>
      <c r="AC1501" s="243"/>
      <c r="AD1501" s="243"/>
      <c r="AE1501" s="243"/>
      <c r="AF1501" s="243"/>
      <c r="AG1501" s="243"/>
      <c r="AH1501" s="243"/>
      <c r="AI1501" s="243"/>
      <c r="AJ1501" s="243"/>
    </row>
    <row r="1502" hidden="1">
      <c r="A1502" s="241"/>
      <c r="B1502" s="241"/>
      <c r="C1502" s="241"/>
      <c r="D1502" s="241"/>
      <c r="E1502" s="241"/>
      <c r="F1502" s="241"/>
      <c r="G1502" s="241"/>
      <c r="H1502" s="241"/>
      <c r="I1502" s="241"/>
      <c r="J1502" s="241"/>
      <c r="K1502" s="241"/>
      <c r="L1502" s="242"/>
      <c r="M1502" s="241"/>
      <c r="N1502" s="241"/>
      <c r="O1502" s="241"/>
      <c r="P1502" s="241"/>
      <c r="Q1502" s="241"/>
      <c r="R1502" s="241"/>
      <c r="S1502" s="241"/>
      <c r="T1502" s="241"/>
      <c r="U1502" s="241"/>
      <c r="V1502" s="241"/>
      <c r="W1502" s="241"/>
      <c r="X1502" s="243"/>
      <c r="Y1502" s="243"/>
      <c r="Z1502" s="243"/>
      <c r="AA1502" s="243"/>
      <c r="AB1502" s="243"/>
      <c r="AC1502" s="243"/>
      <c r="AD1502" s="243"/>
      <c r="AE1502" s="243"/>
      <c r="AF1502" s="243"/>
      <c r="AG1502" s="243"/>
      <c r="AH1502" s="243"/>
      <c r="AI1502" s="243"/>
      <c r="AJ1502" s="243"/>
    </row>
    <row r="1503" hidden="1">
      <c r="A1503" s="241"/>
      <c r="B1503" s="241"/>
      <c r="C1503" s="241"/>
      <c r="D1503" s="241"/>
      <c r="E1503" s="241"/>
      <c r="F1503" s="241"/>
      <c r="G1503" s="241"/>
      <c r="H1503" s="241"/>
      <c r="I1503" s="241"/>
      <c r="J1503" s="241"/>
      <c r="K1503" s="241"/>
      <c r="L1503" s="242"/>
      <c r="M1503" s="241"/>
      <c r="N1503" s="241"/>
      <c r="O1503" s="241"/>
      <c r="P1503" s="241"/>
      <c r="Q1503" s="241"/>
      <c r="R1503" s="241"/>
      <c r="S1503" s="241"/>
      <c r="T1503" s="241"/>
      <c r="U1503" s="241"/>
      <c r="V1503" s="241"/>
      <c r="W1503" s="241"/>
      <c r="X1503" s="243"/>
      <c r="Y1503" s="243"/>
      <c r="Z1503" s="243"/>
      <c r="AA1503" s="243"/>
      <c r="AB1503" s="243"/>
      <c r="AC1503" s="243"/>
      <c r="AD1503" s="243"/>
      <c r="AE1503" s="243"/>
      <c r="AF1503" s="243"/>
      <c r="AG1503" s="243"/>
      <c r="AH1503" s="243"/>
      <c r="AI1503" s="243"/>
      <c r="AJ1503" s="243"/>
    </row>
    <row r="1504" hidden="1">
      <c r="A1504" s="241"/>
      <c r="B1504" s="241"/>
      <c r="C1504" s="241"/>
      <c r="D1504" s="241"/>
      <c r="E1504" s="241"/>
      <c r="F1504" s="241"/>
      <c r="G1504" s="241"/>
      <c r="H1504" s="241"/>
      <c r="I1504" s="241"/>
      <c r="J1504" s="241"/>
      <c r="K1504" s="241"/>
      <c r="L1504" s="242"/>
      <c r="M1504" s="241"/>
      <c r="N1504" s="241"/>
      <c r="O1504" s="241"/>
      <c r="P1504" s="241"/>
      <c r="Q1504" s="241"/>
      <c r="R1504" s="241"/>
      <c r="S1504" s="241"/>
      <c r="T1504" s="241"/>
      <c r="U1504" s="241"/>
      <c r="V1504" s="241"/>
      <c r="W1504" s="241"/>
      <c r="X1504" s="243"/>
      <c r="Y1504" s="243"/>
      <c r="Z1504" s="243"/>
      <c r="AA1504" s="243"/>
      <c r="AB1504" s="243"/>
      <c r="AC1504" s="243"/>
      <c r="AD1504" s="243"/>
      <c r="AE1504" s="243"/>
      <c r="AF1504" s="243"/>
      <c r="AG1504" s="243"/>
      <c r="AH1504" s="243"/>
      <c r="AI1504" s="243"/>
      <c r="AJ1504" s="243"/>
    </row>
    <row r="1505" hidden="1">
      <c r="A1505" s="241"/>
      <c r="B1505" s="241"/>
      <c r="C1505" s="241"/>
      <c r="D1505" s="241"/>
      <c r="E1505" s="241"/>
      <c r="F1505" s="241"/>
      <c r="G1505" s="241"/>
      <c r="H1505" s="241"/>
      <c r="I1505" s="241"/>
      <c r="J1505" s="241"/>
      <c r="K1505" s="241"/>
      <c r="L1505" s="242"/>
      <c r="M1505" s="241"/>
      <c r="N1505" s="241"/>
      <c r="O1505" s="241"/>
      <c r="P1505" s="241"/>
      <c r="Q1505" s="241"/>
      <c r="R1505" s="241"/>
      <c r="S1505" s="241"/>
      <c r="T1505" s="241"/>
      <c r="U1505" s="241"/>
      <c r="V1505" s="241"/>
      <c r="W1505" s="241"/>
      <c r="X1505" s="243"/>
      <c r="Y1505" s="243"/>
      <c r="Z1505" s="243"/>
      <c r="AA1505" s="243"/>
      <c r="AB1505" s="243"/>
      <c r="AC1505" s="243"/>
      <c r="AD1505" s="243"/>
      <c r="AE1505" s="243"/>
      <c r="AF1505" s="243"/>
      <c r="AG1505" s="243"/>
      <c r="AH1505" s="243"/>
      <c r="AI1505" s="243"/>
      <c r="AJ1505" s="243"/>
    </row>
    <row r="1506" hidden="1">
      <c r="A1506" s="241"/>
      <c r="B1506" s="241"/>
      <c r="C1506" s="241"/>
      <c r="D1506" s="241"/>
      <c r="E1506" s="241"/>
      <c r="F1506" s="241"/>
      <c r="G1506" s="241"/>
      <c r="H1506" s="241"/>
      <c r="I1506" s="241"/>
      <c r="J1506" s="241"/>
      <c r="K1506" s="241"/>
      <c r="L1506" s="242"/>
      <c r="M1506" s="241"/>
      <c r="N1506" s="241"/>
      <c r="O1506" s="241"/>
      <c r="P1506" s="241"/>
      <c r="Q1506" s="241"/>
      <c r="R1506" s="241"/>
      <c r="S1506" s="241"/>
      <c r="T1506" s="241"/>
      <c r="U1506" s="241"/>
      <c r="V1506" s="241"/>
      <c r="W1506" s="241"/>
      <c r="X1506" s="243"/>
      <c r="Y1506" s="243"/>
      <c r="Z1506" s="243"/>
      <c r="AA1506" s="243"/>
      <c r="AB1506" s="243"/>
      <c r="AC1506" s="243"/>
      <c r="AD1506" s="243"/>
      <c r="AE1506" s="243"/>
      <c r="AF1506" s="243"/>
      <c r="AG1506" s="243"/>
      <c r="AH1506" s="243"/>
      <c r="AI1506" s="243"/>
      <c r="AJ1506" s="243"/>
    </row>
    <row r="1507" hidden="1">
      <c r="A1507" s="241"/>
      <c r="B1507" s="241"/>
      <c r="C1507" s="241"/>
      <c r="D1507" s="241"/>
      <c r="E1507" s="241"/>
      <c r="F1507" s="241"/>
      <c r="G1507" s="241"/>
      <c r="H1507" s="241"/>
      <c r="I1507" s="241"/>
      <c r="J1507" s="241"/>
      <c r="K1507" s="241"/>
      <c r="L1507" s="242"/>
      <c r="M1507" s="241"/>
      <c r="N1507" s="241"/>
      <c r="O1507" s="241"/>
      <c r="P1507" s="241"/>
      <c r="Q1507" s="241"/>
      <c r="R1507" s="241"/>
      <c r="S1507" s="241"/>
      <c r="T1507" s="241"/>
      <c r="U1507" s="241"/>
      <c r="V1507" s="241"/>
      <c r="W1507" s="241"/>
      <c r="X1507" s="243"/>
      <c r="Y1507" s="243"/>
      <c r="Z1507" s="243"/>
      <c r="AA1507" s="243"/>
      <c r="AB1507" s="243"/>
      <c r="AC1507" s="243"/>
      <c r="AD1507" s="243"/>
      <c r="AE1507" s="243"/>
      <c r="AF1507" s="243"/>
      <c r="AG1507" s="243"/>
      <c r="AH1507" s="243"/>
      <c r="AI1507" s="243"/>
      <c r="AJ1507" s="243"/>
    </row>
    <row r="1508" hidden="1">
      <c r="A1508" s="241"/>
      <c r="B1508" s="241"/>
      <c r="C1508" s="241"/>
      <c r="D1508" s="241"/>
      <c r="E1508" s="241"/>
      <c r="F1508" s="241"/>
      <c r="G1508" s="241"/>
      <c r="H1508" s="241"/>
      <c r="I1508" s="241"/>
      <c r="J1508" s="241"/>
      <c r="K1508" s="241"/>
      <c r="L1508" s="242"/>
      <c r="M1508" s="241"/>
      <c r="N1508" s="241"/>
      <c r="O1508" s="241"/>
      <c r="P1508" s="241"/>
      <c r="Q1508" s="241"/>
      <c r="R1508" s="241"/>
      <c r="S1508" s="241"/>
      <c r="T1508" s="241"/>
      <c r="U1508" s="241"/>
      <c r="V1508" s="241"/>
      <c r="W1508" s="241"/>
      <c r="X1508" s="243"/>
      <c r="Y1508" s="243"/>
      <c r="Z1508" s="243"/>
      <c r="AA1508" s="243"/>
      <c r="AB1508" s="243"/>
      <c r="AC1508" s="243"/>
      <c r="AD1508" s="243"/>
      <c r="AE1508" s="243"/>
      <c r="AF1508" s="243"/>
      <c r="AG1508" s="243"/>
      <c r="AH1508" s="243"/>
      <c r="AI1508" s="243"/>
      <c r="AJ1508" s="243"/>
    </row>
    <row r="1509" hidden="1">
      <c r="A1509" s="241"/>
      <c r="B1509" s="241"/>
      <c r="C1509" s="241"/>
      <c r="D1509" s="241"/>
      <c r="E1509" s="241"/>
      <c r="F1509" s="241"/>
      <c r="G1509" s="241"/>
      <c r="H1509" s="241"/>
      <c r="I1509" s="241"/>
      <c r="J1509" s="241"/>
      <c r="K1509" s="241"/>
      <c r="L1509" s="242"/>
      <c r="M1509" s="241"/>
      <c r="N1509" s="241"/>
      <c r="O1509" s="241"/>
      <c r="P1509" s="241"/>
      <c r="Q1509" s="241"/>
      <c r="R1509" s="241"/>
      <c r="S1509" s="241"/>
      <c r="T1509" s="241"/>
      <c r="U1509" s="241"/>
      <c r="V1509" s="241"/>
      <c r="W1509" s="241"/>
      <c r="X1509" s="243"/>
      <c r="Y1509" s="243"/>
      <c r="Z1509" s="243"/>
      <c r="AA1509" s="243"/>
      <c r="AB1509" s="243"/>
      <c r="AC1509" s="243"/>
      <c r="AD1509" s="243"/>
      <c r="AE1509" s="243"/>
      <c r="AF1509" s="243"/>
      <c r="AG1509" s="243"/>
      <c r="AH1509" s="243"/>
      <c r="AI1509" s="243"/>
      <c r="AJ1509" s="243"/>
    </row>
    <row r="1510" hidden="1">
      <c r="A1510" s="241"/>
      <c r="B1510" s="241"/>
      <c r="C1510" s="241"/>
      <c r="D1510" s="241"/>
      <c r="E1510" s="241"/>
      <c r="F1510" s="241"/>
      <c r="G1510" s="241"/>
      <c r="H1510" s="241"/>
      <c r="I1510" s="241"/>
      <c r="J1510" s="241"/>
      <c r="K1510" s="241"/>
      <c r="L1510" s="242"/>
      <c r="M1510" s="241"/>
      <c r="N1510" s="241"/>
      <c r="O1510" s="241"/>
      <c r="P1510" s="241"/>
      <c r="Q1510" s="241"/>
      <c r="R1510" s="241"/>
      <c r="S1510" s="241"/>
      <c r="T1510" s="241"/>
      <c r="U1510" s="241"/>
      <c r="V1510" s="241"/>
      <c r="W1510" s="241"/>
      <c r="X1510" s="243"/>
      <c r="Y1510" s="243"/>
      <c r="Z1510" s="243"/>
      <c r="AA1510" s="243"/>
      <c r="AB1510" s="243"/>
      <c r="AC1510" s="243"/>
      <c r="AD1510" s="243"/>
      <c r="AE1510" s="243"/>
      <c r="AF1510" s="243"/>
      <c r="AG1510" s="243"/>
      <c r="AH1510" s="243"/>
      <c r="AI1510" s="243"/>
      <c r="AJ1510" s="243"/>
    </row>
    <row r="1511" hidden="1">
      <c r="A1511" s="241"/>
      <c r="B1511" s="241"/>
      <c r="C1511" s="241"/>
      <c r="D1511" s="241"/>
      <c r="E1511" s="241"/>
      <c r="F1511" s="241"/>
      <c r="G1511" s="241"/>
      <c r="H1511" s="241"/>
      <c r="I1511" s="241"/>
      <c r="J1511" s="241"/>
      <c r="K1511" s="241"/>
      <c r="L1511" s="242"/>
      <c r="M1511" s="241"/>
      <c r="N1511" s="241"/>
      <c r="O1511" s="241"/>
      <c r="P1511" s="241"/>
      <c r="Q1511" s="241"/>
      <c r="R1511" s="241"/>
      <c r="S1511" s="241"/>
      <c r="T1511" s="241"/>
      <c r="U1511" s="241"/>
      <c r="V1511" s="241"/>
      <c r="W1511" s="241"/>
      <c r="X1511" s="243"/>
      <c r="Y1511" s="243"/>
      <c r="Z1511" s="243"/>
      <c r="AA1511" s="243"/>
      <c r="AB1511" s="243"/>
      <c r="AC1511" s="243"/>
      <c r="AD1511" s="243"/>
      <c r="AE1511" s="243"/>
      <c r="AF1511" s="243"/>
      <c r="AG1511" s="243"/>
      <c r="AH1511" s="243"/>
      <c r="AI1511" s="243"/>
      <c r="AJ1511" s="243"/>
    </row>
    <row r="1512" hidden="1">
      <c r="A1512" s="241"/>
      <c r="B1512" s="241"/>
      <c r="C1512" s="241"/>
      <c r="D1512" s="241"/>
      <c r="E1512" s="241"/>
      <c r="F1512" s="241"/>
      <c r="G1512" s="241"/>
      <c r="H1512" s="241"/>
      <c r="I1512" s="241"/>
      <c r="J1512" s="241"/>
      <c r="K1512" s="241"/>
      <c r="L1512" s="242"/>
      <c r="M1512" s="241"/>
      <c r="N1512" s="241"/>
      <c r="O1512" s="241"/>
      <c r="P1512" s="241"/>
      <c r="Q1512" s="241"/>
      <c r="R1512" s="241"/>
      <c r="S1512" s="241"/>
      <c r="T1512" s="241"/>
      <c r="U1512" s="241"/>
      <c r="V1512" s="241"/>
      <c r="W1512" s="241"/>
      <c r="X1512" s="243"/>
      <c r="Y1512" s="243"/>
      <c r="Z1512" s="243"/>
      <c r="AA1512" s="243"/>
      <c r="AB1512" s="243"/>
      <c r="AC1512" s="243"/>
      <c r="AD1512" s="243"/>
      <c r="AE1512" s="243"/>
      <c r="AF1512" s="243"/>
      <c r="AG1512" s="243"/>
      <c r="AH1512" s="243"/>
      <c r="AI1512" s="243"/>
      <c r="AJ1512" s="243"/>
    </row>
    <row r="1513" hidden="1">
      <c r="A1513" s="241"/>
      <c r="B1513" s="241"/>
      <c r="C1513" s="241"/>
      <c r="D1513" s="241"/>
      <c r="E1513" s="241"/>
      <c r="F1513" s="241"/>
      <c r="G1513" s="241"/>
      <c r="H1513" s="241"/>
      <c r="I1513" s="241"/>
      <c r="J1513" s="241"/>
      <c r="K1513" s="241"/>
      <c r="L1513" s="242"/>
      <c r="M1513" s="241"/>
      <c r="N1513" s="241"/>
      <c r="O1513" s="241"/>
      <c r="P1513" s="241"/>
      <c r="Q1513" s="241"/>
      <c r="R1513" s="241"/>
      <c r="S1513" s="241"/>
      <c r="T1513" s="241"/>
      <c r="U1513" s="241"/>
      <c r="V1513" s="241"/>
      <c r="W1513" s="241"/>
      <c r="X1513" s="243"/>
      <c r="Y1513" s="243"/>
      <c r="Z1513" s="243"/>
      <c r="AA1513" s="243"/>
      <c r="AB1513" s="243"/>
      <c r="AC1513" s="243"/>
      <c r="AD1513" s="243"/>
      <c r="AE1513" s="243"/>
      <c r="AF1513" s="243"/>
      <c r="AG1513" s="243"/>
      <c r="AH1513" s="243"/>
      <c r="AI1513" s="243"/>
      <c r="AJ1513" s="243"/>
    </row>
    <row r="1514" hidden="1">
      <c r="A1514" s="241"/>
      <c r="B1514" s="241"/>
      <c r="C1514" s="241"/>
      <c r="D1514" s="241"/>
      <c r="E1514" s="241"/>
      <c r="F1514" s="241"/>
      <c r="G1514" s="241"/>
      <c r="H1514" s="241"/>
      <c r="I1514" s="241"/>
      <c r="J1514" s="241"/>
      <c r="K1514" s="241"/>
      <c r="L1514" s="242"/>
      <c r="M1514" s="241"/>
      <c r="N1514" s="241"/>
      <c r="O1514" s="241"/>
      <c r="P1514" s="241"/>
      <c r="Q1514" s="241"/>
      <c r="R1514" s="241"/>
      <c r="S1514" s="241"/>
      <c r="T1514" s="241"/>
      <c r="U1514" s="241"/>
      <c r="V1514" s="241"/>
      <c r="W1514" s="241"/>
      <c r="X1514" s="243"/>
      <c r="Y1514" s="243"/>
      <c r="Z1514" s="243"/>
      <c r="AA1514" s="243"/>
      <c r="AB1514" s="243"/>
      <c r="AC1514" s="243"/>
      <c r="AD1514" s="243"/>
      <c r="AE1514" s="243"/>
      <c r="AF1514" s="243"/>
      <c r="AG1514" s="243"/>
      <c r="AH1514" s="243"/>
      <c r="AI1514" s="243"/>
      <c r="AJ1514" s="243"/>
    </row>
    <row r="1515" hidden="1">
      <c r="A1515" s="241"/>
      <c r="B1515" s="241"/>
      <c r="C1515" s="241"/>
      <c r="D1515" s="241"/>
      <c r="E1515" s="241"/>
      <c r="F1515" s="241"/>
      <c r="G1515" s="241"/>
      <c r="H1515" s="241"/>
      <c r="I1515" s="241"/>
      <c r="J1515" s="241"/>
      <c r="K1515" s="241"/>
      <c r="L1515" s="242"/>
      <c r="M1515" s="241"/>
      <c r="N1515" s="241"/>
      <c r="O1515" s="241"/>
      <c r="P1515" s="241"/>
      <c r="Q1515" s="241"/>
      <c r="R1515" s="241"/>
      <c r="S1515" s="241"/>
      <c r="T1515" s="241"/>
      <c r="U1515" s="241"/>
      <c r="V1515" s="241"/>
      <c r="W1515" s="241"/>
      <c r="X1515" s="243"/>
      <c r="Y1515" s="243"/>
      <c r="Z1515" s="243"/>
      <c r="AA1515" s="243"/>
      <c r="AB1515" s="243"/>
      <c r="AC1515" s="243"/>
      <c r="AD1515" s="243"/>
      <c r="AE1515" s="243"/>
      <c r="AF1515" s="243"/>
      <c r="AG1515" s="243"/>
      <c r="AH1515" s="243"/>
      <c r="AI1515" s="243"/>
      <c r="AJ1515" s="243"/>
    </row>
    <row r="1516" hidden="1">
      <c r="A1516" s="241"/>
      <c r="B1516" s="241"/>
      <c r="C1516" s="241"/>
      <c r="D1516" s="241"/>
      <c r="E1516" s="241"/>
      <c r="F1516" s="241"/>
      <c r="G1516" s="241"/>
      <c r="H1516" s="241"/>
      <c r="I1516" s="241"/>
      <c r="J1516" s="241"/>
      <c r="K1516" s="241"/>
      <c r="L1516" s="242"/>
      <c r="M1516" s="241"/>
      <c r="N1516" s="241"/>
      <c r="O1516" s="241"/>
      <c r="P1516" s="241"/>
      <c r="Q1516" s="241"/>
      <c r="R1516" s="241"/>
      <c r="S1516" s="241"/>
      <c r="T1516" s="241"/>
      <c r="U1516" s="241"/>
      <c r="V1516" s="241"/>
      <c r="W1516" s="241"/>
      <c r="X1516" s="243"/>
      <c r="Y1516" s="243"/>
      <c r="Z1516" s="243"/>
      <c r="AA1516" s="243"/>
      <c r="AB1516" s="243"/>
      <c r="AC1516" s="243"/>
      <c r="AD1516" s="243"/>
      <c r="AE1516" s="243"/>
      <c r="AF1516" s="243"/>
      <c r="AG1516" s="243"/>
      <c r="AH1516" s="243"/>
      <c r="AI1516" s="243"/>
      <c r="AJ1516" s="243"/>
    </row>
    <row r="1517" hidden="1">
      <c r="A1517" s="241"/>
      <c r="B1517" s="241"/>
      <c r="C1517" s="241"/>
      <c r="D1517" s="241"/>
      <c r="E1517" s="241"/>
      <c r="F1517" s="241"/>
      <c r="G1517" s="241"/>
      <c r="H1517" s="241"/>
      <c r="I1517" s="241"/>
      <c r="J1517" s="241"/>
      <c r="K1517" s="241"/>
      <c r="L1517" s="242"/>
      <c r="M1517" s="241"/>
      <c r="N1517" s="241"/>
      <c r="O1517" s="241"/>
      <c r="P1517" s="241"/>
      <c r="Q1517" s="241"/>
      <c r="R1517" s="241"/>
      <c r="S1517" s="241"/>
      <c r="T1517" s="241"/>
      <c r="U1517" s="241"/>
      <c r="V1517" s="241"/>
      <c r="W1517" s="241"/>
      <c r="X1517" s="243"/>
      <c r="Y1517" s="243"/>
      <c r="Z1517" s="243"/>
      <c r="AA1517" s="243"/>
      <c r="AB1517" s="243"/>
      <c r="AC1517" s="243"/>
      <c r="AD1517" s="243"/>
      <c r="AE1517" s="243"/>
      <c r="AF1517" s="243"/>
      <c r="AG1517" s="243"/>
      <c r="AH1517" s="243"/>
      <c r="AI1517" s="243"/>
      <c r="AJ1517" s="243"/>
    </row>
    <row r="1518" hidden="1">
      <c r="A1518" s="241"/>
      <c r="B1518" s="241"/>
      <c r="C1518" s="241"/>
      <c r="D1518" s="241"/>
      <c r="E1518" s="241"/>
      <c r="F1518" s="241"/>
      <c r="G1518" s="241"/>
      <c r="H1518" s="241"/>
      <c r="I1518" s="241"/>
      <c r="J1518" s="241"/>
      <c r="K1518" s="241"/>
      <c r="L1518" s="242"/>
      <c r="M1518" s="241"/>
      <c r="N1518" s="241"/>
      <c r="O1518" s="241"/>
      <c r="P1518" s="241"/>
      <c r="Q1518" s="241"/>
      <c r="R1518" s="241"/>
      <c r="S1518" s="241"/>
      <c r="T1518" s="241"/>
      <c r="U1518" s="241"/>
      <c r="V1518" s="241"/>
      <c r="W1518" s="241"/>
      <c r="X1518" s="243"/>
      <c r="Y1518" s="243"/>
      <c r="Z1518" s="243"/>
      <c r="AA1518" s="243"/>
      <c r="AB1518" s="243"/>
      <c r="AC1518" s="243"/>
      <c r="AD1518" s="243"/>
      <c r="AE1518" s="243"/>
      <c r="AF1518" s="243"/>
      <c r="AG1518" s="243"/>
      <c r="AH1518" s="243"/>
      <c r="AI1518" s="243"/>
      <c r="AJ1518" s="243"/>
    </row>
    <row r="1519" hidden="1">
      <c r="A1519" s="241"/>
      <c r="B1519" s="241"/>
      <c r="C1519" s="241"/>
      <c r="D1519" s="241"/>
      <c r="E1519" s="241"/>
      <c r="F1519" s="241"/>
      <c r="G1519" s="241"/>
      <c r="H1519" s="241"/>
      <c r="I1519" s="241"/>
      <c r="J1519" s="241"/>
      <c r="K1519" s="241"/>
      <c r="L1519" s="242"/>
      <c r="M1519" s="241"/>
      <c r="N1519" s="241"/>
      <c r="O1519" s="241"/>
      <c r="P1519" s="241"/>
      <c r="Q1519" s="241"/>
      <c r="R1519" s="241"/>
      <c r="S1519" s="241"/>
      <c r="T1519" s="241"/>
      <c r="U1519" s="241"/>
      <c r="V1519" s="241"/>
      <c r="W1519" s="241"/>
      <c r="X1519" s="243"/>
      <c r="Y1519" s="243"/>
      <c r="Z1519" s="243"/>
      <c r="AA1519" s="243"/>
      <c r="AB1519" s="243"/>
      <c r="AC1519" s="243"/>
      <c r="AD1519" s="243"/>
      <c r="AE1519" s="243"/>
      <c r="AF1519" s="243"/>
      <c r="AG1519" s="243"/>
      <c r="AH1519" s="243"/>
      <c r="AI1519" s="243"/>
      <c r="AJ1519" s="243"/>
    </row>
    <row r="1520" hidden="1">
      <c r="A1520" s="241"/>
      <c r="B1520" s="241"/>
      <c r="C1520" s="241"/>
      <c r="D1520" s="241"/>
      <c r="E1520" s="241"/>
      <c r="F1520" s="241"/>
      <c r="G1520" s="241"/>
      <c r="H1520" s="241"/>
      <c r="I1520" s="241"/>
      <c r="J1520" s="241"/>
      <c r="K1520" s="241"/>
      <c r="L1520" s="242"/>
      <c r="M1520" s="241"/>
      <c r="N1520" s="241"/>
      <c r="O1520" s="241"/>
      <c r="P1520" s="241"/>
      <c r="Q1520" s="241"/>
      <c r="R1520" s="241"/>
      <c r="S1520" s="241"/>
      <c r="T1520" s="241"/>
      <c r="U1520" s="241"/>
      <c r="V1520" s="241"/>
      <c r="W1520" s="241"/>
      <c r="X1520" s="243"/>
      <c r="Y1520" s="243"/>
      <c r="Z1520" s="243"/>
      <c r="AA1520" s="243"/>
      <c r="AB1520" s="243"/>
      <c r="AC1520" s="243"/>
      <c r="AD1520" s="243"/>
      <c r="AE1520" s="243"/>
      <c r="AF1520" s="243"/>
      <c r="AG1520" s="243"/>
      <c r="AH1520" s="243"/>
      <c r="AI1520" s="243"/>
      <c r="AJ1520" s="243"/>
    </row>
    <row r="1521" hidden="1">
      <c r="A1521" s="241"/>
      <c r="B1521" s="241"/>
      <c r="C1521" s="241"/>
      <c r="D1521" s="241"/>
      <c r="E1521" s="241"/>
      <c r="F1521" s="241"/>
      <c r="G1521" s="241"/>
      <c r="H1521" s="241"/>
      <c r="I1521" s="241"/>
      <c r="J1521" s="241"/>
      <c r="K1521" s="241"/>
      <c r="L1521" s="242"/>
      <c r="M1521" s="241"/>
      <c r="N1521" s="241"/>
      <c r="O1521" s="241"/>
      <c r="P1521" s="241"/>
      <c r="Q1521" s="241"/>
      <c r="R1521" s="241"/>
      <c r="S1521" s="241"/>
      <c r="T1521" s="241"/>
      <c r="U1521" s="241"/>
      <c r="V1521" s="241"/>
      <c r="W1521" s="241"/>
      <c r="X1521" s="243"/>
      <c r="Y1521" s="243"/>
      <c r="Z1521" s="243"/>
      <c r="AA1521" s="243"/>
      <c r="AB1521" s="243"/>
      <c r="AC1521" s="243"/>
      <c r="AD1521" s="243"/>
      <c r="AE1521" s="243"/>
      <c r="AF1521" s="243"/>
      <c r="AG1521" s="243"/>
      <c r="AH1521" s="243"/>
      <c r="AI1521" s="243"/>
      <c r="AJ1521" s="243"/>
    </row>
    <row r="1522" hidden="1">
      <c r="A1522" s="241"/>
      <c r="B1522" s="241"/>
      <c r="C1522" s="241"/>
      <c r="D1522" s="241"/>
      <c r="E1522" s="241"/>
      <c r="F1522" s="241"/>
      <c r="G1522" s="241"/>
      <c r="H1522" s="241"/>
      <c r="I1522" s="241"/>
      <c r="J1522" s="241"/>
      <c r="K1522" s="241"/>
      <c r="L1522" s="242"/>
      <c r="M1522" s="241"/>
      <c r="N1522" s="241"/>
      <c r="O1522" s="241"/>
      <c r="P1522" s="241"/>
      <c r="Q1522" s="241"/>
      <c r="R1522" s="241"/>
      <c r="S1522" s="241"/>
      <c r="T1522" s="241"/>
      <c r="U1522" s="241"/>
      <c r="V1522" s="241"/>
      <c r="W1522" s="241"/>
      <c r="X1522" s="243"/>
      <c r="Y1522" s="243"/>
      <c r="Z1522" s="243"/>
      <c r="AA1522" s="243"/>
      <c r="AB1522" s="243"/>
      <c r="AC1522" s="243"/>
      <c r="AD1522" s="243"/>
      <c r="AE1522" s="243"/>
      <c r="AF1522" s="243"/>
      <c r="AG1522" s="243"/>
      <c r="AH1522" s="243"/>
      <c r="AI1522" s="243"/>
      <c r="AJ1522" s="243"/>
    </row>
    <row r="1523" hidden="1">
      <c r="A1523" s="241"/>
      <c r="B1523" s="241"/>
      <c r="C1523" s="241"/>
      <c r="D1523" s="241"/>
      <c r="E1523" s="241"/>
      <c r="F1523" s="241"/>
      <c r="G1523" s="241"/>
      <c r="H1523" s="241"/>
      <c r="I1523" s="241"/>
      <c r="J1523" s="241"/>
      <c r="K1523" s="241"/>
      <c r="L1523" s="242"/>
      <c r="M1523" s="241"/>
      <c r="N1523" s="241"/>
      <c r="O1523" s="241"/>
      <c r="P1523" s="241"/>
      <c r="Q1523" s="241"/>
      <c r="R1523" s="241"/>
      <c r="S1523" s="241"/>
      <c r="T1523" s="241"/>
      <c r="U1523" s="241"/>
      <c r="V1523" s="241"/>
      <c r="W1523" s="241"/>
      <c r="X1523" s="243"/>
      <c r="Y1523" s="243"/>
      <c r="Z1523" s="243"/>
      <c r="AA1523" s="243"/>
      <c r="AB1523" s="243"/>
      <c r="AC1523" s="243"/>
      <c r="AD1523" s="243"/>
      <c r="AE1523" s="243"/>
      <c r="AF1523" s="243"/>
      <c r="AG1523" s="243"/>
      <c r="AH1523" s="243"/>
      <c r="AI1523" s="243"/>
      <c r="AJ1523" s="243"/>
    </row>
    <row r="1524" hidden="1">
      <c r="A1524" s="241"/>
      <c r="B1524" s="241"/>
      <c r="C1524" s="241"/>
      <c r="D1524" s="241"/>
      <c r="E1524" s="241"/>
      <c r="F1524" s="241"/>
      <c r="G1524" s="241"/>
      <c r="H1524" s="241"/>
      <c r="I1524" s="241"/>
      <c r="J1524" s="241"/>
      <c r="K1524" s="241"/>
      <c r="L1524" s="242"/>
      <c r="M1524" s="241"/>
      <c r="N1524" s="241"/>
      <c r="O1524" s="241"/>
      <c r="P1524" s="241"/>
      <c r="Q1524" s="241"/>
      <c r="R1524" s="241"/>
      <c r="S1524" s="241"/>
      <c r="T1524" s="241"/>
      <c r="U1524" s="241"/>
      <c r="V1524" s="241"/>
      <c r="W1524" s="241"/>
      <c r="X1524" s="243"/>
      <c r="Y1524" s="243"/>
      <c r="Z1524" s="243"/>
      <c r="AA1524" s="243"/>
      <c r="AB1524" s="243"/>
      <c r="AC1524" s="243"/>
      <c r="AD1524" s="243"/>
      <c r="AE1524" s="243"/>
      <c r="AF1524" s="243"/>
      <c r="AG1524" s="243"/>
      <c r="AH1524" s="243"/>
      <c r="AI1524" s="243"/>
      <c r="AJ1524" s="243"/>
    </row>
    <row r="1525" hidden="1">
      <c r="A1525" s="241"/>
      <c r="B1525" s="241"/>
      <c r="C1525" s="241"/>
      <c r="D1525" s="241"/>
      <c r="E1525" s="241"/>
      <c r="F1525" s="241"/>
      <c r="G1525" s="241"/>
      <c r="H1525" s="241"/>
      <c r="I1525" s="241"/>
      <c r="J1525" s="241"/>
      <c r="K1525" s="241"/>
      <c r="L1525" s="242"/>
      <c r="M1525" s="241"/>
      <c r="N1525" s="241"/>
      <c r="O1525" s="241"/>
      <c r="P1525" s="241"/>
      <c r="Q1525" s="241"/>
      <c r="R1525" s="241"/>
      <c r="S1525" s="241"/>
      <c r="T1525" s="241"/>
      <c r="U1525" s="241"/>
      <c r="V1525" s="241"/>
      <c r="W1525" s="241"/>
      <c r="X1525" s="243"/>
      <c r="Y1525" s="243"/>
      <c r="Z1525" s="243"/>
      <c r="AA1525" s="243"/>
      <c r="AB1525" s="243"/>
      <c r="AC1525" s="243"/>
      <c r="AD1525" s="243"/>
      <c r="AE1525" s="243"/>
      <c r="AF1525" s="243"/>
      <c r="AG1525" s="243"/>
      <c r="AH1525" s="243"/>
      <c r="AI1525" s="243"/>
      <c r="AJ1525" s="243"/>
    </row>
    <row r="1526" hidden="1">
      <c r="A1526" s="241"/>
      <c r="B1526" s="241"/>
      <c r="C1526" s="241"/>
      <c r="D1526" s="241"/>
      <c r="E1526" s="241"/>
      <c r="F1526" s="241"/>
      <c r="G1526" s="241"/>
      <c r="H1526" s="241"/>
      <c r="I1526" s="241"/>
      <c r="J1526" s="241"/>
      <c r="K1526" s="241"/>
      <c r="L1526" s="242"/>
      <c r="M1526" s="241"/>
      <c r="N1526" s="241"/>
      <c r="O1526" s="241"/>
      <c r="P1526" s="241"/>
      <c r="Q1526" s="241"/>
      <c r="R1526" s="241"/>
      <c r="S1526" s="241"/>
      <c r="T1526" s="241"/>
      <c r="U1526" s="241"/>
      <c r="V1526" s="241"/>
      <c r="W1526" s="241"/>
      <c r="X1526" s="243"/>
      <c r="Y1526" s="243"/>
      <c r="Z1526" s="243"/>
      <c r="AA1526" s="243"/>
      <c r="AB1526" s="243"/>
      <c r="AC1526" s="243"/>
      <c r="AD1526" s="243"/>
      <c r="AE1526" s="243"/>
      <c r="AF1526" s="243"/>
      <c r="AG1526" s="243"/>
      <c r="AH1526" s="243"/>
      <c r="AI1526" s="243"/>
      <c r="AJ1526" s="243"/>
    </row>
    <row r="1527" hidden="1">
      <c r="A1527" s="241"/>
      <c r="B1527" s="241"/>
      <c r="C1527" s="241"/>
      <c r="D1527" s="241"/>
      <c r="E1527" s="241"/>
      <c r="F1527" s="241"/>
      <c r="G1527" s="241"/>
      <c r="H1527" s="241"/>
      <c r="I1527" s="241"/>
      <c r="J1527" s="241"/>
      <c r="K1527" s="241"/>
      <c r="L1527" s="242"/>
      <c r="M1527" s="241"/>
      <c r="N1527" s="241"/>
      <c r="O1527" s="241"/>
      <c r="P1527" s="241"/>
      <c r="Q1527" s="241"/>
      <c r="R1527" s="241"/>
      <c r="S1527" s="241"/>
      <c r="T1527" s="241"/>
      <c r="U1527" s="241"/>
      <c r="V1527" s="241"/>
      <c r="W1527" s="241"/>
      <c r="X1527" s="243"/>
      <c r="Y1527" s="243"/>
      <c r="Z1527" s="243"/>
      <c r="AA1527" s="243"/>
      <c r="AB1527" s="243"/>
      <c r="AC1527" s="243"/>
      <c r="AD1527" s="243"/>
      <c r="AE1527" s="243"/>
      <c r="AF1527" s="243"/>
      <c r="AG1527" s="243"/>
      <c r="AH1527" s="243"/>
      <c r="AI1527" s="243"/>
      <c r="AJ1527" s="243"/>
    </row>
    <row r="1528" hidden="1">
      <c r="A1528" s="241"/>
      <c r="B1528" s="241"/>
      <c r="C1528" s="241"/>
      <c r="D1528" s="241"/>
      <c r="E1528" s="241"/>
      <c r="F1528" s="241"/>
      <c r="G1528" s="241"/>
      <c r="H1528" s="241"/>
      <c r="I1528" s="241"/>
      <c r="J1528" s="241"/>
      <c r="K1528" s="241"/>
      <c r="L1528" s="242"/>
      <c r="M1528" s="241"/>
      <c r="N1528" s="241"/>
      <c r="O1528" s="241"/>
      <c r="P1528" s="241"/>
      <c r="Q1528" s="241"/>
      <c r="R1528" s="241"/>
      <c r="S1528" s="241"/>
      <c r="T1528" s="241"/>
      <c r="U1528" s="241"/>
      <c r="V1528" s="241"/>
      <c r="W1528" s="241"/>
      <c r="X1528" s="243"/>
      <c r="Y1528" s="243"/>
      <c r="Z1528" s="243"/>
      <c r="AA1528" s="243"/>
      <c r="AB1528" s="243"/>
      <c r="AC1528" s="243"/>
      <c r="AD1528" s="243"/>
      <c r="AE1528" s="243"/>
      <c r="AF1528" s="243"/>
      <c r="AG1528" s="243"/>
      <c r="AH1528" s="243"/>
      <c r="AI1528" s="243"/>
      <c r="AJ1528" s="243"/>
    </row>
    <row r="1529" hidden="1">
      <c r="A1529" s="241"/>
      <c r="B1529" s="241"/>
      <c r="C1529" s="241"/>
      <c r="D1529" s="241"/>
      <c r="E1529" s="241"/>
      <c r="F1529" s="241"/>
      <c r="G1529" s="241"/>
      <c r="H1529" s="241"/>
      <c r="I1529" s="241"/>
      <c r="J1529" s="241"/>
      <c r="K1529" s="241"/>
      <c r="L1529" s="242"/>
      <c r="M1529" s="241"/>
      <c r="N1529" s="241"/>
      <c r="O1529" s="241"/>
      <c r="P1529" s="241"/>
      <c r="Q1529" s="241"/>
      <c r="R1529" s="241"/>
      <c r="S1529" s="241"/>
      <c r="T1529" s="241"/>
      <c r="U1529" s="241"/>
      <c r="V1529" s="241"/>
      <c r="W1529" s="241"/>
      <c r="X1529" s="243"/>
      <c r="Y1529" s="243"/>
      <c r="Z1529" s="243"/>
      <c r="AA1529" s="243"/>
      <c r="AB1529" s="243"/>
      <c r="AC1529" s="243"/>
      <c r="AD1529" s="243"/>
      <c r="AE1529" s="243"/>
      <c r="AF1529" s="243"/>
      <c r="AG1529" s="243"/>
      <c r="AH1529" s="243"/>
      <c r="AI1529" s="243"/>
      <c r="AJ1529" s="243"/>
    </row>
    <row r="1530" hidden="1">
      <c r="A1530" s="241"/>
      <c r="B1530" s="241"/>
      <c r="C1530" s="241"/>
      <c r="D1530" s="241"/>
      <c r="E1530" s="241"/>
      <c r="F1530" s="241"/>
      <c r="G1530" s="241"/>
      <c r="H1530" s="241"/>
      <c r="I1530" s="241"/>
      <c r="J1530" s="241"/>
      <c r="K1530" s="241"/>
      <c r="L1530" s="242"/>
      <c r="M1530" s="241"/>
      <c r="N1530" s="241"/>
      <c r="O1530" s="241"/>
      <c r="P1530" s="241"/>
      <c r="Q1530" s="241"/>
      <c r="R1530" s="241"/>
      <c r="S1530" s="241"/>
      <c r="T1530" s="241"/>
      <c r="U1530" s="241"/>
      <c r="V1530" s="241"/>
      <c r="W1530" s="241"/>
      <c r="X1530" s="243"/>
      <c r="Y1530" s="243"/>
      <c r="Z1530" s="243"/>
      <c r="AA1530" s="243"/>
      <c r="AB1530" s="243"/>
      <c r="AC1530" s="243"/>
      <c r="AD1530" s="243"/>
      <c r="AE1530" s="243"/>
      <c r="AF1530" s="243"/>
      <c r="AG1530" s="243"/>
      <c r="AH1530" s="243"/>
      <c r="AI1530" s="243"/>
      <c r="AJ1530" s="243"/>
    </row>
    <row r="1531" hidden="1">
      <c r="A1531" s="241"/>
      <c r="B1531" s="241"/>
      <c r="C1531" s="241"/>
      <c r="D1531" s="241"/>
      <c r="E1531" s="241"/>
      <c r="F1531" s="241"/>
      <c r="G1531" s="241"/>
      <c r="H1531" s="241"/>
      <c r="I1531" s="241"/>
      <c r="J1531" s="241"/>
      <c r="K1531" s="241"/>
      <c r="L1531" s="242"/>
      <c r="M1531" s="241"/>
      <c r="N1531" s="241"/>
      <c r="O1531" s="241"/>
      <c r="P1531" s="241"/>
      <c r="Q1531" s="241"/>
      <c r="R1531" s="241"/>
      <c r="S1531" s="241"/>
      <c r="T1531" s="241"/>
      <c r="U1531" s="241"/>
      <c r="V1531" s="241"/>
      <c r="W1531" s="241"/>
      <c r="X1531" s="243"/>
      <c r="Y1531" s="243"/>
      <c r="Z1531" s="243"/>
      <c r="AA1531" s="243"/>
      <c r="AB1531" s="243"/>
      <c r="AC1531" s="243"/>
      <c r="AD1531" s="243"/>
      <c r="AE1531" s="243"/>
      <c r="AF1531" s="243"/>
      <c r="AG1531" s="243"/>
      <c r="AH1531" s="243"/>
      <c r="AI1531" s="243"/>
      <c r="AJ1531" s="243"/>
    </row>
    <row r="1532" hidden="1">
      <c r="A1532" s="241"/>
      <c r="B1532" s="241"/>
      <c r="C1532" s="241"/>
      <c r="D1532" s="241"/>
      <c r="E1532" s="241"/>
      <c r="F1532" s="241"/>
      <c r="G1532" s="241"/>
      <c r="H1532" s="241"/>
      <c r="I1532" s="241"/>
      <c r="J1532" s="241"/>
      <c r="K1532" s="241"/>
      <c r="L1532" s="242"/>
      <c r="M1532" s="241"/>
      <c r="N1532" s="241"/>
      <c r="O1532" s="241"/>
      <c r="P1532" s="241"/>
      <c r="Q1532" s="241"/>
      <c r="R1532" s="241"/>
      <c r="S1532" s="241"/>
      <c r="T1532" s="241"/>
      <c r="U1532" s="241"/>
      <c r="V1532" s="241"/>
      <c r="W1532" s="241"/>
      <c r="X1532" s="243"/>
      <c r="Y1532" s="243"/>
      <c r="Z1532" s="243"/>
      <c r="AA1532" s="243"/>
      <c r="AB1532" s="243"/>
      <c r="AC1532" s="243"/>
      <c r="AD1532" s="243"/>
      <c r="AE1532" s="243"/>
      <c r="AF1532" s="243"/>
      <c r="AG1532" s="243"/>
      <c r="AH1532" s="243"/>
      <c r="AI1532" s="243"/>
      <c r="AJ1532" s="243"/>
    </row>
    <row r="1533" hidden="1">
      <c r="A1533" s="241"/>
      <c r="B1533" s="241"/>
      <c r="C1533" s="241"/>
      <c r="D1533" s="241"/>
      <c r="E1533" s="241"/>
      <c r="F1533" s="241"/>
      <c r="G1533" s="241"/>
      <c r="H1533" s="241"/>
      <c r="I1533" s="241"/>
      <c r="J1533" s="241"/>
      <c r="K1533" s="241"/>
      <c r="L1533" s="242"/>
      <c r="M1533" s="241"/>
      <c r="N1533" s="241"/>
      <c r="O1533" s="241"/>
      <c r="P1533" s="241"/>
      <c r="Q1533" s="241"/>
      <c r="R1533" s="241"/>
      <c r="S1533" s="241"/>
      <c r="T1533" s="241"/>
      <c r="U1533" s="241"/>
      <c r="V1533" s="241"/>
      <c r="W1533" s="241"/>
      <c r="X1533" s="243"/>
      <c r="Y1533" s="243"/>
      <c r="Z1533" s="243"/>
      <c r="AA1533" s="243"/>
      <c r="AB1533" s="243"/>
      <c r="AC1533" s="243"/>
      <c r="AD1533" s="243"/>
      <c r="AE1533" s="243"/>
      <c r="AF1533" s="243"/>
      <c r="AG1533" s="243"/>
      <c r="AH1533" s="243"/>
      <c r="AI1533" s="243"/>
      <c r="AJ1533" s="243"/>
    </row>
    <row r="1534" hidden="1">
      <c r="A1534" s="241"/>
      <c r="B1534" s="241"/>
      <c r="C1534" s="241"/>
      <c r="D1534" s="241"/>
      <c r="E1534" s="241"/>
      <c r="F1534" s="241"/>
      <c r="G1534" s="241"/>
      <c r="H1534" s="241"/>
      <c r="I1534" s="241"/>
      <c r="J1534" s="241"/>
      <c r="K1534" s="241"/>
      <c r="L1534" s="242"/>
      <c r="M1534" s="241"/>
      <c r="N1534" s="241"/>
      <c r="O1534" s="241"/>
      <c r="P1534" s="241"/>
      <c r="Q1534" s="241"/>
      <c r="R1534" s="241"/>
      <c r="S1534" s="241"/>
      <c r="T1534" s="241"/>
      <c r="U1534" s="241"/>
      <c r="V1534" s="241"/>
      <c r="W1534" s="241"/>
      <c r="X1534" s="243"/>
      <c r="Y1534" s="243"/>
      <c r="Z1534" s="243"/>
      <c r="AA1534" s="243"/>
      <c r="AB1534" s="243"/>
      <c r="AC1534" s="243"/>
      <c r="AD1534" s="243"/>
      <c r="AE1534" s="243"/>
      <c r="AF1534" s="243"/>
      <c r="AG1534" s="243"/>
      <c r="AH1534" s="243"/>
      <c r="AI1534" s="243"/>
      <c r="AJ1534" s="243"/>
    </row>
    <row r="1535" hidden="1">
      <c r="A1535" s="241"/>
      <c r="B1535" s="241"/>
      <c r="C1535" s="241"/>
      <c r="D1535" s="241"/>
      <c r="E1535" s="241"/>
      <c r="F1535" s="241"/>
      <c r="G1535" s="241"/>
      <c r="H1535" s="241"/>
      <c r="I1535" s="241"/>
      <c r="J1535" s="241"/>
      <c r="K1535" s="241"/>
      <c r="L1535" s="242"/>
      <c r="M1535" s="241"/>
      <c r="N1535" s="241"/>
      <c r="O1535" s="241"/>
      <c r="P1535" s="241"/>
      <c r="Q1535" s="241"/>
      <c r="R1535" s="241"/>
      <c r="S1535" s="241"/>
      <c r="T1535" s="241"/>
      <c r="U1535" s="241"/>
      <c r="V1535" s="241"/>
      <c r="W1535" s="241"/>
      <c r="X1535" s="243"/>
      <c r="Y1535" s="243"/>
      <c r="Z1535" s="243"/>
      <c r="AA1535" s="243"/>
      <c r="AB1535" s="243"/>
      <c r="AC1535" s="243"/>
      <c r="AD1535" s="243"/>
      <c r="AE1535" s="243"/>
      <c r="AF1535" s="243"/>
      <c r="AG1535" s="243"/>
      <c r="AH1535" s="243"/>
      <c r="AI1535" s="243"/>
      <c r="AJ1535" s="243"/>
    </row>
    <row r="1536" hidden="1">
      <c r="A1536" s="241"/>
      <c r="B1536" s="241"/>
      <c r="C1536" s="241"/>
      <c r="D1536" s="241"/>
      <c r="E1536" s="241"/>
      <c r="F1536" s="241"/>
      <c r="G1536" s="241"/>
      <c r="H1536" s="241"/>
      <c r="I1536" s="241"/>
      <c r="J1536" s="241"/>
      <c r="K1536" s="241"/>
      <c r="L1536" s="242"/>
      <c r="M1536" s="241"/>
      <c r="N1536" s="241"/>
      <c r="O1536" s="241"/>
      <c r="P1536" s="241"/>
      <c r="Q1536" s="241"/>
      <c r="R1536" s="241"/>
      <c r="S1536" s="241"/>
      <c r="T1536" s="241"/>
      <c r="U1536" s="241"/>
      <c r="V1536" s="241"/>
      <c r="W1536" s="241"/>
      <c r="X1536" s="243"/>
      <c r="Y1536" s="243"/>
      <c r="Z1536" s="243"/>
      <c r="AA1536" s="243"/>
      <c r="AB1536" s="243"/>
      <c r="AC1536" s="243"/>
      <c r="AD1536" s="243"/>
      <c r="AE1536" s="243"/>
      <c r="AF1536" s="243"/>
      <c r="AG1536" s="243"/>
      <c r="AH1536" s="243"/>
      <c r="AI1536" s="243"/>
      <c r="AJ1536" s="243"/>
    </row>
    <row r="1537" hidden="1">
      <c r="A1537" s="241"/>
      <c r="B1537" s="241"/>
      <c r="C1537" s="241"/>
      <c r="D1537" s="241"/>
      <c r="E1537" s="241"/>
      <c r="F1537" s="241"/>
      <c r="G1537" s="241"/>
      <c r="H1537" s="241"/>
      <c r="I1537" s="241"/>
      <c r="J1537" s="241"/>
      <c r="K1537" s="241"/>
      <c r="L1537" s="242"/>
      <c r="M1537" s="241"/>
      <c r="N1537" s="241"/>
      <c r="O1537" s="241"/>
      <c r="P1537" s="241"/>
      <c r="Q1537" s="241"/>
      <c r="R1537" s="241"/>
      <c r="S1537" s="241"/>
      <c r="T1537" s="241"/>
      <c r="U1537" s="241"/>
      <c r="V1537" s="241"/>
      <c r="W1537" s="241"/>
      <c r="X1537" s="243"/>
      <c r="Y1537" s="243"/>
      <c r="Z1537" s="243"/>
      <c r="AA1537" s="243"/>
      <c r="AB1537" s="243"/>
      <c r="AC1537" s="243"/>
      <c r="AD1537" s="243"/>
      <c r="AE1537" s="243"/>
      <c r="AF1537" s="243"/>
      <c r="AG1537" s="243"/>
      <c r="AH1537" s="243"/>
      <c r="AI1537" s="243"/>
      <c r="AJ1537" s="243"/>
    </row>
    <row r="1538" hidden="1">
      <c r="A1538" s="241"/>
      <c r="B1538" s="241"/>
      <c r="C1538" s="241"/>
      <c r="D1538" s="241"/>
      <c r="E1538" s="241"/>
      <c r="F1538" s="241"/>
      <c r="G1538" s="241"/>
      <c r="H1538" s="241"/>
      <c r="I1538" s="241"/>
      <c r="J1538" s="241"/>
      <c r="K1538" s="241"/>
      <c r="L1538" s="242"/>
      <c r="M1538" s="241"/>
      <c r="N1538" s="241"/>
      <c r="O1538" s="241"/>
      <c r="P1538" s="241"/>
      <c r="Q1538" s="241"/>
      <c r="R1538" s="241"/>
      <c r="S1538" s="241"/>
      <c r="T1538" s="241"/>
      <c r="U1538" s="241"/>
      <c r="V1538" s="241"/>
      <c r="W1538" s="241"/>
      <c r="X1538" s="243"/>
      <c r="Y1538" s="243"/>
      <c r="Z1538" s="243"/>
      <c r="AA1538" s="243"/>
      <c r="AB1538" s="243"/>
      <c r="AC1538" s="243"/>
      <c r="AD1538" s="243"/>
      <c r="AE1538" s="243"/>
      <c r="AF1538" s="243"/>
      <c r="AG1538" s="243"/>
      <c r="AH1538" s="243"/>
      <c r="AI1538" s="243"/>
      <c r="AJ1538" s="243"/>
    </row>
    <row r="1539" hidden="1">
      <c r="A1539" s="241"/>
      <c r="B1539" s="241"/>
      <c r="C1539" s="241"/>
      <c r="D1539" s="241"/>
      <c r="E1539" s="241"/>
      <c r="F1539" s="241"/>
      <c r="G1539" s="241"/>
      <c r="H1539" s="241"/>
      <c r="I1539" s="241"/>
      <c r="J1539" s="241"/>
      <c r="K1539" s="241"/>
      <c r="L1539" s="242"/>
      <c r="M1539" s="241"/>
      <c r="N1539" s="241"/>
      <c r="O1539" s="241"/>
      <c r="P1539" s="241"/>
      <c r="Q1539" s="241"/>
      <c r="R1539" s="241"/>
      <c r="S1539" s="241"/>
      <c r="T1539" s="241"/>
      <c r="U1539" s="241"/>
      <c r="V1539" s="241"/>
      <c r="W1539" s="241"/>
      <c r="X1539" s="243"/>
      <c r="Y1539" s="243"/>
      <c r="Z1539" s="243"/>
      <c r="AA1539" s="243"/>
      <c r="AB1539" s="243"/>
      <c r="AC1539" s="243"/>
      <c r="AD1539" s="243"/>
      <c r="AE1539" s="243"/>
      <c r="AF1539" s="243"/>
      <c r="AG1539" s="243"/>
      <c r="AH1539" s="243"/>
      <c r="AI1539" s="243"/>
      <c r="AJ1539" s="243"/>
    </row>
    <row r="1540" hidden="1">
      <c r="A1540" s="241"/>
      <c r="B1540" s="241"/>
      <c r="C1540" s="241"/>
      <c r="D1540" s="241"/>
      <c r="E1540" s="241"/>
      <c r="F1540" s="241"/>
      <c r="G1540" s="241"/>
      <c r="H1540" s="241"/>
      <c r="I1540" s="241"/>
      <c r="J1540" s="241"/>
      <c r="K1540" s="241"/>
      <c r="L1540" s="242"/>
      <c r="M1540" s="241"/>
      <c r="N1540" s="241"/>
      <c r="O1540" s="241"/>
      <c r="P1540" s="241"/>
      <c r="Q1540" s="241"/>
      <c r="R1540" s="241"/>
      <c r="S1540" s="241"/>
      <c r="T1540" s="241"/>
      <c r="U1540" s="241"/>
      <c r="V1540" s="241"/>
      <c r="W1540" s="241"/>
      <c r="X1540" s="243"/>
      <c r="Y1540" s="243"/>
      <c r="Z1540" s="243"/>
      <c r="AA1540" s="243"/>
      <c r="AB1540" s="243"/>
      <c r="AC1540" s="243"/>
      <c r="AD1540" s="243"/>
      <c r="AE1540" s="243"/>
      <c r="AF1540" s="243"/>
      <c r="AG1540" s="243"/>
      <c r="AH1540" s="243"/>
      <c r="AI1540" s="243"/>
      <c r="AJ1540" s="243"/>
    </row>
    <row r="1541" hidden="1">
      <c r="A1541" s="241"/>
      <c r="B1541" s="241"/>
      <c r="C1541" s="241"/>
      <c r="D1541" s="241"/>
      <c r="E1541" s="241"/>
      <c r="F1541" s="241"/>
      <c r="G1541" s="241"/>
      <c r="H1541" s="241"/>
      <c r="I1541" s="241"/>
      <c r="J1541" s="241"/>
      <c r="K1541" s="241"/>
      <c r="L1541" s="242"/>
      <c r="M1541" s="241"/>
      <c r="N1541" s="241"/>
      <c r="O1541" s="241"/>
      <c r="P1541" s="241"/>
      <c r="Q1541" s="241"/>
      <c r="R1541" s="241"/>
      <c r="S1541" s="241"/>
      <c r="T1541" s="241"/>
      <c r="U1541" s="241"/>
      <c r="V1541" s="241"/>
      <c r="W1541" s="241"/>
      <c r="X1541" s="243"/>
      <c r="Y1541" s="243"/>
      <c r="Z1541" s="243"/>
      <c r="AA1541" s="243"/>
      <c r="AB1541" s="243"/>
      <c r="AC1541" s="243"/>
      <c r="AD1541" s="243"/>
      <c r="AE1541" s="243"/>
      <c r="AF1541" s="243"/>
      <c r="AG1541" s="243"/>
      <c r="AH1541" s="243"/>
      <c r="AI1541" s="243"/>
      <c r="AJ1541" s="243"/>
    </row>
    <row r="1542" hidden="1">
      <c r="A1542" s="241"/>
      <c r="B1542" s="241"/>
      <c r="C1542" s="241"/>
      <c r="D1542" s="241"/>
      <c r="E1542" s="241"/>
      <c r="F1542" s="241"/>
      <c r="G1542" s="241"/>
      <c r="H1542" s="241"/>
      <c r="I1542" s="241"/>
      <c r="J1542" s="241"/>
      <c r="K1542" s="241"/>
      <c r="L1542" s="242"/>
      <c r="M1542" s="241"/>
      <c r="N1542" s="241"/>
      <c r="O1542" s="241"/>
      <c r="P1542" s="241"/>
      <c r="Q1542" s="241"/>
      <c r="R1542" s="241"/>
      <c r="S1542" s="241"/>
      <c r="T1542" s="241"/>
      <c r="U1542" s="241"/>
      <c r="V1542" s="241"/>
      <c r="W1542" s="241"/>
      <c r="X1542" s="243"/>
      <c r="Y1542" s="243"/>
      <c r="Z1542" s="243"/>
      <c r="AA1542" s="243"/>
      <c r="AB1542" s="243"/>
      <c r="AC1542" s="243"/>
      <c r="AD1542" s="243"/>
      <c r="AE1542" s="243"/>
      <c r="AF1542" s="243"/>
      <c r="AG1542" s="243"/>
      <c r="AH1542" s="243"/>
      <c r="AI1542" s="243"/>
      <c r="AJ1542" s="243"/>
    </row>
    <row r="1543" hidden="1">
      <c r="A1543" s="241"/>
      <c r="B1543" s="241"/>
      <c r="C1543" s="241"/>
      <c r="D1543" s="241"/>
      <c r="E1543" s="241"/>
      <c r="F1543" s="241"/>
      <c r="G1543" s="241"/>
      <c r="H1543" s="241"/>
      <c r="I1543" s="241"/>
      <c r="J1543" s="241"/>
      <c r="K1543" s="241"/>
      <c r="L1543" s="242"/>
      <c r="M1543" s="241"/>
      <c r="N1543" s="241"/>
      <c r="O1543" s="241"/>
      <c r="P1543" s="241"/>
      <c r="Q1543" s="241"/>
      <c r="R1543" s="241"/>
      <c r="S1543" s="241"/>
      <c r="T1543" s="241"/>
      <c r="U1543" s="241"/>
      <c r="V1543" s="241"/>
      <c r="W1543" s="241"/>
      <c r="X1543" s="243"/>
      <c r="Y1543" s="243"/>
      <c r="Z1543" s="243"/>
      <c r="AA1543" s="243"/>
      <c r="AB1543" s="243"/>
      <c r="AC1543" s="243"/>
      <c r="AD1543" s="243"/>
      <c r="AE1543" s="243"/>
      <c r="AF1543" s="243"/>
      <c r="AG1543" s="243"/>
      <c r="AH1543" s="243"/>
      <c r="AI1543" s="243"/>
      <c r="AJ1543" s="243"/>
    </row>
    <row r="1544" hidden="1">
      <c r="A1544" s="241"/>
      <c r="B1544" s="241"/>
      <c r="C1544" s="241"/>
      <c r="D1544" s="241"/>
      <c r="E1544" s="241"/>
      <c r="F1544" s="241"/>
      <c r="G1544" s="241"/>
      <c r="H1544" s="241"/>
      <c r="I1544" s="241"/>
      <c r="J1544" s="241"/>
      <c r="K1544" s="241"/>
      <c r="L1544" s="242"/>
      <c r="M1544" s="241"/>
      <c r="N1544" s="241"/>
      <c r="O1544" s="241"/>
      <c r="P1544" s="241"/>
      <c r="Q1544" s="241"/>
      <c r="R1544" s="241"/>
      <c r="S1544" s="241"/>
      <c r="T1544" s="241"/>
      <c r="U1544" s="241"/>
      <c r="V1544" s="241"/>
      <c r="W1544" s="241"/>
      <c r="X1544" s="243"/>
      <c r="Y1544" s="243"/>
      <c r="Z1544" s="243"/>
      <c r="AA1544" s="243"/>
      <c r="AB1544" s="243"/>
      <c r="AC1544" s="243"/>
      <c r="AD1544" s="243"/>
      <c r="AE1544" s="243"/>
      <c r="AF1544" s="243"/>
      <c r="AG1544" s="243"/>
      <c r="AH1544" s="243"/>
      <c r="AI1544" s="243"/>
      <c r="AJ1544" s="243"/>
    </row>
    <row r="1545" hidden="1">
      <c r="A1545" s="241"/>
      <c r="B1545" s="241"/>
      <c r="C1545" s="241"/>
      <c r="D1545" s="241"/>
      <c r="E1545" s="241"/>
      <c r="F1545" s="241"/>
      <c r="G1545" s="241"/>
      <c r="H1545" s="241"/>
      <c r="I1545" s="241"/>
      <c r="J1545" s="241"/>
      <c r="K1545" s="241"/>
      <c r="L1545" s="242"/>
      <c r="M1545" s="241"/>
      <c r="N1545" s="241"/>
      <c r="O1545" s="241"/>
      <c r="P1545" s="241"/>
      <c r="Q1545" s="241"/>
      <c r="R1545" s="241"/>
      <c r="S1545" s="241"/>
      <c r="T1545" s="241"/>
      <c r="U1545" s="241"/>
      <c r="V1545" s="241"/>
      <c r="W1545" s="241"/>
      <c r="X1545" s="243"/>
      <c r="Y1545" s="243"/>
      <c r="Z1545" s="243"/>
      <c r="AA1545" s="243"/>
      <c r="AB1545" s="243"/>
      <c r="AC1545" s="243"/>
      <c r="AD1545" s="243"/>
      <c r="AE1545" s="243"/>
      <c r="AF1545" s="243"/>
      <c r="AG1545" s="243"/>
      <c r="AH1545" s="243"/>
      <c r="AI1545" s="243"/>
      <c r="AJ1545" s="243"/>
    </row>
    <row r="1546" hidden="1">
      <c r="A1546" s="241"/>
      <c r="B1546" s="241"/>
      <c r="C1546" s="241"/>
      <c r="D1546" s="241"/>
      <c r="E1546" s="241"/>
      <c r="F1546" s="241"/>
      <c r="G1546" s="241"/>
      <c r="H1546" s="241"/>
      <c r="I1546" s="241"/>
      <c r="J1546" s="241"/>
      <c r="K1546" s="241"/>
      <c r="L1546" s="242"/>
      <c r="M1546" s="241"/>
      <c r="N1546" s="241"/>
      <c r="O1546" s="241"/>
      <c r="P1546" s="241"/>
      <c r="Q1546" s="241"/>
      <c r="R1546" s="241"/>
      <c r="S1546" s="241"/>
      <c r="T1546" s="241"/>
      <c r="U1546" s="241"/>
      <c r="V1546" s="241"/>
      <c r="W1546" s="241"/>
      <c r="X1546" s="243"/>
      <c r="Y1546" s="243"/>
      <c r="Z1546" s="243"/>
      <c r="AA1546" s="243"/>
      <c r="AB1546" s="243"/>
      <c r="AC1546" s="243"/>
      <c r="AD1546" s="243"/>
      <c r="AE1546" s="243"/>
      <c r="AF1546" s="243"/>
      <c r="AG1546" s="243"/>
      <c r="AH1546" s="243"/>
      <c r="AI1546" s="243"/>
      <c r="AJ1546" s="243"/>
    </row>
    <row r="1547" hidden="1">
      <c r="A1547" s="241"/>
      <c r="B1547" s="241"/>
      <c r="C1547" s="241"/>
      <c r="D1547" s="241"/>
      <c r="E1547" s="241"/>
      <c r="F1547" s="241"/>
      <c r="G1547" s="241"/>
      <c r="H1547" s="241"/>
      <c r="I1547" s="241"/>
      <c r="J1547" s="241"/>
      <c r="K1547" s="241"/>
      <c r="L1547" s="242"/>
      <c r="M1547" s="241"/>
      <c r="N1547" s="241"/>
      <c r="O1547" s="241"/>
      <c r="P1547" s="241"/>
      <c r="Q1547" s="241"/>
      <c r="R1547" s="241"/>
      <c r="S1547" s="241"/>
      <c r="T1547" s="241"/>
      <c r="U1547" s="241"/>
      <c r="V1547" s="241"/>
      <c r="W1547" s="241"/>
      <c r="X1547" s="243"/>
      <c r="Y1547" s="243"/>
      <c r="Z1547" s="243"/>
      <c r="AA1547" s="243"/>
      <c r="AB1547" s="243"/>
      <c r="AC1547" s="243"/>
      <c r="AD1547" s="243"/>
      <c r="AE1547" s="243"/>
      <c r="AF1547" s="243"/>
      <c r="AG1547" s="243"/>
      <c r="AH1547" s="243"/>
      <c r="AI1547" s="243"/>
      <c r="AJ1547" s="243"/>
    </row>
    <row r="1548" hidden="1">
      <c r="A1548" s="241"/>
      <c r="B1548" s="241"/>
      <c r="C1548" s="241"/>
      <c r="D1548" s="241"/>
      <c r="E1548" s="241"/>
      <c r="F1548" s="241"/>
      <c r="G1548" s="241"/>
      <c r="H1548" s="241"/>
      <c r="I1548" s="241"/>
      <c r="J1548" s="241"/>
      <c r="K1548" s="241"/>
      <c r="L1548" s="242"/>
      <c r="M1548" s="241"/>
      <c r="N1548" s="241"/>
      <c r="O1548" s="241"/>
      <c r="P1548" s="241"/>
      <c r="Q1548" s="241"/>
      <c r="R1548" s="241"/>
      <c r="S1548" s="241"/>
      <c r="T1548" s="241"/>
      <c r="U1548" s="241"/>
      <c r="V1548" s="241"/>
      <c r="W1548" s="241"/>
      <c r="X1548" s="243"/>
      <c r="Y1548" s="243"/>
      <c r="Z1548" s="243"/>
      <c r="AA1548" s="243"/>
      <c r="AB1548" s="243"/>
      <c r="AC1548" s="243"/>
      <c r="AD1548" s="243"/>
      <c r="AE1548" s="243"/>
      <c r="AF1548" s="243"/>
      <c r="AG1548" s="243"/>
      <c r="AH1548" s="243"/>
      <c r="AI1548" s="243"/>
      <c r="AJ1548" s="243"/>
    </row>
    <row r="1549" hidden="1">
      <c r="A1549" s="241"/>
      <c r="B1549" s="241"/>
      <c r="C1549" s="241"/>
      <c r="D1549" s="241"/>
      <c r="E1549" s="241"/>
      <c r="F1549" s="241"/>
      <c r="G1549" s="241"/>
      <c r="H1549" s="241"/>
      <c r="I1549" s="241"/>
      <c r="J1549" s="241"/>
      <c r="K1549" s="241"/>
      <c r="L1549" s="242"/>
      <c r="M1549" s="241"/>
      <c r="N1549" s="241"/>
      <c r="O1549" s="241"/>
      <c r="P1549" s="241"/>
      <c r="Q1549" s="241"/>
      <c r="R1549" s="241"/>
      <c r="S1549" s="241"/>
      <c r="T1549" s="241"/>
      <c r="U1549" s="241"/>
      <c r="V1549" s="241"/>
      <c r="W1549" s="241"/>
      <c r="X1549" s="243"/>
      <c r="Y1549" s="243"/>
      <c r="Z1549" s="243"/>
      <c r="AA1549" s="243"/>
      <c r="AB1549" s="243"/>
      <c r="AC1549" s="243"/>
      <c r="AD1549" s="243"/>
      <c r="AE1549" s="243"/>
      <c r="AF1549" s="243"/>
      <c r="AG1549" s="243"/>
      <c r="AH1549" s="243"/>
      <c r="AI1549" s="243"/>
      <c r="AJ1549" s="243"/>
    </row>
    <row r="1550" hidden="1">
      <c r="A1550" s="241"/>
      <c r="B1550" s="241"/>
      <c r="C1550" s="241"/>
      <c r="D1550" s="241"/>
      <c r="E1550" s="241"/>
      <c r="F1550" s="241"/>
      <c r="G1550" s="241"/>
      <c r="H1550" s="241"/>
      <c r="I1550" s="241"/>
      <c r="J1550" s="241"/>
      <c r="K1550" s="241"/>
      <c r="L1550" s="242"/>
      <c r="M1550" s="241"/>
      <c r="N1550" s="241"/>
      <c r="O1550" s="241"/>
      <c r="P1550" s="241"/>
      <c r="Q1550" s="241"/>
      <c r="R1550" s="241"/>
      <c r="S1550" s="241"/>
      <c r="T1550" s="241"/>
      <c r="U1550" s="241"/>
      <c r="V1550" s="241"/>
      <c r="W1550" s="241"/>
      <c r="X1550" s="243"/>
      <c r="Y1550" s="243"/>
      <c r="Z1550" s="243"/>
      <c r="AA1550" s="243"/>
      <c r="AB1550" s="243"/>
      <c r="AC1550" s="243"/>
      <c r="AD1550" s="243"/>
      <c r="AE1550" s="243"/>
      <c r="AF1550" s="243"/>
      <c r="AG1550" s="243"/>
      <c r="AH1550" s="243"/>
      <c r="AI1550" s="243"/>
      <c r="AJ1550" s="243"/>
    </row>
    <row r="1551" hidden="1">
      <c r="A1551" s="241"/>
      <c r="B1551" s="241"/>
      <c r="C1551" s="241"/>
      <c r="D1551" s="241"/>
      <c r="E1551" s="241"/>
      <c r="F1551" s="241"/>
      <c r="G1551" s="241"/>
      <c r="H1551" s="241"/>
      <c r="I1551" s="241"/>
      <c r="J1551" s="241"/>
      <c r="K1551" s="241"/>
      <c r="L1551" s="242"/>
      <c r="M1551" s="241"/>
      <c r="N1551" s="241"/>
      <c r="O1551" s="241"/>
      <c r="P1551" s="241"/>
      <c r="Q1551" s="241"/>
      <c r="R1551" s="241"/>
      <c r="S1551" s="241"/>
      <c r="T1551" s="241"/>
      <c r="U1551" s="241"/>
      <c r="V1551" s="241"/>
      <c r="W1551" s="241"/>
      <c r="X1551" s="243"/>
      <c r="Y1551" s="243"/>
      <c r="Z1551" s="243"/>
      <c r="AA1551" s="243"/>
      <c r="AB1551" s="243"/>
      <c r="AC1551" s="243"/>
      <c r="AD1551" s="243"/>
      <c r="AE1551" s="243"/>
      <c r="AF1551" s="243"/>
      <c r="AG1551" s="243"/>
      <c r="AH1551" s="243"/>
      <c r="AI1551" s="243"/>
      <c r="AJ1551" s="243"/>
    </row>
    <row r="1552" hidden="1">
      <c r="A1552" s="241"/>
      <c r="B1552" s="241"/>
      <c r="C1552" s="241"/>
      <c r="D1552" s="241"/>
      <c r="E1552" s="241"/>
      <c r="F1552" s="241"/>
      <c r="G1552" s="241"/>
      <c r="H1552" s="241"/>
      <c r="I1552" s="241"/>
      <c r="J1552" s="241"/>
      <c r="K1552" s="241"/>
      <c r="L1552" s="242"/>
      <c r="M1552" s="241"/>
      <c r="N1552" s="241"/>
      <c r="O1552" s="241"/>
      <c r="P1552" s="241"/>
      <c r="Q1552" s="241"/>
      <c r="R1552" s="241"/>
      <c r="S1552" s="241"/>
      <c r="T1552" s="241"/>
      <c r="U1552" s="241"/>
      <c r="V1552" s="241"/>
      <c r="W1552" s="241"/>
      <c r="X1552" s="243"/>
      <c r="Y1552" s="243"/>
      <c r="Z1552" s="243"/>
      <c r="AA1552" s="243"/>
      <c r="AB1552" s="243"/>
      <c r="AC1552" s="243"/>
      <c r="AD1552" s="243"/>
      <c r="AE1552" s="243"/>
      <c r="AF1552" s="243"/>
      <c r="AG1552" s="243"/>
      <c r="AH1552" s="243"/>
      <c r="AI1552" s="243"/>
      <c r="AJ1552" s="243"/>
    </row>
    <row r="1553" hidden="1">
      <c r="A1553" s="241"/>
      <c r="B1553" s="241"/>
      <c r="C1553" s="241"/>
      <c r="D1553" s="241"/>
      <c r="E1553" s="241"/>
      <c r="F1553" s="241"/>
      <c r="G1553" s="241"/>
      <c r="H1553" s="241"/>
      <c r="I1553" s="241"/>
      <c r="J1553" s="241"/>
      <c r="K1553" s="241"/>
      <c r="L1553" s="242"/>
      <c r="M1553" s="241"/>
      <c r="N1553" s="241"/>
      <c r="O1553" s="241"/>
      <c r="P1553" s="241"/>
      <c r="Q1553" s="241"/>
      <c r="R1553" s="241"/>
      <c r="S1553" s="241"/>
      <c r="T1553" s="241"/>
      <c r="U1553" s="241"/>
      <c r="V1553" s="241"/>
      <c r="W1553" s="241"/>
      <c r="X1553" s="243"/>
      <c r="Y1553" s="243"/>
      <c r="Z1553" s="243"/>
      <c r="AA1553" s="243"/>
      <c r="AB1553" s="243"/>
      <c r="AC1553" s="243"/>
      <c r="AD1553" s="243"/>
      <c r="AE1553" s="243"/>
      <c r="AF1553" s="243"/>
      <c r="AG1553" s="243"/>
      <c r="AH1553" s="243"/>
      <c r="AI1553" s="243"/>
      <c r="AJ1553" s="243"/>
    </row>
    <row r="1554" hidden="1">
      <c r="A1554" s="241"/>
      <c r="B1554" s="241"/>
      <c r="C1554" s="241"/>
      <c r="D1554" s="241"/>
      <c r="E1554" s="241"/>
      <c r="F1554" s="241"/>
      <c r="G1554" s="241"/>
      <c r="H1554" s="241"/>
      <c r="I1554" s="241"/>
      <c r="J1554" s="241"/>
      <c r="K1554" s="241"/>
      <c r="L1554" s="242"/>
      <c r="M1554" s="241"/>
      <c r="N1554" s="241"/>
      <c r="O1554" s="241"/>
      <c r="P1554" s="241"/>
      <c r="Q1554" s="241"/>
      <c r="R1554" s="241"/>
      <c r="S1554" s="241"/>
      <c r="T1554" s="241"/>
      <c r="U1554" s="241"/>
      <c r="V1554" s="241"/>
      <c r="W1554" s="241"/>
      <c r="X1554" s="243"/>
      <c r="Y1554" s="243"/>
      <c r="Z1554" s="243"/>
      <c r="AA1554" s="243"/>
      <c r="AB1554" s="243"/>
      <c r="AC1554" s="243"/>
      <c r="AD1554" s="243"/>
      <c r="AE1554" s="243"/>
      <c r="AF1554" s="243"/>
      <c r="AG1554" s="243"/>
      <c r="AH1554" s="243"/>
      <c r="AI1554" s="243"/>
      <c r="AJ1554" s="243"/>
    </row>
    <row r="1555" hidden="1">
      <c r="A1555" s="241"/>
      <c r="B1555" s="241"/>
      <c r="C1555" s="241"/>
      <c r="D1555" s="241"/>
      <c r="E1555" s="241"/>
      <c r="F1555" s="241"/>
      <c r="G1555" s="241"/>
      <c r="H1555" s="241"/>
      <c r="I1555" s="241"/>
      <c r="J1555" s="241"/>
      <c r="K1555" s="241"/>
      <c r="L1555" s="242"/>
      <c r="M1555" s="241"/>
      <c r="N1555" s="241"/>
      <c r="O1555" s="241"/>
      <c r="P1555" s="241"/>
      <c r="Q1555" s="241"/>
      <c r="R1555" s="241"/>
      <c r="S1555" s="241"/>
      <c r="T1555" s="241"/>
      <c r="U1555" s="241"/>
      <c r="V1555" s="241"/>
      <c r="W1555" s="241"/>
      <c r="X1555" s="243"/>
      <c r="Y1555" s="243"/>
      <c r="Z1555" s="243"/>
      <c r="AA1555" s="243"/>
      <c r="AB1555" s="243"/>
      <c r="AC1555" s="243"/>
      <c r="AD1555" s="243"/>
      <c r="AE1555" s="243"/>
      <c r="AF1555" s="243"/>
      <c r="AG1555" s="243"/>
      <c r="AH1555" s="243"/>
      <c r="AI1555" s="243"/>
      <c r="AJ1555" s="243"/>
    </row>
    <row r="1556" hidden="1">
      <c r="A1556" s="241"/>
      <c r="B1556" s="241"/>
      <c r="C1556" s="241"/>
      <c r="D1556" s="241"/>
      <c r="E1556" s="241"/>
      <c r="F1556" s="241"/>
      <c r="G1556" s="241"/>
      <c r="H1556" s="241"/>
      <c r="I1556" s="241"/>
      <c r="J1556" s="241"/>
      <c r="K1556" s="241"/>
      <c r="L1556" s="242"/>
      <c r="M1556" s="241"/>
      <c r="N1556" s="241"/>
      <c r="O1556" s="241"/>
      <c r="P1556" s="241"/>
      <c r="Q1556" s="241"/>
      <c r="R1556" s="241"/>
      <c r="S1556" s="241"/>
      <c r="T1556" s="241"/>
      <c r="U1556" s="241"/>
      <c r="V1556" s="241"/>
      <c r="W1556" s="241"/>
      <c r="X1556" s="243"/>
      <c r="Y1556" s="243"/>
      <c r="Z1556" s="243"/>
      <c r="AA1556" s="243"/>
      <c r="AB1556" s="243"/>
      <c r="AC1556" s="243"/>
      <c r="AD1556" s="243"/>
      <c r="AE1556" s="243"/>
      <c r="AF1556" s="243"/>
      <c r="AG1556" s="243"/>
      <c r="AH1556" s="243"/>
      <c r="AI1556" s="243"/>
      <c r="AJ1556" s="243"/>
    </row>
    <row r="1557" hidden="1">
      <c r="A1557" s="241"/>
      <c r="B1557" s="241"/>
      <c r="C1557" s="241"/>
      <c r="D1557" s="241"/>
      <c r="E1557" s="241"/>
      <c r="F1557" s="241"/>
      <c r="G1557" s="241"/>
      <c r="H1557" s="241"/>
      <c r="I1557" s="241"/>
      <c r="J1557" s="241"/>
      <c r="K1557" s="241"/>
      <c r="L1557" s="242"/>
      <c r="M1557" s="241"/>
      <c r="N1557" s="241"/>
      <c r="O1557" s="241"/>
      <c r="P1557" s="241"/>
      <c r="Q1557" s="241"/>
      <c r="R1557" s="241"/>
      <c r="S1557" s="241"/>
      <c r="T1557" s="241"/>
      <c r="U1557" s="241"/>
      <c r="V1557" s="241"/>
      <c r="W1557" s="241"/>
      <c r="X1557" s="243"/>
      <c r="Y1557" s="243"/>
      <c r="Z1557" s="243"/>
      <c r="AA1557" s="243"/>
      <c r="AB1557" s="243"/>
      <c r="AC1557" s="243"/>
      <c r="AD1557" s="243"/>
      <c r="AE1557" s="243"/>
      <c r="AF1557" s="243"/>
      <c r="AG1557" s="243"/>
      <c r="AH1557" s="243"/>
      <c r="AI1557" s="243"/>
      <c r="AJ1557" s="243"/>
    </row>
    <row r="1558" hidden="1">
      <c r="A1558" s="241"/>
      <c r="B1558" s="241"/>
      <c r="C1558" s="241"/>
      <c r="D1558" s="241"/>
      <c r="E1558" s="241"/>
      <c r="F1558" s="241"/>
      <c r="G1558" s="241"/>
      <c r="H1558" s="241"/>
      <c r="I1558" s="241"/>
      <c r="J1558" s="241"/>
      <c r="K1558" s="241"/>
      <c r="L1558" s="242"/>
      <c r="M1558" s="241"/>
      <c r="N1558" s="241"/>
      <c r="O1558" s="241"/>
      <c r="P1558" s="241"/>
      <c r="Q1558" s="241"/>
      <c r="R1558" s="241"/>
      <c r="S1558" s="241"/>
      <c r="T1558" s="241"/>
      <c r="U1558" s="241"/>
      <c r="V1558" s="241"/>
      <c r="W1558" s="241"/>
      <c r="X1558" s="243"/>
      <c r="Y1558" s="243"/>
      <c r="Z1558" s="243"/>
      <c r="AA1558" s="243"/>
      <c r="AB1558" s="243"/>
      <c r="AC1558" s="243"/>
      <c r="AD1558" s="243"/>
      <c r="AE1558" s="243"/>
      <c r="AF1558" s="243"/>
      <c r="AG1558" s="243"/>
      <c r="AH1558" s="243"/>
      <c r="AI1558" s="243"/>
      <c r="AJ1558" s="243"/>
    </row>
    <row r="1559" hidden="1">
      <c r="A1559" s="241"/>
      <c r="B1559" s="241"/>
      <c r="C1559" s="241"/>
      <c r="D1559" s="241"/>
      <c r="E1559" s="241"/>
      <c r="F1559" s="241"/>
      <c r="G1559" s="241"/>
      <c r="H1559" s="241"/>
      <c r="I1559" s="241"/>
      <c r="J1559" s="241"/>
      <c r="K1559" s="241"/>
      <c r="L1559" s="242"/>
      <c r="M1559" s="241"/>
      <c r="N1559" s="241"/>
      <c r="O1559" s="241"/>
      <c r="P1559" s="241"/>
      <c r="Q1559" s="241"/>
      <c r="R1559" s="241"/>
      <c r="S1559" s="241"/>
      <c r="T1559" s="241"/>
      <c r="U1559" s="241"/>
      <c r="V1559" s="241"/>
      <c r="W1559" s="241"/>
      <c r="X1559" s="243"/>
      <c r="Y1559" s="243"/>
      <c r="Z1559" s="243"/>
      <c r="AA1559" s="243"/>
      <c r="AB1559" s="243"/>
      <c r="AC1559" s="243"/>
      <c r="AD1559" s="243"/>
      <c r="AE1559" s="243"/>
      <c r="AF1559" s="243"/>
      <c r="AG1559" s="243"/>
      <c r="AH1559" s="243"/>
      <c r="AI1559" s="243"/>
      <c r="AJ1559" s="243"/>
    </row>
    <row r="1560" hidden="1">
      <c r="A1560" s="241"/>
      <c r="B1560" s="241"/>
      <c r="C1560" s="241"/>
      <c r="D1560" s="241"/>
      <c r="E1560" s="241"/>
      <c r="F1560" s="241"/>
      <c r="G1560" s="241"/>
      <c r="H1560" s="241"/>
      <c r="I1560" s="241"/>
      <c r="J1560" s="241"/>
      <c r="K1560" s="241"/>
      <c r="L1560" s="242"/>
      <c r="M1560" s="241"/>
      <c r="N1560" s="241"/>
      <c r="O1560" s="241"/>
      <c r="P1560" s="241"/>
      <c r="Q1560" s="241"/>
      <c r="R1560" s="241"/>
      <c r="S1560" s="241"/>
      <c r="T1560" s="241"/>
      <c r="U1560" s="241"/>
      <c r="V1560" s="241"/>
      <c r="W1560" s="241"/>
      <c r="X1560" s="243"/>
      <c r="Y1560" s="243"/>
      <c r="Z1560" s="243"/>
      <c r="AA1560" s="243"/>
      <c r="AB1560" s="243"/>
      <c r="AC1560" s="243"/>
      <c r="AD1560" s="243"/>
      <c r="AE1560" s="243"/>
      <c r="AF1560" s="243"/>
      <c r="AG1560" s="243"/>
      <c r="AH1560" s="243"/>
      <c r="AI1560" s="243"/>
      <c r="AJ1560" s="243"/>
    </row>
    <row r="1561" hidden="1">
      <c r="A1561" s="241"/>
      <c r="B1561" s="241"/>
      <c r="C1561" s="241"/>
      <c r="D1561" s="241"/>
      <c r="E1561" s="241"/>
      <c r="F1561" s="241"/>
      <c r="G1561" s="241"/>
      <c r="H1561" s="241"/>
      <c r="I1561" s="241"/>
      <c r="J1561" s="241"/>
      <c r="K1561" s="241"/>
      <c r="L1561" s="242"/>
      <c r="M1561" s="241"/>
      <c r="N1561" s="241"/>
      <c r="O1561" s="241"/>
      <c r="P1561" s="241"/>
      <c r="Q1561" s="241"/>
      <c r="R1561" s="241"/>
      <c r="S1561" s="241"/>
      <c r="T1561" s="241"/>
      <c r="U1561" s="241"/>
      <c r="V1561" s="241"/>
      <c r="W1561" s="241"/>
      <c r="X1561" s="243"/>
      <c r="Y1561" s="243"/>
      <c r="Z1561" s="243"/>
      <c r="AA1561" s="243"/>
      <c r="AB1561" s="243"/>
      <c r="AC1561" s="243"/>
      <c r="AD1561" s="243"/>
      <c r="AE1561" s="243"/>
      <c r="AF1561" s="243"/>
      <c r="AG1561" s="243"/>
      <c r="AH1561" s="243"/>
      <c r="AI1561" s="243"/>
      <c r="AJ1561" s="243"/>
    </row>
    <row r="1562" hidden="1">
      <c r="A1562" s="241"/>
      <c r="B1562" s="241"/>
      <c r="C1562" s="241"/>
      <c r="D1562" s="241"/>
      <c r="E1562" s="241"/>
      <c r="F1562" s="241"/>
      <c r="G1562" s="241"/>
      <c r="H1562" s="241"/>
      <c r="I1562" s="241"/>
      <c r="J1562" s="241"/>
      <c r="K1562" s="241"/>
      <c r="L1562" s="242"/>
      <c r="M1562" s="241"/>
      <c r="N1562" s="241"/>
      <c r="O1562" s="241"/>
      <c r="P1562" s="241"/>
      <c r="Q1562" s="241"/>
      <c r="R1562" s="241"/>
      <c r="S1562" s="241"/>
      <c r="T1562" s="241"/>
      <c r="U1562" s="241"/>
      <c r="V1562" s="241"/>
      <c r="W1562" s="241"/>
      <c r="X1562" s="243"/>
      <c r="Y1562" s="243"/>
      <c r="Z1562" s="243"/>
      <c r="AA1562" s="243"/>
      <c r="AB1562" s="243"/>
      <c r="AC1562" s="243"/>
      <c r="AD1562" s="243"/>
      <c r="AE1562" s="243"/>
      <c r="AF1562" s="243"/>
      <c r="AG1562" s="243"/>
      <c r="AH1562" s="243"/>
      <c r="AI1562" s="243"/>
      <c r="AJ1562" s="243"/>
    </row>
    <row r="1563" hidden="1">
      <c r="A1563" s="241"/>
      <c r="B1563" s="241"/>
      <c r="C1563" s="241"/>
      <c r="D1563" s="241"/>
      <c r="E1563" s="241"/>
      <c r="F1563" s="241"/>
      <c r="G1563" s="241"/>
      <c r="H1563" s="241"/>
      <c r="I1563" s="241"/>
      <c r="J1563" s="241"/>
      <c r="K1563" s="241"/>
      <c r="L1563" s="242"/>
      <c r="M1563" s="241"/>
      <c r="N1563" s="241"/>
      <c r="O1563" s="241"/>
      <c r="P1563" s="241"/>
      <c r="Q1563" s="241"/>
      <c r="R1563" s="241"/>
      <c r="S1563" s="241"/>
      <c r="T1563" s="241"/>
      <c r="U1563" s="241"/>
      <c r="V1563" s="241"/>
      <c r="W1563" s="241"/>
      <c r="X1563" s="243"/>
      <c r="Y1563" s="243"/>
      <c r="Z1563" s="243"/>
      <c r="AA1563" s="243"/>
      <c r="AB1563" s="243"/>
      <c r="AC1563" s="243"/>
      <c r="AD1563" s="243"/>
      <c r="AE1563" s="243"/>
      <c r="AF1563" s="243"/>
      <c r="AG1563" s="243"/>
      <c r="AH1563" s="243"/>
      <c r="AI1563" s="243"/>
      <c r="AJ1563" s="243"/>
    </row>
    <row r="1564" hidden="1">
      <c r="A1564" s="241"/>
      <c r="B1564" s="241"/>
      <c r="C1564" s="241"/>
      <c r="D1564" s="241"/>
      <c r="E1564" s="241"/>
      <c r="F1564" s="241"/>
      <c r="G1564" s="241"/>
      <c r="H1564" s="241"/>
      <c r="I1564" s="241"/>
      <c r="J1564" s="241"/>
      <c r="K1564" s="241"/>
      <c r="L1564" s="242"/>
      <c r="M1564" s="241"/>
      <c r="N1564" s="241"/>
      <c r="O1564" s="241"/>
      <c r="P1564" s="241"/>
      <c r="Q1564" s="241"/>
      <c r="R1564" s="241"/>
      <c r="S1564" s="241"/>
      <c r="T1564" s="241"/>
      <c r="U1564" s="241"/>
      <c r="V1564" s="241"/>
      <c r="W1564" s="241"/>
      <c r="X1564" s="243"/>
      <c r="Y1564" s="243"/>
      <c r="Z1564" s="243"/>
      <c r="AA1564" s="243"/>
      <c r="AB1564" s="243"/>
      <c r="AC1564" s="243"/>
      <c r="AD1564" s="243"/>
      <c r="AE1564" s="243"/>
      <c r="AF1564" s="243"/>
      <c r="AG1564" s="243"/>
      <c r="AH1564" s="243"/>
      <c r="AI1564" s="243"/>
      <c r="AJ1564" s="243"/>
    </row>
    <row r="1565" hidden="1">
      <c r="A1565" s="241"/>
      <c r="B1565" s="241"/>
      <c r="C1565" s="241"/>
      <c r="D1565" s="241"/>
      <c r="E1565" s="241"/>
      <c r="F1565" s="241"/>
      <c r="G1565" s="241"/>
      <c r="H1565" s="241"/>
      <c r="I1565" s="241"/>
      <c r="J1565" s="241"/>
      <c r="K1565" s="241"/>
      <c r="L1565" s="242"/>
      <c r="M1565" s="241"/>
      <c r="N1565" s="241"/>
      <c r="O1565" s="241"/>
      <c r="P1565" s="241"/>
      <c r="Q1565" s="241"/>
      <c r="R1565" s="241"/>
      <c r="S1565" s="241"/>
      <c r="T1565" s="241"/>
      <c r="U1565" s="241"/>
      <c r="V1565" s="241"/>
      <c r="W1565" s="241"/>
      <c r="X1565" s="243"/>
      <c r="Y1565" s="243"/>
      <c r="Z1565" s="243"/>
      <c r="AA1565" s="243"/>
      <c r="AB1565" s="243"/>
      <c r="AC1565" s="243"/>
      <c r="AD1565" s="243"/>
      <c r="AE1565" s="243"/>
      <c r="AF1565" s="243"/>
      <c r="AG1565" s="243"/>
      <c r="AH1565" s="243"/>
      <c r="AI1565" s="243"/>
      <c r="AJ1565" s="243"/>
    </row>
    <row r="1566" hidden="1">
      <c r="A1566" s="241"/>
      <c r="B1566" s="241"/>
      <c r="C1566" s="241"/>
      <c r="D1566" s="241"/>
      <c r="E1566" s="241"/>
      <c r="F1566" s="241"/>
      <c r="G1566" s="241"/>
      <c r="H1566" s="241"/>
      <c r="I1566" s="241"/>
      <c r="J1566" s="241"/>
      <c r="K1566" s="241"/>
      <c r="L1566" s="242"/>
      <c r="M1566" s="241"/>
      <c r="N1566" s="241"/>
      <c r="O1566" s="241"/>
      <c r="P1566" s="241"/>
      <c r="Q1566" s="241"/>
      <c r="R1566" s="241"/>
      <c r="S1566" s="241"/>
      <c r="T1566" s="241"/>
      <c r="U1566" s="241"/>
      <c r="V1566" s="241"/>
      <c r="W1566" s="241"/>
      <c r="X1566" s="243"/>
      <c r="Y1566" s="243"/>
      <c r="Z1566" s="243"/>
      <c r="AA1566" s="243"/>
      <c r="AB1566" s="243"/>
      <c r="AC1566" s="243"/>
      <c r="AD1566" s="243"/>
      <c r="AE1566" s="243"/>
      <c r="AF1566" s="243"/>
      <c r="AG1566" s="243"/>
      <c r="AH1566" s="243"/>
      <c r="AI1566" s="243"/>
      <c r="AJ1566" s="243"/>
    </row>
    <row r="1567" hidden="1">
      <c r="A1567" s="241"/>
      <c r="B1567" s="241"/>
      <c r="C1567" s="241"/>
      <c r="D1567" s="241"/>
      <c r="E1567" s="241"/>
      <c r="F1567" s="241"/>
      <c r="G1567" s="241"/>
      <c r="H1567" s="241"/>
      <c r="I1567" s="241"/>
      <c r="J1567" s="241"/>
      <c r="K1567" s="241"/>
      <c r="L1567" s="242"/>
      <c r="M1567" s="241"/>
      <c r="N1567" s="241"/>
      <c r="O1567" s="241"/>
      <c r="P1567" s="241"/>
      <c r="Q1567" s="241"/>
      <c r="R1567" s="241"/>
      <c r="S1567" s="241"/>
      <c r="T1567" s="241"/>
      <c r="U1567" s="241"/>
      <c r="V1567" s="241"/>
      <c r="W1567" s="241"/>
      <c r="X1567" s="243"/>
      <c r="Y1567" s="243"/>
      <c r="Z1567" s="243"/>
      <c r="AA1567" s="243"/>
      <c r="AB1567" s="243"/>
      <c r="AC1567" s="243"/>
      <c r="AD1567" s="243"/>
      <c r="AE1567" s="243"/>
      <c r="AF1567" s="243"/>
      <c r="AG1567" s="243"/>
      <c r="AH1567" s="243"/>
      <c r="AI1567" s="243"/>
      <c r="AJ1567" s="243"/>
    </row>
    <row r="1568" hidden="1">
      <c r="A1568" s="241"/>
      <c r="B1568" s="241"/>
      <c r="C1568" s="241"/>
      <c r="D1568" s="241"/>
      <c r="E1568" s="241"/>
      <c r="F1568" s="241"/>
      <c r="G1568" s="241"/>
      <c r="H1568" s="241"/>
      <c r="I1568" s="241"/>
      <c r="J1568" s="241"/>
      <c r="K1568" s="241"/>
      <c r="L1568" s="242"/>
      <c r="M1568" s="241"/>
      <c r="N1568" s="241"/>
      <c r="O1568" s="241"/>
      <c r="P1568" s="241"/>
      <c r="Q1568" s="241"/>
      <c r="R1568" s="241"/>
      <c r="S1568" s="241"/>
      <c r="T1568" s="241"/>
      <c r="U1568" s="241"/>
      <c r="V1568" s="241"/>
      <c r="W1568" s="241"/>
      <c r="X1568" s="243"/>
      <c r="Y1568" s="243"/>
      <c r="Z1568" s="243"/>
      <c r="AA1568" s="243"/>
      <c r="AB1568" s="243"/>
      <c r="AC1568" s="243"/>
      <c r="AD1568" s="243"/>
      <c r="AE1568" s="243"/>
      <c r="AF1568" s="243"/>
      <c r="AG1568" s="243"/>
      <c r="AH1568" s="243"/>
      <c r="AI1568" s="243"/>
      <c r="AJ1568" s="243"/>
    </row>
    <row r="1569" hidden="1">
      <c r="A1569" s="241"/>
      <c r="B1569" s="241"/>
      <c r="C1569" s="241"/>
      <c r="D1569" s="241"/>
      <c r="E1569" s="241"/>
      <c r="F1569" s="241"/>
      <c r="G1569" s="241"/>
      <c r="H1569" s="241"/>
      <c r="I1569" s="241"/>
      <c r="J1569" s="241"/>
      <c r="K1569" s="241"/>
      <c r="L1569" s="242"/>
      <c r="M1569" s="241"/>
      <c r="N1569" s="241"/>
      <c r="O1569" s="241"/>
      <c r="P1569" s="241"/>
      <c r="Q1569" s="241"/>
      <c r="R1569" s="241"/>
      <c r="S1569" s="241"/>
      <c r="T1569" s="241"/>
      <c r="U1569" s="241"/>
      <c r="V1569" s="241"/>
      <c r="W1569" s="241"/>
      <c r="X1569" s="243"/>
      <c r="Y1569" s="243"/>
      <c r="Z1569" s="243"/>
      <c r="AA1569" s="243"/>
      <c r="AB1569" s="243"/>
      <c r="AC1569" s="243"/>
      <c r="AD1569" s="243"/>
      <c r="AE1569" s="243"/>
      <c r="AF1569" s="243"/>
      <c r="AG1569" s="243"/>
      <c r="AH1569" s="243"/>
      <c r="AI1569" s="243"/>
      <c r="AJ1569" s="243"/>
    </row>
    <row r="1570" hidden="1">
      <c r="A1570" s="241"/>
      <c r="B1570" s="241"/>
      <c r="C1570" s="241"/>
      <c r="D1570" s="241"/>
      <c r="E1570" s="241"/>
      <c r="F1570" s="241"/>
      <c r="G1570" s="241"/>
      <c r="H1570" s="241"/>
      <c r="I1570" s="241"/>
      <c r="J1570" s="241"/>
      <c r="K1570" s="241"/>
      <c r="L1570" s="242"/>
      <c r="M1570" s="241"/>
      <c r="N1570" s="241"/>
      <c r="O1570" s="241"/>
      <c r="P1570" s="241"/>
      <c r="Q1570" s="241"/>
      <c r="R1570" s="241"/>
      <c r="S1570" s="241"/>
      <c r="T1570" s="241"/>
      <c r="U1570" s="241"/>
      <c r="V1570" s="241"/>
      <c r="W1570" s="241"/>
      <c r="X1570" s="243"/>
      <c r="Y1570" s="243"/>
      <c r="Z1570" s="243"/>
      <c r="AA1570" s="243"/>
      <c r="AB1570" s="243"/>
      <c r="AC1570" s="243"/>
      <c r="AD1570" s="243"/>
      <c r="AE1570" s="243"/>
      <c r="AF1570" s="243"/>
      <c r="AG1570" s="243"/>
      <c r="AH1570" s="243"/>
      <c r="AI1570" s="243"/>
      <c r="AJ1570" s="243"/>
    </row>
    <row r="1571" hidden="1">
      <c r="A1571" s="241"/>
      <c r="B1571" s="241"/>
      <c r="C1571" s="241"/>
      <c r="D1571" s="241"/>
      <c r="E1571" s="241"/>
      <c r="F1571" s="241"/>
      <c r="G1571" s="241"/>
      <c r="H1571" s="241"/>
      <c r="I1571" s="241"/>
      <c r="J1571" s="241"/>
      <c r="K1571" s="241"/>
      <c r="L1571" s="242"/>
      <c r="M1571" s="241"/>
      <c r="N1571" s="241"/>
      <c r="O1571" s="241"/>
      <c r="P1571" s="241"/>
      <c r="Q1571" s="241"/>
      <c r="R1571" s="241"/>
      <c r="S1571" s="241"/>
      <c r="T1571" s="241"/>
      <c r="U1571" s="241"/>
      <c r="V1571" s="241"/>
      <c r="W1571" s="241"/>
      <c r="X1571" s="243"/>
      <c r="Y1571" s="243"/>
      <c r="Z1571" s="243"/>
      <c r="AA1571" s="243"/>
      <c r="AB1571" s="243"/>
      <c r="AC1571" s="243"/>
      <c r="AD1571" s="243"/>
      <c r="AE1571" s="243"/>
      <c r="AF1571" s="243"/>
      <c r="AG1571" s="243"/>
      <c r="AH1571" s="243"/>
      <c r="AI1571" s="243"/>
      <c r="AJ1571" s="243"/>
    </row>
    <row r="1572" hidden="1">
      <c r="A1572" s="241"/>
      <c r="B1572" s="241"/>
      <c r="C1572" s="241"/>
      <c r="D1572" s="241"/>
      <c r="E1572" s="241"/>
      <c r="F1572" s="241"/>
      <c r="G1572" s="241"/>
      <c r="H1572" s="241"/>
      <c r="I1572" s="241"/>
      <c r="J1572" s="241"/>
      <c r="K1572" s="241"/>
      <c r="L1572" s="242"/>
      <c r="M1572" s="241"/>
      <c r="N1572" s="241"/>
      <c r="O1572" s="241"/>
      <c r="P1572" s="241"/>
      <c r="Q1572" s="241"/>
      <c r="R1572" s="241"/>
      <c r="S1572" s="241"/>
      <c r="T1572" s="241"/>
      <c r="U1572" s="241"/>
      <c r="V1572" s="241"/>
      <c r="W1572" s="241"/>
      <c r="X1572" s="243"/>
      <c r="Y1572" s="243"/>
      <c r="Z1572" s="243"/>
      <c r="AA1572" s="243"/>
      <c r="AB1572" s="243"/>
      <c r="AC1572" s="243"/>
      <c r="AD1572" s="243"/>
      <c r="AE1572" s="243"/>
      <c r="AF1572" s="243"/>
      <c r="AG1572" s="243"/>
      <c r="AH1572" s="243"/>
      <c r="AI1572" s="243"/>
      <c r="AJ1572" s="243"/>
    </row>
    <row r="1573" hidden="1">
      <c r="A1573" s="241"/>
      <c r="B1573" s="241"/>
      <c r="C1573" s="241"/>
      <c r="D1573" s="241"/>
      <c r="E1573" s="241"/>
      <c r="F1573" s="241"/>
      <c r="G1573" s="241"/>
      <c r="H1573" s="241"/>
      <c r="I1573" s="241"/>
      <c r="J1573" s="241"/>
      <c r="K1573" s="241"/>
      <c r="L1573" s="242"/>
      <c r="M1573" s="241"/>
      <c r="N1573" s="241"/>
      <c r="O1573" s="241"/>
      <c r="P1573" s="241"/>
      <c r="Q1573" s="241"/>
      <c r="R1573" s="241"/>
      <c r="S1573" s="241"/>
      <c r="T1573" s="241"/>
      <c r="U1573" s="241"/>
      <c r="V1573" s="241"/>
      <c r="W1573" s="241"/>
      <c r="X1573" s="243"/>
      <c r="Y1573" s="243"/>
      <c r="Z1573" s="243"/>
      <c r="AA1573" s="243"/>
      <c r="AB1573" s="243"/>
      <c r="AC1573" s="243"/>
      <c r="AD1573" s="243"/>
      <c r="AE1573" s="243"/>
      <c r="AF1573" s="243"/>
      <c r="AG1573" s="243"/>
      <c r="AH1573" s="243"/>
      <c r="AI1573" s="243"/>
      <c r="AJ1573" s="243"/>
    </row>
    <row r="1574" hidden="1">
      <c r="A1574" s="241"/>
      <c r="B1574" s="241"/>
      <c r="C1574" s="241"/>
      <c r="D1574" s="241"/>
      <c r="E1574" s="241"/>
      <c r="F1574" s="241"/>
      <c r="G1574" s="241"/>
      <c r="H1574" s="241"/>
      <c r="I1574" s="241"/>
      <c r="J1574" s="241"/>
      <c r="K1574" s="241"/>
      <c r="L1574" s="242"/>
      <c r="M1574" s="241"/>
      <c r="N1574" s="241"/>
      <c r="O1574" s="241"/>
      <c r="P1574" s="241"/>
      <c r="Q1574" s="241"/>
      <c r="R1574" s="241"/>
      <c r="S1574" s="241"/>
      <c r="T1574" s="241"/>
      <c r="U1574" s="241"/>
      <c r="V1574" s="241"/>
      <c r="W1574" s="241"/>
      <c r="X1574" s="243"/>
      <c r="Y1574" s="243"/>
      <c r="Z1574" s="243"/>
      <c r="AA1574" s="243"/>
      <c r="AB1574" s="243"/>
      <c r="AC1574" s="243"/>
      <c r="AD1574" s="243"/>
      <c r="AE1574" s="243"/>
      <c r="AF1574" s="243"/>
      <c r="AG1574" s="243"/>
      <c r="AH1574" s="243"/>
      <c r="AI1574" s="243"/>
      <c r="AJ1574" s="243"/>
    </row>
    <row r="1575" hidden="1">
      <c r="A1575" s="241"/>
      <c r="B1575" s="241"/>
      <c r="C1575" s="241"/>
      <c r="D1575" s="241"/>
      <c r="E1575" s="241"/>
      <c r="F1575" s="241"/>
      <c r="G1575" s="241"/>
      <c r="H1575" s="241"/>
      <c r="I1575" s="241"/>
      <c r="J1575" s="241"/>
      <c r="K1575" s="241"/>
      <c r="L1575" s="242"/>
      <c r="M1575" s="241"/>
      <c r="N1575" s="241"/>
      <c r="O1575" s="241"/>
      <c r="P1575" s="241"/>
      <c r="Q1575" s="241"/>
      <c r="R1575" s="241"/>
      <c r="S1575" s="241"/>
      <c r="T1575" s="241"/>
      <c r="U1575" s="241"/>
      <c r="V1575" s="241"/>
      <c r="W1575" s="241"/>
      <c r="X1575" s="243"/>
      <c r="Y1575" s="243"/>
      <c r="Z1575" s="243"/>
      <c r="AA1575" s="243"/>
      <c r="AB1575" s="243"/>
      <c r="AC1575" s="243"/>
      <c r="AD1575" s="243"/>
      <c r="AE1575" s="243"/>
      <c r="AF1575" s="243"/>
      <c r="AG1575" s="243"/>
      <c r="AH1575" s="243"/>
      <c r="AI1575" s="243"/>
      <c r="AJ1575" s="243"/>
    </row>
    <row r="1576" hidden="1">
      <c r="A1576" s="241"/>
      <c r="B1576" s="241"/>
      <c r="C1576" s="241"/>
      <c r="D1576" s="241"/>
      <c r="E1576" s="241"/>
      <c r="F1576" s="241"/>
      <c r="G1576" s="241"/>
      <c r="H1576" s="241"/>
      <c r="I1576" s="241"/>
      <c r="J1576" s="241"/>
      <c r="K1576" s="241"/>
      <c r="L1576" s="242"/>
      <c r="M1576" s="241"/>
      <c r="N1576" s="241"/>
      <c r="O1576" s="241"/>
      <c r="P1576" s="241"/>
      <c r="Q1576" s="241"/>
      <c r="R1576" s="241"/>
      <c r="S1576" s="241"/>
      <c r="T1576" s="241"/>
      <c r="U1576" s="241"/>
      <c r="V1576" s="241"/>
      <c r="W1576" s="241"/>
      <c r="X1576" s="243"/>
      <c r="Y1576" s="243"/>
      <c r="Z1576" s="243"/>
      <c r="AA1576" s="243"/>
      <c r="AB1576" s="243"/>
      <c r="AC1576" s="243"/>
      <c r="AD1576" s="243"/>
      <c r="AE1576" s="243"/>
      <c r="AF1576" s="243"/>
      <c r="AG1576" s="243"/>
      <c r="AH1576" s="243"/>
      <c r="AI1576" s="243"/>
      <c r="AJ1576" s="243"/>
    </row>
    <row r="1577" hidden="1">
      <c r="A1577" s="241"/>
      <c r="B1577" s="241"/>
      <c r="C1577" s="241"/>
      <c r="D1577" s="241"/>
      <c r="E1577" s="241"/>
      <c r="F1577" s="241"/>
      <c r="G1577" s="241"/>
      <c r="H1577" s="241"/>
      <c r="I1577" s="241"/>
      <c r="J1577" s="241"/>
      <c r="K1577" s="241"/>
      <c r="L1577" s="242"/>
      <c r="M1577" s="241"/>
      <c r="N1577" s="241"/>
      <c r="O1577" s="241"/>
      <c r="P1577" s="241"/>
      <c r="Q1577" s="241"/>
      <c r="R1577" s="241"/>
      <c r="S1577" s="241"/>
      <c r="T1577" s="241"/>
      <c r="U1577" s="241"/>
      <c r="V1577" s="241"/>
      <c r="W1577" s="241"/>
      <c r="X1577" s="243"/>
      <c r="Y1577" s="243"/>
      <c r="Z1577" s="243"/>
      <c r="AA1577" s="243"/>
      <c r="AB1577" s="243"/>
      <c r="AC1577" s="243"/>
      <c r="AD1577" s="243"/>
      <c r="AE1577" s="243"/>
      <c r="AF1577" s="243"/>
      <c r="AG1577" s="243"/>
      <c r="AH1577" s="243"/>
      <c r="AI1577" s="243"/>
      <c r="AJ1577" s="243"/>
    </row>
    <row r="1578" hidden="1">
      <c r="A1578" s="241"/>
      <c r="B1578" s="241"/>
      <c r="C1578" s="241"/>
      <c r="D1578" s="241"/>
      <c r="E1578" s="241"/>
      <c r="F1578" s="241"/>
      <c r="G1578" s="241"/>
      <c r="H1578" s="241"/>
      <c r="I1578" s="241"/>
      <c r="J1578" s="241"/>
      <c r="K1578" s="241"/>
      <c r="L1578" s="242"/>
      <c r="M1578" s="241"/>
      <c r="N1578" s="241"/>
      <c r="O1578" s="241"/>
      <c r="P1578" s="241"/>
      <c r="Q1578" s="241"/>
      <c r="R1578" s="241"/>
      <c r="S1578" s="241"/>
      <c r="T1578" s="241"/>
      <c r="U1578" s="241"/>
      <c r="V1578" s="241"/>
      <c r="W1578" s="241"/>
      <c r="X1578" s="243"/>
      <c r="Y1578" s="243"/>
      <c r="Z1578" s="243"/>
      <c r="AA1578" s="243"/>
      <c r="AB1578" s="243"/>
      <c r="AC1578" s="243"/>
      <c r="AD1578" s="243"/>
      <c r="AE1578" s="243"/>
      <c r="AF1578" s="243"/>
      <c r="AG1578" s="243"/>
      <c r="AH1578" s="243"/>
      <c r="AI1578" s="243"/>
      <c r="AJ1578" s="243"/>
    </row>
    <row r="1579" hidden="1">
      <c r="A1579" s="241"/>
      <c r="B1579" s="241"/>
      <c r="C1579" s="241"/>
      <c r="D1579" s="241"/>
      <c r="E1579" s="241"/>
      <c r="F1579" s="241"/>
      <c r="G1579" s="241"/>
      <c r="H1579" s="241"/>
      <c r="I1579" s="241"/>
      <c r="J1579" s="241"/>
      <c r="K1579" s="241"/>
      <c r="L1579" s="242"/>
      <c r="M1579" s="241"/>
      <c r="N1579" s="241"/>
      <c r="O1579" s="241"/>
      <c r="P1579" s="241"/>
      <c r="Q1579" s="241"/>
      <c r="R1579" s="241"/>
      <c r="S1579" s="241"/>
      <c r="T1579" s="241"/>
      <c r="U1579" s="241"/>
      <c r="V1579" s="241"/>
      <c r="W1579" s="241"/>
      <c r="X1579" s="243"/>
      <c r="Y1579" s="243"/>
      <c r="Z1579" s="243"/>
      <c r="AA1579" s="243"/>
      <c r="AB1579" s="243"/>
      <c r="AC1579" s="243"/>
      <c r="AD1579" s="243"/>
      <c r="AE1579" s="243"/>
      <c r="AF1579" s="243"/>
      <c r="AG1579" s="243"/>
      <c r="AH1579" s="243"/>
      <c r="AI1579" s="243"/>
      <c r="AJ1579" s="243"/>
    </row>
    <row r="1580" hidden="1">
      <c r="A1580" s="241"/>
      <c r="B1580" s="241"/>
      <c r="C1580" s="241"/>
      <c r="D1580" s="241"/>
      <c r="E1580" s="241"/>
      <c r="F1580" s="241"/>
      <c r="G1580" s="241"/>
      <c r="H1580" s="241"/>
      <c r="I1580" s="241"/>
      <c r="J1580" s="241"/>
      <c r="K1580" s="241"/>
      <c r="L1580" s="242"/>
      <c r="M1580" s="241"/>
      <c r="N1580" s="241"/>
      <c r="O1580" s="241"/>
      <c r="P1580" s="241"/>
      <c r="Q1580" s="241"/>
      <c r="R1580" s="241"/>
      <c r="S1580" s="241"/>
      <c r="T1580" s="241"/>
      <c r="U1580" s="241"/>
      <c r="V1580" s="241"/>
      <c r="W1580" s="241"/>
      <c r="X1580" s="243"/>
      <c r="Y1580" s="243"/>
      <c r="Z1580" s="243"/>
      <c r="AA1580" s="243"/>
      <c r="AB1580" s="243"/>
      <c r="AC1580" s="243"/>
      <c r="AD1580" s="243"/>
      <c r="AE1580" s="243"/>
      <c r="AF1580" s="243"/>
      <c r="AG1580" s="243"/>
      <c r="AH1580" s="243"/>
      <c r="AI1580" s="243"/>
      <c r="AJ1580" s="243"/>
    </row>
    <row r="1581" hidden="1">
      <c r="A1581" s="241"/>
      <c r="B1581" s="241"/>
      <c r="C1581" s="241"/>
      <c r="D1581" s="241"/>
      <c r="E1581" s="241"/>
      <c r="F1581" s="241"/>
      <c r="G1581" s="241"/>
      <c r="H1581" s="241"/>
      <c r="I1581" s="241"/>
      <c r="J1581" s="241"/>
      <c r="K1581" s="241"/>
      <c r="L1581" s="242"/>
      <c r="M1581" s="241"/>
      <c r="N1581" s="241"/>
      <c r="O1581" s="241"/>
      <c r="P1581" s="241"/>
      <c r="Q1581" s="241"/>
      <c r="R1581" s="241"/>
      <c r="S1581" s="241"/>
      <c r="T1581" s="241"/>
      <c r="U1581" s="241"/>
      <c r="V1581" s="241"/>
      <c r="W1581" s="241"/>
      <c r="X1581" s="243"/>
      <c r="Y1581" s="243"/>
      <c r="Z1581" s="243"/>
      <c r="AA1581" s="243"/>
      <c r="AB1581" s="243"/>
      <c r="AC1581" s="243"/>
      <c r="AD1581" s="243"/>
      <c r="AE1581" s="243"/>
      <c r="AF1581" s="243"/>
      <c r="AG1581" s="243"/>
      <c r="AH1581" s="243"/>
      <c r="AI1581" s="243"/>
      <c r="AJ1581" s="243"/>
    </row>
    <row r="1582" hidden="1">
      <c r="A1582" s="241"/>
      <c r="B1582" s="241"/>
      <c r="C1582" s="241"/>
      <c r="D1582" s="241"/>
      <c r="E1582" s="241"/>
      <c r="F1582" s="241"/>
      <c r="G1582" s="241"/>
      <c r="H1582" s="241"/>
      <c r="I1582" s="241"/>
      <c r="J1582" s="241"/>
      <c r="K1582" s="241"/>
      <c r="L1582" s="242"/>
      <c r="M1582" s="241"/>
      <c r="N1582" s="241"/>
      <c r="O1582" s="241"/>
      <c r="P1582" s="241"/>
      <c r="Q1582" s="241"/>
      <c r="R1582" s="241"/>
      <c r="S1582" s="241"/>
      <c r="T1582" s="241"/>
      <c r="U1582" s="241"/>
      <c r="V1582" s="241"/>
      <c r="W1582" s="241"/>
      <c r="X1582" s="243"/>
      <c r="Y1582" s="243"/>
      <c r="Z1582" s="243"/>
      <c r="AA1582" s="243"/>
      <c r="AB1582" s="243"/>
      <c r="AC1582" s="243"/>
      <c r="AD1582" s="243"/>
      <c r="AE1582" s="243"/>
      <c r="AF1582" s="243"/>
      <c r="AG1582" s="243"/>
      <c r="AH1582" s="243"/>
      <c r="AI1582" s="243"/>
      <c r="AJ1582" s="243"/>
    </row>
    <row r="1583" hidden="1">
      <c r="A1583" s="241"/>
      <c r="B1583" s="241"/>
      <c r="C1583" s="241"/>
      <c r="D1583" s="241"/>
      <c r="E1583" s="241"/>
      <c r="F1583" s="241"/>
      <c r="G1583" s="241"/>
      <c r="H1583" s="241"/>
      <c r="I1583" s="241"/>
      <c r="J1583" s="241"/>
      <c r="K1583" s="241"/>
      <c r="L1583" s="242"/>
      <c r="M1583" s="241"/>
      <c r="N1583" s="241"/>
      <c r="O1583" s="241"/>
      <c r="P1583" s="241"/>
      <c r="Q1583" s="241"/>
      <c r="R1583" s="241"/>
      <c r="S1583" s="241"/>
      <c r="T1583" s="241"/>
      <c r="U1583" s="241"/>
      <c r="V1583" s="241"/>
      <c r="W1583" s="241"/>
      <c r="X1583" s="243"/>
      <c r="Y1583" s="243"/>
      <c r="Z1583" s="243"/>
      <c r="AA1583" s="243"/>
      <c r="AB1583" s="243"/>
      <c r="AC1583" s="243"/>
      <c r="AD1583" s="243"/>
      <c r="AE1583" s="243"/>
      <c r="AF1583" s="243"/>
      <c r="AG1583" s="243"/>
      <c r="AH1583" s="243"/>
      <c r="AI1583" s="243"/>
      <c r="AJ1583" s="243"/>
    </row>
    <row r="1584" hidden="1">
      <c r="A1584" s="241"/>
      <c r="B1584" s="241"/>
      <c r="C1584" s="241"/>
      <c r="D1584" s="241"/>
      <c r="E1584" s="241"/>
      <c r="F1584" s="241"/>
      <c r="G1584" s="241"/>
      <c r="H1584" s="241"/>
      <c r="I1584" s="241"/>
      <c r="J1584" s="241"/>
      <c r="K1584" s="241"/>
      <c r="L1584" s="242"/>
      <c r="M1584" s="241"/>
      <c r="N1584" s="241"/>
      <c r="O1584" s="241"/>
      <c r="P1584" s="241"/>
      <c r="Q1584" s="241"/>
      <c r="R1584" s="241"/>
      <c r="S1584" s="241"/>
      <c r="T1584" s="241"/>
      <c r="U1584" s="241"/>
      <c r="V1584" s="241"/>
      <c r="W1584" s="241"/>
      <c r="X1584" s="243"/>
      <c r="Y1584" s="243"/>
      <c r="Z1584" s="243"/>
      <c r="AA1584" s="243"/>
      <c r="AB1584" s="243"/>
      <c r="AC1584" s="243"/>
      <c r="AD1584" s="243"/>
      <c r="AE1584" s="243"/>
      <c r="AF1584" s="243"/>
      <c r="AG1584" s="243"/>
      <c r="AH1584" s="243"/>
      <c r="AI1584" s="243"/>
      <c r="AJ1584" s="243"/>
    </row>
    <row r="1585" hidden="1">
      <c r="A1585" s="241"/>
      <c r="B1585" s="241"/>
      <c r="C1585" s="241"/>
      <c r="D1585" s="241"/>
      <c r="E1585" s="241"/>
      <c r="F1585" s="241"/>
      <c r="G1585" s="241"/>
      <c r="H1585" s="241"/>
      <c r="I1585" s="241"/>
      <c r="J1585" s="241"/>
      <c r="K1585" s="241"/>
      <c r="L1585" s="242"/>
      <c r="M1585" s="241"/>
      <c r="N1585" s="241"/>
      <c r="O1585" s="241"/>
      <c r="P1585" s="241"/>
      <c r="Q1585" s="241"/>
      <c r="R1585" s="241"/>
      <c r="S1585" s="241"/>
      <c r="T1585" s="241"/>
      <c r="U1585" s="241"/>
      <c r="V1585" s="241"/>
      <c r="W1585" s="241"/>
      <c r="X1585" s="243"/>
      <c r="Y1585" s="243"/>
      <c r="Z1585" s="243"/>
      <c r="AA1585" s="243"/>
      <c r="AB1585" s="243"/>
      <c r="AC1585" s="243"/>
      <c r="AD1585" s="243"/>
      <c r="AE1585" s="243"/>
      <c r="AF1585" s="243"/>
      <c r="AG1585" s="243"/>
      <c r="AH1585" s="243"/>
      <c r="AI1585" s="243"/>
      <c r="AJ1585" s="243"/>
    </row>
    <row r="1586" hidden="1">
      <c r="A1586" s="241"/>
      <c r="B1586" s="241"/>
      <c r="C1586" s="241"/>
      <c r="D1586" s="241"/>
      <c r="E1586" s="241"/>
      <c r="F1586" s="241"/>
      <c r="G1586" s="241"/>
      <c r="H1586" s="241"/>
      <c r="I1586" s="241"/>
      <c r="J1586" s="241"/>
      <c r="K1586" s="241"/>
      <c r="L1586" s="242"/>
      <c r="M1586" s="241"/>
      <c r="N1586" s="241"/>
      <c r="O1586" s="241"/>
      <c r="P1586" s="241"/>
      <c r="Q1586" s="241"/>
      <c r="R1586" s="241"/>
      <c r="S1586" s="241"/>
      <c r="T1586" s="241"/>
      <c r="U1586" s="241"/>
      <c r="V1586" s="241"/>
      <c r="W1586" s="241"/>
      <c r="X1586" s="243"/>
      <c r="Y1586" s="243"/>
      <c r="Z1586" s="243"/>
      <c r="AA1586" s="243"/>
      <c r="AB1586" s="243"/>
      <c r="AC1586" s="243"/>
      <c r="AD1586" s="243"/>
      <c r="AE1586" s="243"/>
      <c r="AF1586" s="243"/>
      <c r="AG1586" s="243"/>
      <c r="AH1586" s="243"/>
      <c r="AI1586" s="243"/>
      <c r="AJ1586" s="243"/>
    </row>
    <row r="1587" hidden="1">
      <c r="A1587" s="241"/>
      <c r="B1587" s="241"/>
      <c r="C1587" s="241"/>
      <c r="D1587" s="241"/>
      <c r="E1587" s="241"/>
      <c r="F1587" s="241"/>
      <c r="G1587" s="241"/>
      <c r="H1587" s="241"/>
      <c r="I1587" s="241"/>
      <c r="J1587" s="241"/>
      <c r="K1587" s="241"/>
      <c r="L1587" s="242"/>
      <c r="M1587" s="241"/>
      <c r="N1587" s="241"/>
      <c r="O1587" s="241"/>
      <c r="P1587" s="241"/>
      <c r="Q1587" s="241"/>
      <c r="R1587" s="241"/>
      <c r="S1587" s="241"/>
      <c r="T1587" s="241"/>
      <c r="U1587" s="241"/>
      <c r="V1587" s="241"/>
      <c r="W1587" s="241"/>
      <c r="X1587" s="243"/>
      <c r="Y1587" s="243"/>
      <c r="Z1587" s="243"/>
      <c r="AA1587" s="243"/>
      <c r="AB1587" s="243"/>
      <c r="AC1587" s="243"/>
      <c r="AD1587" s="243"/>
      <c r="AE1587" s="243"/>
      <c r="AF1587" s="243"/>
      <c r="AG1587" s="243"/>
      <c r="AH1587" s="243"/>
      <c r="AI1587" s="243"/>
      <c r="AJ1587" s="243"/>
    </row>
    <row r="1588" hidden="1">
      <c r="A1588" s="241"/>
      <c r="B1588" s="241"/>
      <c r="C1588" s="241"/>
      <c r="D1588" s="241"/>
      <c r="E1588" s="241"/>
      <c r="F1588" s="241"/>
      <c r="G1588" s="241"/>
      <c r="H1588" s="241"/>
      <c r="I1588" s="241"/>
      <c r="J1588" s="241"/>
      <c r="K1588" s="241"/>
      <c r="L1588" s="242"/>
      <c r="M1588" s="241"/>
      <c r="N1588" s="241"/>
      <c r="O1588" s="241"/>
      <c r="P1588" s="241"/>
      <c r="Q1588" s="241"/>
      <c r="R1588" s="241"/>
      <c r="S1588" s="241"/>
      <c r="T1588" s="241"/>
      <c r="U1588" s="241"/>
      <c r="V1588" s="241"/>
      <c r="W1588" s="241"/>
      <c r="X1588" s="243"/>
      <c r="Y1588" s="243"/>
      <c r="Z1588" s="243"/>
      <c r="AA1588" s="243"/>
      <c r="AB1588" s="243"/>
      <c r="AC1588" s="243"/>
      <c r="AD1588" s="243"/>
      <c r="AE1588" s="243"/>
      <c r="AF1588" s="243"/>
      <c r="AG1588" s="243"/>
      <c r="AH1588" s="243"/>
      <c r="AI1588" s="243"/>
      <c r="AJ1588" s="243"/>
    </row>
    <row r="1589" hidden="1">
      <c r="A1589" s="241"/>
      <c r="B1589" s="241"/>
      <c r="C1589" s="241"/>
      <c r="D1589" s="241"/>
      <c r="E1589" s="241"/>
      <c r="F1589" s="241"/>
      <c r="G1589" s="241"/>
      <c r="H1589" s="241"/>
      <c r="I1589" s="241"/>
      <c r="J1589" s="241"/>
      <c r="K1589" s="241"/>
      <c r="L1589" s="242"/>
      <c r="M1589" s="241"/>
      <c r="N1589" s="241"/>
      <c r="O1589" s="241"/>
      <c r="P1589" s="241"/>
      <c r="Q1589" s="241"/>
      <c r="R1589" s="241"/>
      <c r="S1589" s="241"/>
      <c r="T1589" s="241"/>
      <c r="U1589" s="241"/>
      <c r="V1589" s="241"/>
      <c r="W1589" s="241"/>
      <c r="X1589" s="243"/>
      <c r="Y1589" s="243"/>
      <c r="Z1589" s="243"/>
      <c r="AA1589" s="243"/>
      <c r="AB1589" s="243"/>
      <c r="AC1589" s="243"/>
      <c r="AD1589" s="243"/>
      <c r="AE1589" s="243"/>
      <c r="AF1589" s="243"/>
      <c r="AG1589" s="243"/>
      <c r="AH1589" s="243"/>
      <c r="AI1589" s="243"/>
      <c r="AJ1589" s="243"/>
    </row>
    <row r="1590" hidden="1">
      <c r="A1590" s="241"/>
      <c r="B1590" s="241"/>
      <c r="C1590" s="241"/>
      <c r="D1590" s="241"/>
      <c r="E1590" s="241"/>
      <c r="F1590" s="241"/>
      <c r="G1590" s="241"/>
      <c r="H1590" s="241"/>
      <c r="I1590" s="241"/>
      <c r="J1590" s="241"/>
      <c r="K1590" s="241"/>
      <c r="L1590" s="242"/>
      <c r="M1590" s="241"/>
      <c r="N1590" s="241"/>
      <c r="O1590" s="241"/>
      <c r="P1590" s="241"/>
      <c r="Q1590" s="241"/>
      <c r="R1590" s="241"/>
      <c r="S1590" s="241"/>
      <c r="T1590" s="241"/>
      <c r="U1590" s="241"/>
      <c r="V1590" s="241"/>
      <c r="W1590" s="241"/>
      <c r="X1590" s="243"/>
      <c r="Y1590" s="243"/>
      <c r="Z1590" s="243"/>
      <c r="AA1590" s="243"/>
      <c r="AB1590" s="243"/>
      <c r="AC1590" s="243"/>
      <c r="AD1590" s="243"/>
      <c r="AE1590" s="243"/>
      <c r="AF1590" s="243"/>
      <c r="AG1590" s="243"/>
      <c r="AH1590" s="243"/>
      <c r="AI1590" s="243"/>
      <c r="AJ1590" s="243"/>
    </row>
    <row r="1591" hidden="1">
      <c r="A1591" s="241"/>
      <c r="B1591" s="241"/>
      <c r="C1591" s="241"/>
      <c r="D1591" s="241"/>
      <c r="E1591" s="241"/>
      <c r="F1591" s="241"/>
      <c r="G1591" s="241"/>
      <c r="H1591" s="241"/>
      <c r="I1591" s="241"/>
      <c r="J1591" s="241"/>
      <c r="K1591" s="241"/>
      <c r="L1591" s="242"/>
      <c r="M1591" s="241"/>
      <c r="N1591" s="241"/>
      <c r="O1591" s="241"/>
      <c r="P1591" s="241"/>
      <c r="Q1591" s="241"/>
      <c r="R1591" s="241"/>
      <c r="S1591" s="241"/>
      <c r="T1591" s="241"/>
      <c r="U1591" s="241"/>
      <c r="V1591" s="241"/>
      <c r="W1591" s="241"/>
      <c r="X1591" s="243"/>
      <c r="Y1591" s="243"/>
      <c r="Z1591" s="243"/>
      <c r="AA1591" s="243"/>
      <c r="AB1591" s="243"/>
      <c r="AC1591" s="243"/>
      <c r="AD1591" s="243"/>
      <c r="AE1591" s="243"/>
      <c r="AF1591" s="243"/>
      <c r="AG1591" s="243"/>
      <c r="AH1591" s="243"/>
      <c r="AI1591" s="243"/>
      <c r="AJ1591" s="243"/>
    </row>
    <row r="1592" hidden="1">
      <c r="A1592" s="241"/>
      <c r="B1592" s="241"/>
      <c r="C1592" s="241"/>
      <c r="D1592" s="241"/>
      <c r="E1592" s="241"/>
      <c r="F1592" s="241"/>
      <c r="G1592" s="241"/>
      <c r="H1592" s="241"/>
      <c r="I1592" s="241"/>
      <c r="J1592" s="241"/>
      <c r="K1592" s="241"/>
      <c r="L1592" s="242"/>
      <c r="M1592" s="241"/>
      <c r="N1592" s="241"/>
      <c r="O1592" s="241"/>
      <c r="P1592" s="241"/>
      <c r="Q1592" s="241"/>
      <c r="R1592" s="241"/>
      <c r="S1592" s="241"/>
      <c r="T1592" s="241"/>
      <c r="U1592" s="241"/>
      <c r="V1592" s="241"/>
      <c r="W1592" s="241"/>
      <c r="X1592" s="243"/>
      <c r="Y1592" s="243"/>
      <c r="Z1592" s="243"/>
      <c r="AA1592" s="243"/>
      <c r="AB1592" s="243"/>
      <c r="AC1592" s="243"/>
      <c r="AD1592" s="243"/>
      <c r="AE1592" s="243"/>
      <c r="AF1592" s="243"/>
      <c r="AG1592" s="243"/>
      <c r="AH1592" s="243"/>
      <c r="AI1592" s="243"/>
      <c r="AJ1592" s="243"/>
    </row>
    <row r="1593" hidden="1">
      <c r="A1593" s="241"/>
      <c r="B1593" s="241"/>
      <c r="C1593" s="241"/>
      <c r="D1593" s="241"/>
      <c r="E1593" s="241"/>
      <c r="F1593" s="241"/>
      <c r="G1593" s="241"/>
      <c r="H1593" s="241"/>
      <c r="I1593" s="241"/>
      <c r="J1593" s="241"/>
      <c r="K1593" s="241"/>
      <c r="L1593" s="242"/>
      <c r="M1593" s="241"/>
      <c r="N1593" s="241"/>
      <c r="O1593" s="241"/>
      <c r="P1593" s="241"/>
      <c r="Q1593" s="241"/>
      <c r="R1593" s="241"/>
      <c r="S1593" s="241"/>
      <c r="T1593" s="241"/>
      <c r="U1593" s="241"/>
      <c r="V1593" s="241"/>
      <c r="W1593" s="241"/>
      <c r="X1593" s="243"/>
      <c r="Y1593" s="243"/>
      <c r="Z1593" s="243"/>
      <c r="AA1593" s="243"/>
      <c r="AB1593" s="243"/>
      <c r="AC1593" s="243"/>
      <c r="AD1593" s="243"/>
      <c r="AE1593" s="243"/>
      <c r="AF1593" s="243"/>
      <c r="AG1593" s="243"/>
      <c r="AH1593" s="243"/>
      <c r="AI1593" s="243"/>
      <c r="AJ1593" s="243"/>
    </row>
    <row r="1594" hidden="1">
      <c r="A1594" s="241"/>
      <c r="B1594" s="241"/>
      <c r="C1594" s="241"/>
      <c r="D1594" s="241"/>
      <c r="E1594" s="241"/>
      <c r="F1594" s="241"/>
      <c r="G1594" s="241"/>
      <c r="H1594" s="241"/>
      <c r="I1594" s="241"/>
      <c r="J1594" s="241"/>
      <c r="K1594" s="241"/>
      <c r="L1594" s="242"/>
      <c r="M1594" s="241"/>
      <c r="N1594" s="241"/>
      <c r="O1594" s="241"/>
      <c r="P1594" s="241"/>
      <c r="Q1594" s="241"/>
      <c r="R1594" s="241"/>
      <c r="S1594" s="241"/>
      <c r="T1594" s="241"/>
      <c r="U1594" s="241"/>
      <c r="V1594" s="241"/>
      <c r="W1594" s="241"/>
      <c r="X1594" s="243"/>
      <c r="Y1594" s="243"/>
      <c r="Z1594" s="243"/>
      <c r="AA1594" s="243"/>
      <c r="AB1594" s="243"/>
      <c r="AC1594" s="243"/>
      <c r="AD1594" s="243"/>
      <c r="AE1594" s="243"/>
      <c r="AF1594" s="243"/>
      <c r="AG1594" s="243"/>
      <c r="AH1594" s="243"/>
      <c r="AI1594" s="243"/>
      <c r="AJ1594" s="243"/>
    </row>
    <row r="1595" hidden="1">
      <c r="A1595" s="241"/>
      <c r="B1595" s="241"/>
      <c r="C1595" s="241"/>
      <c r="D1595" s="241"/>
      <c r="E1595" s="241"/>
      <c r="F1595" s="241"/>
      <c r="G1595" s="241"/>
      <c r="H1595" s="241"/>
      <c r="I1595" s="241"/>
      <c r="J1595" s="241"/>
      <c r="K1595" s="241"/>
      <c r="L1595" s="242"/>
      <c r="M1595" s="241"/>
      <c r="N1595" s="241"/>
      <c r="O1595" s="241"/>
      <c r="P1595" s="241"/>
      <c r="Q1595" s="241"/>
      <c r="R1595" s="241"/>
      <c r="S1595" s="241"/>
      <c r="T1595" s="241"/>
      <c r="U1595" s="241"/>
      <c r="V1595" s="241"/>
      <c r="W1595" s="241"/>
      <c r="X1595" s="243"/>
      <c r="Y1595" s="243"/>
      <c r="Z1595" s="243"/>
      <c r="AA1595" s="243"/>
      <c r="AB1595" s="243"/>
      <c r="AC1595" s="243"/>
      <c r="AD1595" s="243"/>
      <c r="AE1595" s="243"/>
      <c r="AF1595" s="243"/>
      <c r="AG1595" s="243"/>
      <c r="AH1595" s="243"/>
      <c r="AI1595" s="243"/>
      <c r="AJ1595" s="243"/>
    </row>
    <row r="1596" hidden="1">
      <c r="A1596" s="241"/>
      <c r="B1596" s="241"/>
      <c r="C1596" s="241"/>
      <c r="D1596" s="241"/>
      <c r="E1596" s="241"/>
      <c r="F1596" s="241"/>
      <c r="G1596" s="241"/>
      <c r="H1596" s="241"/>
      <c r="I1596" s="241"/>
      <c r="J1596" s="241"/>
      <c r="K1596" s="241"/>
      <c r="L1596" s="242"/>
      <c r="M1596" s="241"/>
      <c r="N1596" s="241"/>
      <c r="O1596" s="241"/>
      <c r="P1596" s="241"/>
      <c r="Q1596" s="241"/>
      <c r="R1596" s="241"/>
      <c r="S1596" s="241"/>
      <c r="T1596" s="241"/>
      <c r="U1596" s="241"/>
      <c r="V1596" s="241"/>
      <c r="W1596" s="241"/>
      <c r="X1596" s="243"/>
      <c r="Y1596" s="243"/>
      <c r="Z1596" s="243"/>
      <c r="AA1596" s="243"/>
      <c r="AB1596" s="243"/>
      <c r="AC1596" s="243"/>
      <c r="AD1596" s="243"/>
      <c r="AE1596" s="243"/>
      <c r="AF1596" s="243"/>
      <c r="AG1596" s="243"/>
      <c r="AH1596" s="243"/>
      <c r="AI1596" s="243"/>
      <c r="AJ1596" s="243"/>
    </row>
    <row r="1597" hidden="1">
      <c r="A1597" s="241"/>
      <c r="B1597" s="241"/>
      <c r="C1597" s="241"/>
      <c r="D1597" s="241"/>
      <c r="E1597" s="241"/>
      <c r="F1597" s="241"/>
      <c r="G1597" s="241"/>
      <c r="H1597" s="241"/>
      <c r="I1597" s="241"/>
      <c r="J1597" s="241"/>
      <c r="K1597" s="241"/>
      <c r="L1597" s="242"/>
      <c r="M1597" s="241"/>
      <c r="N1597" s="241"/>
      <c r="O1597" s="241"/>
      <c r="P1597" s="241"/>
      <c r="Q1597" s="241"/>
      <c r="R1597" s="241"/>
      <c r="S1597" s="241"/>
      <c r="T1597" s="241"/>
      <c r="U1597" s="241"/>
      <c r="V1597" s="241"/>
      <c r="W1597" s="241"/>
      <c r="X1597" s="243"/>
      <c r="Y1597" s="243"/>
      <c r="Z1597" s="243"/>
      <c r="AA1597" s="243"/>
      <c r="AB1597" s="243"/>
      <c r="AC1597" s="243"/>
      <c r="AD1597" s="243"/>
      <c r="AE1597" s="243"/>
      <c r="AF1597" s="243"/>
      <c r="AG1597" s="243"/>
      <c r="AH1597" s="243"/>
      <c r="AI1597" s="243"/>
      <c r="AJ1597" s="243"/>
    </row>
    <row r="1598" hidden="1">
      <c r="A1598" s="241"/>
      <c r="B1598" s="241"/>
      <c r="C1598" s="241"/>
      <c r="D1598" s="241"/>
      <c r="E1598" s="241"/>
      <c r="F1598" s="241"/>
      <c r="G1598" s="241"/>
      <c r="H1598" s="241"/>
      <c r="I1598" s="241"/>
      <c r="J1598" s="241"/>
      <c r="K1598" s="241"/>
      <c r="L1598" s="242"/>
      <c r="M1598" s="241"/>
      <c r="N1598" s="241"/>
      <c r="O1598" s="241"/>
      <c r="P1598" s="241"/>
      <c r="Q1598" s="241"/>
      <c r="R1598" s="241"/>
      <c r="S1598" s="241"/>
      <c r="T1598" s="241"/>
      <c r="U1598" s="241"/>
      <c r="V1598" s="241"/>
      <c r="W1598" s="241"/>
      <c r="X1598" s="243"/>
      <c r="Y1598" s="243"/>
      <c r="Z1598" s="243"/>
      <c r="AA1598" s="243"/>
      <c r="AB1598" s="243"/>
      <c r="AC1598" s="243"/>
      <c r="AD1598" s="243"/>
      <c r="AE1598" s="243"/>
      <c r="AF1598" s="243"/>
      <c r="AG1598" s="243"/>
      <c r="AH1598" s="243"/>
      <c r="AI1598" s="243"/>
      <c r="AJ1598" s="243"/>
    </row>
    <row r="1599" hidden="1">
      <c r="A1599" s="241"/>
      <c r="B1599" s="241"/>
      <c r="C1599" s="241"/>
      <c r="D1599" s="241"/>
      <c r="E1599" s="241"/>
      <c r="F1599" s="241"/>
      <c r="G1599" s="241"/>
      <c r="H1599" s="241"/>
      <c r="I1599" s="241"/>
      <c r="J1599" s="241"/>
      <c r="K1599" s="241"/>
      <c r="L1599" s="242"/>
      <c r="M1599" s="241"/>
      <c r="N1599" s="241"/>
      <c r="O1599" s="241"/>
      <c r="P1599" s="241"/>
      <c r="Q1599" s="241"/>
      <c r="R1599" s="241"/>
      <c r="S1599" s="241"/>
      <c r="T1599" s="241"/>
      <c r="U1599" s="241"/>
      <c r="V1599" s="241"/>
      <c r="W1599" s="241"/>
      <c r="X1599" s="243"/>
      <c r="Y1599" s="243"/>
      <c r="Z1599" s="243"/>
      <c r="AA1599" s="243"/>
      <c r="AB1599" s="243"/>
      <c r="AC1599" s="243"/>
      <c r="AD1599" s="243"/>
      <c r="AE1599" s="243"/>
      <c r="AF1599" s="243"/>
      <c r="AG1599" s="243"/>
      <c r="AH1599" s="243"/>
      <c r="AI1599" s="243"/>
      <c r="AJ1599" s="243"/>
    </row>
    <row r="1600" hidden="1">
      <c r="A1600" s="241"/>
      <c r="B1600" s="241"/>
      <c r="C1600" s="241"/>
      <c r="D1600" s="241"/>
      <c r="E1600" s="241"/>
      <c r="F1600" s="241"/>
      <c r="G1600" s="241"/>
      <c r="H1600" s="241"/>
      <c r="I1600" s="241"/>
      <c r="J1600" s="241"/>
      <c r="K1600" s="241"/>
      <c r="L1600" s="242"/>
      <c r="M1600" s="241"/>
      <c r="N1600" s="241"/>
      <c r="O1600" s="241"/>
      <c r="P1600" s="241"/>
      <c r="Q1600" s="241"/>
      <c r="R1600" s="241"/>
      <c r="S1600" s="241"/>
      <c r="T1600" s="241"/>
      <c r="U1600" s="241"/>
      <c r="V1600" s="241"/>
      <c r="W1600" s="241"/>
      <c r="X1600" s="243"/>
      <c r="Y1600" s="243"/>
      <c r="Z1600" s="243"/>
      <c r="AA1600" s="243"/>
      <c r="AB1600" s="243"/>
      <c r="AC1600" s="243"/>
      <c r="AD1600" s="243"/>
      <c r="AE1600" s="243"/>
      <c r="AF1600" s="243"/>
      <c r="AG1600" s="243"/>
      <c r="AH1600" s="243"/>
      <c r="AI1600" s="243"/>
      <c r="AJ1600" s="243"/>
    </row>
    <row r="1601" hidden="1">
      <c r="A1601" s="241"/>
      <c r="B1601" s="241"/>
      <c r="C1601" s="241"/>
      <c r="D1601" s="241"/>
      <c r="E1601" s="241"/>
      <c r="F1601" s="241"/>
      <c r="G1601" s="241"/>
      <c r="H1601" s="241"/>
      <c r="I1601" s="241"/>
      <c r="J1601" s="241"/>
      <c r="K1601" s="241"/>
      <c r="L1601" s="242"/>
      <c r="M1601" s="241"/>
      <c r="N1601" s="241"/>
      <c r="O1601" s="241"/>
      <c r="P1601" s="241"/>
      <c r="Q1601" s="241"/>
      <c r="R1601" s="241"/>
      <c r="S1601" s="241"/>
      <c r="T1601" s="241"/>
      <c r="U1601" s="241"/>
      <c r="V1601" s="241"/>
      <c r="W1601" s="241"/>
      <c r="X1601" s="243"/>
      <c r="Y1601" s="243"/>
      <c r="Z1601" s="243"/>
      <c r="AA1601" s="243"/>
      <c r="AB1601" s="243"/>
      <c r="AC1601" s="243"/>
      <c r="AD1601" s="243"/>
      <c r="AE1601" s="243"/>
      <c r="AF1601" s="243"/>
      <c r="AG1601" s="243"/>
      <c r="AH1601" s="243"/>
      <c r="AI1601" s="243"/>
      <c r="AJ1601" s="243"/>
    </row>
    <row r="1602" hidden="1">
      <c r="A1602" s="241"/>
      <c r="B1602" s="241"/>
      <c r="C1602" s="241"/>
      <c r="D1602" s="241"/>
      <c r="E1602" s="241"/>
      <c r="F1602" s="241"/>
      <c r="G1602" s="241"/>
      <c r="H1602" s="241"/>
      <c r="I1602" s="241"/>
      <c r="J1602" s="241"/>
      <c r="K1602" s="241"/>
      <c r="L1602" s="242"/>
      <c r="M1602" s="241"/>
      <c r="N1602" s="241"/>
      <c r="O1602" s="241"/>
      <c r="P1602" s="241"/>
      <c r="Q1602" s="241"/>
      <c r="R1602" s="241"/>
      <c r="S1602" s="241"/>
      <c r="T1602" s="241"/>
      <c r="U1602" s="241"/>
      <c r="V1602" s="241"/>
      <c r="W1602" s="241"/>
      <c r="X1602" s="243"/>
      <c r="Y1602" s="243"/>
      <c r="Z1602" s="243"/>
      <c r="AA1602" s="243"/>
      <c r="AB1602" s="243"/>
      <c r="AC1602" s="243"/>
      <c r="AD1602" s="243"/>
      <c r="AE1602" s="243"/>
      <c r="AF1602" s="243"/>
      <c r="AG1602" s="243"/>
      <c r="AH1602" s="243"/>
      <c r="AI1602" s="243"/>
      <c r="AJ1602" s="243"/>
    </row>
    <row r="1603" hidden="1">
      <c r="A1603" s="241"/>
      <c r="B1603" s="241"/>
      <c r="C1603" s="241"/>
      <c r="D1603" s="241"/>
      <c r="E1603" s="241"/>
      <c r="F1603" s="241"/>
      <c r="G1603" s="241"/>
      <c r="H1603" s="241"/>
      <c r="I1603" s="241"/>
      <c r="J1603" s="241"/>
      <c r="K1603" s="241"/>
      <c r="L1603" s="242"/>
      <c r="M1603" s="241"/>
      <c r="N1603" s="241"/>
      <c r="O1603" s="241"/>
      <c r="P1603" s="241"/>
      <c r="Q1603" s="241"/>
      <c r="R1603" s="241"/>
      <c r="S1603" s="241"/>
      <c r="T1603" s="241"/>
      <c r="U1603" s="241"/>
      <c r="V1603" s="241"/>
      <c r="W1603" s="241"/>
      <c r="X1603" s="243"/>
      <c r="Y1603" s="243"/>
      <c r="Z1603" s="243"/>
      <c r="AA1603" s="243"/>
      <c r="AB1603" s="243"/>
      <c r="AC1603" s="243"/>
      <c r="AD1603" s="243"/>
      <c r="AE1603" s="243"/>
      <c r="AF1603" s="243"/>
      <c r="AG1603" s="243"/>
      <c r="AH1603" s="243"/>
      <c r="AI1603" s="243"/>
      <c r="AJ1603" s="243"/>
    </row>
    <row r="1604" hidden="1">
      <c r="A1604" s="241"/>
      <c r="B1604" s="241"/>
      <c r="C1604" s="241"/>
      <c r="D1604" s="241"/>
      <c r="E1604" s="241"/>
      <c r="F1604" s="241"/>
      <c r="G1604" s="241"/>
      <c r="H1604" s="241"/>
      <c r="I1604" s="241"/>
      <c r="J1604" s="241"/>
      <c r="K1604" s="241"/>
      <c r="L1604" s="242"/>
      <c r="M1604" s="241"/>
      <c r="N1604" s="241"/>
      <c r="O1604" s="241"/>
      <c r="P1604" s="241"/>
      <c r="Q1604" s="241"/>
      <c r="R1604" s="241"/>
      <c r="S1604" s="241"/>
      <c r="T1604" s="241"/>
      <c r="U1604" s="241"/>
      <c r="V1604" s="241"/>
      <c r="W1604" s="241"/>
      <c r="X1604" s="243"/>
      <c r="Y1604" s="243"/>
      <c r="Z1604" s="243"/>
      <c r="AA1604" s="243"/>
      <c r="AB1604" s="243"/>
      <c r="AC1604" s="243"/>
      <c r="AD1604" s="243"/>
      <c r="AE1604" s="243"/>
      <c r="AF1604" s="243"/>
      <c r="AG1604" s="243"/>
      <c r="AH1604" s="243"/>
      <c r="AI1604" s="243"/>
      <c r="AJ1604" s="243"/>
    </row>
    <row r="1605" hidden="1">
      <c r="A1605" s="241"/>
      <c r="B1605" s="241"/>
      <c r="C1605" s="241"/>
      <c r="D1605" s="241"/>
      <c r="E1605" s="241"/>
      <c r="F1605" s="241"/>
      <c r="G1605" s="241"/>
      <c r="H1605" s="241"/>
      <c r="I1605" s="241"/>
      <c r="J1605" s="241"/>
      <c r="K1605" s="241"/>
      <c r="L1605" s="242"/>
      <c r="M1605" s="241"/>
      <c r="N1605" s="241"/>
      <c r="O1605" s="241"/>
      <c r="P1605" s="241"/>
      <c r="Q1605" s="241"/>
      <c r="R1605" s="241"/>
      <c r="S1605" s="241"/>
      <c r="T1605" s="241"/>
      <c r="U1605" s="241"/>
      <c r="V1605" s="241"/>
      <c r="W1605" s="241"/>
      <c r="X1605" s="243"/>
      <c r="Y1605" s="243"/>
      <c r="Z1605" s="243"/>
      <c r="AA1605" s="243"/>
      <c r="AB1605" s="243"/>
      <c r="AC1605" s="243"/>
      <c r="AD1605" s="243"/>
      <c r="AE1605" s="243"/>
      <c r="AF1605" s="243"/>
      <c r="AG1605" s="243"/>
      <c r="AH1605" s="243"/>
      <c r="AI1605" s="243"/>
      <c r="AJ1605" s="243"/>
    </row>
    <row r="1606" hidden="1">
      <c r="A1606" s="241"/>
      <c r="B1606" s="241"/>
      <c r="C1606" s="241"/>
      <c r="D1606" s="241"/>
      <c r="E1606" s="241"/>
      <c r="F1606" s="241"/>
      <c r="G1606" s="241"/>
      <c r="H1606" s="241"/>
      <c r="I1606" s="241"/>
      <c r="J1606" s="241"/>
      <c r="K1606" s="241"/>
      <c r="L1606" s="242"/>
      <c r="M1606" s="241"/>
      <c r="N1606" s="241"/>
      <c r="O1606" s="241"/>
      <c r="P1606" s="241"/>
      <c r="Q1606" s="241"/>
      <c r="R1606" s="241"/>
      <c r="S1606" s="241"/>
      <c r="T1606" s="241"/>
      <c r="U1606" s="241"/>
      <c r="V1606" s="241"/>
      <c r="W1606" s="241"/>
      <c r="X1606" s="243"/>
      <c r="Y1606" s="243"/>
      <c r="Z1606" s="243"/>
      <c r="AA1606" s="243"/>
      <c r="AB1606" s="243"/>
      <c r="AC1606" s="243"/>
      <c r="AD1606" s="243"/>
      <c r="AE1606" s="243"/>
      <c r="AF1606" s="243"/>
      <c r="AG1606" s="243"/>
      <c r="AH1606" s="243"/>
      <c r="AI1606" s="243"/>
      <c r="AJ1606" s="243"/>
    </row>
    <row r="1607" hidden="1">
      <c r="A1607" s="241"/>
      <c r="B1607" s="241"/>
      <c r="C1607" s="241"/>
      <c r="D1607" s="241"/>
      <c r="E1607" s="241"/>
      <c r="F1607" s="241"/>
      <c r="G1607" s="241"/>
      <c r="H1607" s="241"/>
      <c r="I1607" s="241"/>
      <c r="J1607" s="241"/>
      <c r="K1607" s="241"/>
      <c r="L1607" s="242"/>
      <c r="M1607" s="241"/>
      <c r="N1607" s="241"/>
      <c r="O1607" s="241"/>
      <c r="P1607" s="241"/>
      <c r="Q1607" s="241"/>
      <c r="R1607" s="241"/>
      <c r="S1607" s="241"/>
      <c r="T1607" s="241"/>
      <c r="U1607" s="241"/>
      <c r="V1607" s="241"/>
      <c r="W1607" s="241"/>
      <c r="X1607" s="243"/>
      <c r="Y1607" s="243"/>
      <c r="Z1607" s="243"/>
      <c r="AA1607" s="243"/>
      <c r="AB1607" s="243"/>
      <c r="AC1607" s="243"/>
      <c r="AD1607" s="243"/>
      <c r="AE1607" s="243"/>
      <c r="AF1607" s="243"/>
      <c r="AG1607" s="243"/>
      <c r="AH1607" s="243"/>
      <c r="AI1607" s="243"/>
      <c r="AJ1607" s="243"/>
    </row>
    <row r="1608" hidden="1">
      <c r="A1608" s="241"/>
      <c r="B1608" s="241"/>
      <c r="C1608" s="241"/>
      <c r="D1608" s="241"/>
      <c r="E1608" s="241"/>
      <c r="F1608" s="241"/>
      <c r="G1608" s="241"/>
      <c r="H1608" s="241"/>
      <c r="I1608" s="241"/>
      <c r="J1608" s="241"/>
      <c r="K1608" s="241"/>
      <c r="L1608" s="242"/>
      <c r="M1608" s="241"/>
      <c r="N1608" s="241"/>
      <c r="O1608" s="241"/>
      <c r="P1608" s="241"/>
      <c r="Q1608" s="241"/>
      <c r="R1608" s="241"/>
      <c r="S1608" s="241"/>
      <c r="T1608" s="241"/>
      <c r="U1608" s="241"/>
      <c r="V1608" s="241"/>
      <c r="W1608" s="241"/>
      <c r="X1608" s="243"/>
      <c r="Y1608" s="243"/>
      <c r="Z1608" s="243"/>
      <c r="AA1608" s="243"/>
      <c r="AB1608" s="243"/>
      <c r="AC1608" s="243"/>
      <c r="AD1608" s="243"/>
      <c r="AE1608" s="243"/>
      <c r="AF1608" s="243"/>
      <c r="AG1608" s="243"/>
      <c r="AH1608" s="243"/>
      <c r="AI1608" s="243"/>
      <c r="AJ1608" s="243"/>
    </row>
    <row r="1609" hidden="1">
      <c r="A1609" s="241"/>
      <c r="B1609" s="241"/>
      <c r="C1609" s="241"/>
      <c r="D1609" s="241"/>
      <c r="E1609" s="241"/>
      <c r="F1609" s="241"/>
      <c r="G1609" s="241"/>
      <c r="H1609" s="241"/>
      <c r="I1609" s="241"/>
      <c r="J1609" s="241"/>
      <c r="K1609" s="241"/>
      <c r="L1609" s="242"/>
      <c r="M1609" s="241"/>
      <c r="N1609" s="241"/>
      <c r="O1609" s="241"/>
      <c r="P1609" s="241"/>
      <c r="Q1609" s="241"/>
      <c r="R1609" s="241"/>
      <c r="S1609" s="241"/>
      <c r="T1609" s="241"/>
      <c r="U1609" s="241"/>
      <c r="V1609" s="241"/>
      <c r="W1609" s="241"/>
      <c r="X1609" s="243"/>
      <c r="Y1609" s="243"/>
      <c r="Z1609" s="243"/>
      <c r="AA1609" s="243"/>
      <c r="AB1609" s="243"/>
      <c r="AC1609" s="243"/>
      <c r="AD1609" s="243"/>
      <c r="AE1609" s="243"/>
      <c r="AF1609" s="243"/>
      <c r="AG1609" s="243"/>
      <c r="AH1609" s="243"/>
      <c r="AI1609" s="243"/>
      <c r="AJ1609" s="243"/>
    </row>
    <row r="1610" hidden="1">
      <c r="A1610" s="241"/>
      <c r="B1610" s="241"/>
      <c r="C1610" s="241"/>
      <c r="D1610" s="241"/>
      <c r="E1610" s="241"/>
      <c r="F1610" s="241"/>
      <c r="G1610" s="241"/>
      <c r="H1610" s="241"/>
      <c r="I1610" s="241"/>
      <c r="J1610" s="241"/>
      <c r="K1610" s="241"/>
      <c r="L1610" s="242"/>
      <c r="M1610" s="241"/>
      <c r="N1610" s="241"/>
      <c r="O1610" s="241"/>
      <c r="P1610" s="241"/>
      <c r="Q1610" s="241"/>
      <c r="R1610" s="241"/>
      <c r="S1610" s="241"/>
      <c r="T1610" s="241"/>
      <c r="U1610" s="241"/>
      <c r="V1610" s="241"/>
      <c r="W1610" s="241"/>
      <c r="X1610" s="243"/>
      <c r="Y1610" s="243"/>
      <c r="Z1610" s="243"/>
      <c r="AA1610" s="243"/>
      <c r="AB1610" s="243"/>
      <c r="AC1610" s="243"/>
      <c r="AD1610" s="243"/>
      <c r="AE1610" s="243"/>
      <c r="AF1610" s="243"/>
      <c r="AG1610" s="243"/>
      <c r="AH1610" s="243"/>
      <c r="AI1610" s="243"/>
      <c r="AJ1610" s="243"/>
    </row>
    <row r="1611" hidden="1">
      <c r="A1611" s="241"/>
      <c r="B1611" s="241"/>
      <c r="C1611" s="241"/>
      <c r="D1611" s="241"/>
      <c r="E1611" s="241"/>
      <c r="F1611" s="241"/>
      <c r="G1611" s="241"/>
      <c r="H1611" s="241"/>
      <c r="I1611" s="241"/>
      <c r="J1611" s="241"/>
      <c r="K1611" s="241"/>
      <c r="L1611" s="242"/>
      <c r="M1611" s="241"/>
      <c r="N1611" s="241"/>
      <c r="O1611" s="241"/>
      <c r="P1611" s="241"/>
      <c r="Q1611" s="241"/>
      <c r="R1611" s="241"/>
      <c r="S1611" s="241"/>
      <c r="T1611" s="241"/>
      <c r="U1611" s="241"/>
      <c r="V1611" s="241"/>
      <c r="W1611" s="241"/>
      <c r="X1611" s="243"/>
      <c r="Y1611" s="243"/>
      <c r="Z1611" s="243"/>
      <c r="AA1611" s="243"/>
      <c r="AB1611" s="243"/>
      <c r="AC1611" s="243"/>
      <c r="AD1611" s="243"/>
      <c r="AE1611" s="243"/>
      <c r="AF1611" s="243"/>
      <c r="AG1611" s="243"/>
      <c r="AH1611" s="243"/>
      <c r="AI1611" s="243"/>
      <c r="AJ1611" s="243"/>
    </row>
    <row r="1612" hidden="1">
      <c r="A1612" s="241"/>
      <c r="B1612" s="241"/>
      <c r="C1612" s="241"/>
      <c r="D1612" s="241"/>
      <c r="E1612" s="241"/>
      <c r="F1612" s="241"/>
      <c r="G1612" s="241"/>
      <c r="H1612" s="241"/>
      <c r="I1612" s="241"/>
      <c r="J1612" s="241"/>
      <c r="K1612" s="241"/>
      <c r="L1612" s="242"/>
      <c r="M1612" s="241"/>
      <c r="N1612" s="241"/>
      <c r="O1612" s="241"/>
      <c r="P1612" s="241"/>
      <c r="Q1612" s="241"/>
      <c r="R1612" s="241"/>
      <c r="S1612" s="241"/>
      <c r="T1612" s="241"/>
      <c r="U1612" s="241"/>
      <c r="V1612" s="241"/>
      <c r="W1612" s="241"/>
      <c r="X1612" s="243"/>
      <c r="Y1612" s="243"/>
      <c r="Z1612" s="243"/>
      <c r="AA1612" s="243"/>
      <c r="AB1612" s="243"/>
      <c r="AC1612" s="243"/>
      <c r="AD1612" s="243"/>
      <c r="AE1612" s="243"/>
      <c r="AF1612" s="243"/>
      <c r="AG1612" s="243"/>
      <c r="AH1612" s="243"/>
      <c r="AI1612" s="243"/>
      <c r="AJ1612" s="243"/>
    </row>
    <row r="1613" hidden="1">
      <c r="A1613" s="241"/>
      <c r="B1613" s="241"/>
      <c r="C1613" s="241"/>
      <c r="D1613" s="241"/>
      <c r="E1613" s="241"/>
      <c r="F1613" s="241"/>
      <c r="G1613" s="241"/>
      <c r="H1613" s="241"/>
      <c r="I1613" s="241"/>
      <c r="J1613" s="241"/>
      <c r="K1613" s="241"/>
      <c r="L1613" s="242"/>
      <c r="M1613" s="241"/>
      <c r="N1613" s="241"/>
      <c r="O1613" s="241"/>
      <c r="P1613" s="241"/>
      <c r="Q1613" s="241"/>
      <c r="R1613" s="241"/>
      <c r="S1613" s="241"/>
      <c r="T1613" s="241"/>
      <c r="U1613" s="241"/>
      <c r="V1613" s="241"/>
      <c r="W1613" s="241"/>
      <c r="X1613" s="243"/>
      <c r="Y1613" s="243"/>
      <c r="Z1613" s="243"/>
      <c r="AA1613" s="243"/>
      <c r="AB1613" s="243"/>
      <c r="AC1613" s="243"/>
      <c r="AD1613" s="243"/>
      <c r="AE1613" s="243"/>
      <c r="AF1613" s="243"/>
      <c r="AG1613" s="243"/>
      <c r="AH1613" s="243"/>
      <c r="AI1613" s="243"/>
      <c r="AJ1613" s="243"/>
    </row>
    <row r="1614" hidden="1">
      <c r="A1614" s="241"/>
      <c r="B1614" s="241"/>
      <c r="C1614" s="241"/>
      <c r="D1614" s="241"/>
      <c r="E1614" s="241"/>
      <c r="F1614" s="241"/>
      <c r="G1614" s="241"/>
      <c r="H1614" s="241"/>
      <c r="I1614" s="241"/>
      <c r="J1614" s="241"/>
      <c r="K1614" s="241"/>
      <c r="L1614" s="242"/>
      <c r="M1614" s="241"/>
      <c r="N1614" s="241"/>
      <c r="O1614" s="241"/>
      <c r="P1614" s="241"/>
      <c r="Q1614" s="241"/>
      <c r="R1614" s="241"/>
      <c r="S1614" s="241"/>
      <c r="T1614" s="241"/>
      <c r="U1614" s="241"/>
      <c r="V1614" s="241"/>
      <c r="W1614" s="241"/>
      <c r="X1614" s="243"/>
      <c r="Y1614" s="243"/>
      <c r="Z1614" s="243"/>
      <c r="AA1614" s="243"/>
      <c r="AB1614" s="243"/>
      <c r="AC1614" s="243"/>
      <c r="AD1614" s="243"/>
      <c r="AE1614" s="243"/>
      <c r="AF1614" s="243"/>
      <c r="AG1614" s="243"/>
      <c r="AH1614" s="243"/>
      <c r="AI1614" s="243"/>
      <c r="AJ1614" s="243"/>
    </row>
    <row r="1615" hidden="1">
      <c r="A1615" s="241"/>
      <c r="B1615" s="241"/>
      <c r="C1615" s="241"/>
      <c r="D1615" s="241"/>
      <c r="E1615" s="241"/>
      <c r="F1615" s="241"/>
      <c r="G1615" s="241"/>
      <c r="H1615" s="241"/>
      <c r="I1615" s="241"/>
      <c r="J1615" s="241"/>
      <c r="K1615" s="241"/>
      <c r="L1615" s="242"/>
      <c r="M1615" s="241"/>
      <c r="N1615" s="241"/>
      <c r="O1615" s="241"/>
      <c r="P1615" s="241"/>
      <c r="Q1615" s="241"/>
      <c r="R1615" s="241"/>
      <c r="S1615" s="241"/>
      <c r="T1615" s="241"/>
      <c r="U1615" s="241"/>
      <c r="V1615" s="241"/>
      <c r="W1615" s="241"/>
      <c r="X1615" s="243"/>
      <c r="Y1615" s="243"/>
      <c r="Z1615" s="243"/>
      <c r="AA1615" s="243"/>
      <c r="AB1615" s="243"/>
      <c r="AC1615" s="243"/>
      <c r="AD1615" s="243"/>
      <c r="AE1615" s="243"/>
      <c r="AF1615" s="243"/>
      <c r="AG1615" s="243"/>
      <c r="AH1615" s="243"/>
      <c r="AI1615" s="243"/>
      <c r="AJ1615" s="243"/>
    </row>
    <row r="1616" hidden="1">
      <c r="A1616" s="241"/>
      <c r="B1616" s="241"/>
      <c r="C1616" s="241"/>
      <c r="D1616" s="241"/>
      <c r="E1616" s="241"/>
      <c r="F1616" s="241"/>
      <c r="G1616" s="241"/>
      <c r="H1616" s="241"/>
      <c r="I1616" s="241"/>
      <c r="J1616" s="241"/>
      <c r="K1616" s="241"/>
      <c r="L1616" s="242"/>
      <c r="M1616" s="241"/>
      <c r="N1616" s="241"/>
      <c r="O1616" s="241"/>
      <c r="P1616" s="241"/>
      <c r="Q1616" s="241"/>
      <c r="R1616" s="241"/>
      <c r="S1616" s="241"/>
      <c r="T1616" s="241"/>
      <c r="U1616" s="241"/>
      <c r="V1616" s="241"/>
      <c r="W1616" s="241"/>
      <c r="X1616" s="243"/>
      <c r="Y1616" s="243"/>
      <c r="Z1616" s="243"/>
      <c r="AA1616" s="243"/>
      <c r="AB1616" s="243"/>
      <c r="AC1616" s="243"/>
      <c r="AD1616" s="243"/>
      <c r="AE1616" s="243"/>
      <c r="AF1616" s="243"/>
      <c r="AG1616" s="243"/>
      <c r="AH1616" s="243"/>
      <c r="AI1616" s="243"/>
      <c r="AJ1616" s="243"/>
    </row>
    <row r="1617" hidden="1">
      <c r="A1617" s="241"/>
      <c r="B1617" s="241"/>
      <c r="C1617" s="241"/>
      <c r="D1617" s="241"/>
      <c r="E1617" s="241"/>
      <c r="F1617" s="241"/>
      <c r="G1617" s="241"/>
      <c r="H1617" s="241"/>
      <c r="I1617" s="241"/>
      <c r="J1617" s="241"/>
      <c r="K1617" s="241"/>
      <c r="L1617" s="242"/>
      <c r="M1617" s="241"/>
      <c r="N1617" s="241"/>
      <c r="O1617" s="241"/>
      <c r="P1617" s="241"/>
      <c r="Q1617" s="241"/>
      <c r="R1617" s="241"/>
      <c r="S1617" s="241"/>
      <c r="T1617" s="241"/>
      <c r="U1617" s="241"/>
      <c r="V1617" s="241"/>
      <c r="W1617" s="241"/>
      <c r="X1617" s="243"/>
      <c r="Y1617" s="243"/>
      <c r="Z1617" s="243"/>
      <c r="AA1617" s="243"/>
      <c r="AB1617" s="243"/>
      <c r="AC1617" s="243"/>
      <c r="AD1617" s="243"/>
      <c r="AE1617" s="243"/>
      <c r="AF1617" s="243"/>
      <c r="AG1617" s="243"/>
      <c r="AH1617" s="243"/>
      <c r="AI1617" s="243"/>
      <c r="AJ1617" s="243"/>
    </row>
    <row r="1618" hidden="1">
      <c r="A1618" s="241"/>
      <c r="B1618" s="241"/>
      <c r="C1618" s="241"/>
      <c r="D1618" s="241"/>
      <c r="E1618" s="241"/>
      <c r="F1618" s="241"/>
      <c r="G1618" s="241"/>
      <c r="H1618" s="241"/>
      <c r="I1618" s="241"/>
      <c r="J1618" s="241"/>
      <c r="K1618" s="241"/>
      <c r="L1618" s="242"/>
      <c r="M1618" s="241"/>
      <c r="N1618" s="241"/>
      <c r="O1618" s="241"/>
      <c r="P1618" s="241"/>
      <c r="Q1618" s="241"/>
      <c r="R1618" s="241"/>
      <c r="S1618" s="241"/>
      <c r="T1618" s="241"/>
      <c r="U1618" s="241"/>
      <c r="V1618" s="241"/>
      <c r="W1618" s="241"/>
      <c r="X1618" s="243"/>
      <c r="Y1618" s="243"/>
      <c r="Z1618" s="243"/>
      <c r="AA1618" s="243"/>
      <c r="AB1618" s="243"/>
      <c r="AC1618" s="243"/>
      <c r="AD1618" s="243"/>
      <c r="AE1618" s="243"/>
      <c r="AF1618" s="243"/>
      <c r="AG1618" s="243"/>
      <c r="AH1618" s="243"/>
      <c r="AI1618" s="243"/>
      <c r="AJ1618" s="243"/>
    </row>
    <row r="1619" hidden="1">
      <c r="A1619" s="241"/>
      <c r="B1619" s="241"/>
      <c r="C1619" s="241"/>
      <c r="D1619" s="241"/>
      <c r="E1619" s="241"/>
      <c r="F1619" s="241"/>
      <c r="G1619" s="241"/>
      <c r="H1619" s="241"/>
      <c r="I1619" s="241"/>
      <c r="J1619" s="241"/>
      <c r="K1619" s="241"/>
      <c r="L1619" s="242"/>
      <c r="M1619" s="241"/>
      <c r="N1619" s="241"/>
      <c r="O1619" s="241"/>
      <c r="P1619" s="241"/>
      <c r="Q1619" s="241"/>
      <c r="R1619" s="241"/>
      <c r="S1619" s="241"/>
      <c r="T1619" s="241"/>
      <c r="U1619" s="241"/>
      <c r="V1619" s="241"/>
      <c r="W1619" s="241"/>
      <c r="X1619" s="243"/>
      <c r="Y1619" s="243"/>
      <c r="Z1619" s="243"/>
      <c r="AA1619" s="243"/>
      <c r="AB1619" s="243"/>
      <c r="AC1619" s="243"/>
      <c r="AD1619" s="243"/>
      <c r="AE1619" s="243"/>
      <c r="AF1619" s="243"/>
      <c r="AG1619" s="243"/>
      <c r="AH1619" s="243"/>
      <c r="AI1619" s="243"/>
      <c r="AJ1619" s="243"/>
    </row>
    <row r="1620" hidden="1">
      <c r="A1620" s="241"/>
      <c r="B1620" s="241"/>
      <c r="C1620" s="241"/>
      <c r="D1620" s="241"/>
      <c r="E1620" s="241"/>
      <c r="F1620" s="241"/>
      <c r="G1620" s="241"/>
      <c r="H1620" s="241"/>
      <c r="I1620" s="241"/>
      <c r="J1620" s="241"/>
      <c r="K1620" s="241"/>
      <c r="L1620" s="242"/>
      <c r="M1620" s="241"/>
      <c r="N1620" s="241"/>
      <c r="O1620" s="241"/>
      <c r="P1620" s="241"/>
      <c r="Q1620" s="241"/>
      <c r="R1620" s="241"/>
      <c r="S1620" s="241"/>
      <c r="T1620" s="241"/>
      <c r="U1620" s="241"/>
      <c r="V1620" s="241"/>
      <c r="W1620" s="241"/>
      <c r="X1620" s="243"/>
      <c r="Y1620" s="243"/>
      <c r="Z1620" s="243"/>
      <c r="AA1620" s="243"/>
      <c r="AB1620" s="243"/>
      <c r="AC1620" s="243"/>
      <c r="AD1620" s="243"/>
      <c r="AE1620" s="243"/>
      <c r="AF1620" s="243"/>
      <c r="AG1620" s="243"/>
      <c r="AH1620" s="243"/>
      <c r="AI1620" s="243"/>
      <c r="AJ1620" s="243"/>
    </row>
    <row r="1621" hidden="1">
      <c r="A1621" s="241"/>
      <c r="B1621" s="241"/>
      <c r="C1621" s="241"/>
      <c r="D1621" s="241"/>
      <c r="E1621" s="241"/>
      <c r="F1621" s="241"/>
      <c r="G1621" s="241"/>
      <c r="H1621" s="241"/>
      <c r="I1621" s="241"/>
      <c r="J1621" s="241"/>
      <c r="K1621" s="241"/>
      <c r="L1621" s="242"/>
      <c r="M1621" s="241"/>
      <c r="N1621" s="241"/>
      <c r="O1621" s="241"/>
      <c r="P1621" s="241"/>
      <c r="Q1621" s="241"/>
      <c r="R1621" s="241"/>
      <c r="S1621" s="241"/>
      <c r="T1621" s="241"/>
      <c r="U1621" s="241"/>
      <c r="V1621" s="241"/>
      <c r="W1621" s="241"/>
      <c r="X1621" s="243"/>
      <c r="Y1621" s="243"/>
      <c r="Z1621" s="243"/>
      <c r="AA1621" s="243"/>
      <c r="AB1621" s="243"/>
      <c r="AC1621" s="243"/>
      <c r="AD1621" s="243"/>
      <c r="AE1621" s="243"/>
      <c r="AF1621" s="243"/>
      <c r="AG1621" s="243"/>
      <c r="AH1621" s="243"/>
      <c r="AI1621" s="243"/>
      <c r="AJ1621" s="243"/>
    </row>
    <row r="1622" hidden="1">
      <c r="A1622" s="241"/>
      <c r="B1622" s="241"/>
      <c r="C1622" s="241"/>
      <c r="D1622" s="241"/>
      <c r="E1622" s="241"/>
      <c r="F1622" s="241"/>
      <c r="G1622" s="241"/>
      <c r="H1622" s="241"/>
      <c r="I1622" s="241"/>
      <c r="J1622" s="241"/>
      <c r="K1622" s="241"/>
      <c r="L1622" s="242"/>
      <c r="M1622" s="241"/>
      <c r="N1622" s="241"/>
      <c r="O1622" s="241"/>
      <c r="P1622" s="241"/>
      <c r="Q1622" s="241"/>
      <c r="R1622" s="241"/>
      <c r="S1622" s="241"/>
      <c r="T1622" s="241"/>
      <c r="U1622" s="241"/>
      <c r="V1622" s="241"/>
      <c r="W1622" s="241"/>
      <c r="X1622" s="243"/>
      <c r="Y1622" s="243"/>
      <c r="Z1622" s="243"/>
      <c r="AA1622" s="243"/>
      <c r="AB1622" s="243"/>
      <c r="AC1622" s="243"/>
      <c r="AD1622" s="243"/>
      <c r="AE1622" s="243"/>
      <c r="AF1622" s="243"/>
      <c r="AG1622" s="243"/>
      <c r="AH1622" s="243"/>
      <c r="AI1622" s="243"/>
      <c r="AJ1622" s="243"/>
    </row>
    <row r="1623" hidden="1">
      <c r="A1623" s="241"/>
      <c r="B1623" s="241"/>
      <c r="C1623" s="241"/>
      <c r="D1623" s="241"/>
      <c r="E1623" s="241"/>
      <c r="F1623" s="241"/>
      <c r="G1623" s="241"/>
      <c r="H1623" s="241"/>
      <c r="I1623" s="241"/>
      <c r="J1623" s="241"/>
      <c r="K1623" s="241"/>
      <c r="L1623" s="242"/>
      <c r="M1623" s="241"/>
      <c r="N1623" s="241"/>
      <c r="O1623" s="241"/>
      <c r="P1623" s="241"/>
      <c r="Q1623" s="241"/>
      <c r="R1623" s="241"/>
      <c r="S1623" s="241"/>
      <c r="T1623" s="241"/>
      <c r="U1623" s="241"/>
      <c r="V1623" s="241"/>
      <c r="W1623" s="241"/>
      <c r="X1623" s="243"/>
      <c r="Y1623" s="243"/>
      <c r="Z1623" s="243"/>
      <c r="AA1623" s="243"/>
      <c r="AB1623" s="243"/>
      <c r="AC1623" s="243"/>
      <c r="AD1623" s="243"/>
      <c r="AE1623" s="243"/>
      <c r="AF1623" s="243"/>
      <c r="AG1623" s="243"/>
      <c r="AH1623" s="243"/>
      <c r="AI1623" s="243"/>
      <c r="AJ1623" s="243"/>
    </row>
    <row r="1624" hidden="1">
      <c r="A1624" s="241"/>
      <c r="B1624" s="241"/>
      <c r="C1624" s="241"/>
      <c r="D1624" s="241"/>
      <c r="E1624" s="241"/>
      <c r="F1624" s="241"/>
      <c r="G1624" s="241"/>
      <c r="H1624" s="241"/>
      <c r="I1624" s="241"/>
      <c r="J1624" s="241"/>
      <c r="K1624" s="241"/>
      <c r="L1624" s="242"/>
      <c r="M1624" s="241"/>
      <c r="N1624" s="241"/>
      <c r="O1624" s="241"/>
      <c r="P1624" s="241"/>
      <c r="Q1624" s="241"/>
      <c r="R1624" s="241"/>
      <c r="S1624" s="241"/>
      <c r="T1624" s="241"/>
      <c r="U1624" s="241"/>
      <c r="V1624" s="241"/>
      <c r="W1624" s="241"/>
      <c r="X1624" s="243"/>
      <c r="Y1624" s="243"/>
      <c r="Z1624" s="243"/>
      <c r="AA1624" s="243"/>
      <c r="AB1624" s="243"/>
      <c r="AC1624" s="243"/>
      <c r="AD1624" s="243"/>
      <c r="AE1624" s="243"/>
      <c r="AF1624" s="243"/>
      <c r="AG1624" s="243"/>
      <c r="AH1624" s="243"/>
      <c r="AI1624" s="243"/>
      <c r="AJ1624" s="243"/>
    </row>
    <row r="1625" hidden="1">
      <c r="A1625" s="241"/>
      <c r="B1625" s="241"/>
      <c r="C1625" s="241"/>
      <c r="D1625" s="241"/>
      <c r="E1625" s="241"/>
      <c r="F1625" s="241"/>
      <c r="G1625" s="241"/>
      <c r="H1625" s="241"/>
      <c r="I1625" s="241"/>
      <c r="J1625" s="241"/>
      <c r="K1625" s="241"/>
      <c r="L1625" s="242"/>
      <c r="M1625" s="241"/>
      <c r="N1625" s="241"/>
      <c r="O1625" s="241"/>
      <c r="P1625" s="241"/>
      <c r="Q1625" s="241"/>
      <c r="R1625" s="241"/>
      <c r="S1625" s="241"/>
      <c r="T1625" s="241"/>
      <c r="U1625" s="241"/>
      <c r="V1625" s="241"/>
      <c r="W1625" s="241"/>
      <c r="X1625" s="243"/>
      <c r="Y1625" s="243"/>
      <c r="Z1625" s="243"/>
      <c r="AA1625" s="243"/>
      <c r="AB1625" s="243"/>
      <c r="AC1625" s="243"/>
      <c r="AD1625" s="243"/>
      <c r="AE1625" s="243"/>
      <c r="AF1625" s="243"/>
      <c r="AG1625" s="243"/>
      <c r="AH1625" s="243"/>
      <c r="AI1625" s="243"/>
      <c r="AJ1625" s="243"/>
    </row>
    <row r="1626" hidden="1">
      <c r="A1626" s="241"/>
      <c r="B1626" s="241"/>
      <c r="C1626" s="241"/>
      <c r="D1626" s="241"/>
      <c r="E1626" s="241"/>
      <c r="F1626" s="241"/>
      <c r="G1626" s="241"/>
      <c r="H1626" s="241"/>
      <c r="I1626" s="241"/>
      <c r="J1626" s="241"/>
      <c r="K1626" s="241"/>
      <c r="L1626" s="242"/>
      <c r="M1626" s="241"/>
      <c r="N1626" s="241"/>
      <c r="O1626" s="241"/>
      <c r="P1626" s="241"/>
      <c r="Q1626" s="241"/>
      <c r="R1626" s="241"/>
      <c r="S1626" s="241"/>
      <c r="T1626" s="241"/>
      <c r="U1626" s="241"/>
      <c r="V1626" s="241"/>
      <c r="W1626" s="241"/>
      <c r="X1626" s="243"/>
      <c r="Y1626" s="243"/>
      <c r="Z1626" s="243"/>
      <c r="AA1626" s="243"/>
      <c r="AB1626" s="243"/>
      <c r="AC1626" s="243"/>
      <c r="AD1626" s="243"/>
      <c r="AE1626" s="243"/>
      <c r="AF1626" s="243"/>
      <c r="AG1626" s="243"/>
      <c r="AH1626" s="243"/>
      <c r="AI1626" s="243"/>
      <c r="AJ1626" s="243"/>
    </row>
    <row r="1627" hidden="1">
      <c r="A1627" s="241"/>
      <c r="B1627" s="241"/>
      <c r="C1627" s="241"/>
      <c r="D1627" s="241"/>
      <c r="E1627" s="241"/>
      <c r="F1627" s="241"/>
      <c r="G1627" s="241"/>
      <c r="H1627" s="241"/>
      <c r="I1627" s="241"/>
      <c r="J1627" s="241"/>
      <c r="K1627" s="241"/>
      <c r="L1627" s="242"/>
      <c r="M1627" s="241"/>
      <c r="N1627" s="241"/>
      <c r="O1627" s="241"/>
      <c r="P1627" s="241"/>
      <c r="Q1627" s="241"/>
      <c r="R1627" s="241"/>
      <c r="S1627" s="241"/>
      <c r="T1627" s="241"/>
      <c r="U1627" s="241"/>
      <c r="V1627" s="241"/>
      <c r="W1627" s="241"/>
      <c r="X1627" s="243"/>
      <c r="Y1627" s="243"/>
      <c r="Z1627" s="243"/>
      <c r="AA1627" s="243"/>
      <c r="AB1627" s="243"/>
      <c r="AC1627" s="243"/>
      <c r="AD1627" s="243"/>
      <c r="AE1627" s="243"/>
      <c r="AF1627" s="243"/>
      <c r="AG1627" s="243"/>
      <c r="AH1627" s="243"/>
      <c r="AI1627" s="243"/>
      <c r="AJ1627" s="243"/>
    </row>
    <row r="1628" hidden="1">
      <c r="A1628" s="241"/>
      <c r="B1628" s="241"/>
      <c r="C1628" s="241"/>
      <c r="D1628" s="241"/>
      <c r="E1628" s="241"/>
      <c r="F1628" s="241"/>
      <c r="G1628" s="241"/>
      <c r="H1628" s="241"/>
      <c r="I1628" s="241"/>
      <c r="J1628" s="241"/>
      <c r="K1628" s="241"/>
      <c r="L1628" s="242"/>
      <c r="M1628" s="241"/>
      <c r="N1628" s="241"/>
      <c r="O1628" s="241"/>
      <c r="P1628" s="241"/>
      <c r="Q1628" s="241"/>
      <c r="R1628" s="241"/>
      <c r="S1628" s="241"/>
      <c r="T1628" s="241"/>
      <c r="U1628" s="241"/>
      <c r="V1628" s="241"/>
      <c r="W1628" s="241"/>
      <c r="X1628" s="243"/>
      <c r="Y1628" s="243"/>
      <c r="Z1628" s="243"/>
      <c r="AA1628" s="243"/>
      <c r="AB1628" s="243"/>
      <c r="AC1628" s="243"/>
      <c r="AD1628" s="243"/>
      <c r="AE1628" s="243"/>
      <c r="AF1628" s="243"/>
      <c r="AG1628" s="243"/>
      <c r="AH1628" s="243"/>
      <c r="AI1628" s="243"/>
      <c r="AJ1628" s="243"/>
    </row>
    <row r="1629" hidden="1">
      <c r="A1629" s="241"/>
      <c r="B1629" s="241"/>
      <c r="C1629" s="241"/>
      <c r="D1629" s="241"/>
      <c r="E1629" s="241"/>
      <c r="F1629" s="241"/>
      <c r="G1629" s="241"/>
      <c r="H1629" s="241"/>
      <c r="I1629" s="241"/>
      <c r="J1629" s="241"/>
      <c r="K1629" s="241"/>
      <c r="L1629" s="242"/>
      <c r="M1629" s="241"/>
      <c r="N1629" s="241"/>
      <c r="O1629" s="241"/>
      <c r="P1629" s="241"/>
      <c r="Q1629" s="241"/>
      <c r="R1629" s="241"/>
      <c r="S1629" s="241"/>
      <c r="T1629" s="241"/>
      <c r="U1629" s="241"/>
      <c r="V1629" s="241"/>
      <c r="W1629" s="241"/>
      <c r="X1629" s="243"/>
      <c r="Y1629" s="243"/>
      <c r="Z1629" s="243"/>
      <c r="AA1629" s="243"/>
      <c r="AB1629" s="243"/>
      <c r="AC1629" s="243"/>
      <c r="AD1629" s="243"/>
      <c r="AE1629" s="243"/>
      <c r="AF1629" s="243"/>
      <c r="AG1629" s="243"/>
      <c r="AH1629" s="243"/>
      <c r="AI1629" s="243"/>
      <c r="AJ1629" s="243"/>
    </row>
    <row r="1630" hidden="1">
      <c r="A1630" s="241"/>
      <c r="B1630" s="241"/>
      <c r="C1630" s="241"/>
      <c r="D1630" s="241"/>
      <c r="E1630" s="241"/>
      <c r="F1630" s="241"/>
      <c r="G1630" s="241"/>
      <c r="H1630" s="241"/>
      <c r="I1630" s="241"/>
      <c r="J1630" s="241"/>
      <c r="K1630" s="241"/>
      <c r="L1630" s="242"/>
      <c r="M1630" s="241"/>
      <c r="N1630" s="241"/>
      <c r="O1630" s="241"/>
      <c r="P1630" s="241"/>
      <c r="Q1630" s="241"/>
      <c r="R1630" s="241"/>
      <c r="S1630" s="241"/>
      <c r="T1630" s="241"/>
      <c r="U1630" s="241"/>
      <c r="V1630" s="241"/>
      <c r="W1630" s="241"/>
      <c r="X1630" s="243"/>
      <c r="Y1630" s="243"/>
      <c r="Z1630" s="243"/>
      <c r="AA1630" s="243"/>
      <c r="AB1630" s="243"/>
      <c r="AC1630" s="243"/>
      <c r="AD1630" s="243"/>
      <c r="AE1630" s="243"/>
      <c r="AF1630" s="243"/>
      <c r="AG1630" s="243"/>
      <c r="AH1630" s="243"/>
      <c r="AI1630" s="243"/>
      <c r="AJ1630" s="243"/>
    </row>
    <row r="1631" hidden="1">
      <c r="A1631" s="241"/>
      <c r="B1631" s="241"/>
      <c r="C1631" s="241"/>
      <c r="D1631" s="241"/>
      <c r="E1631" s="241"/>
      <c r="F1631" s="241"/>
      <c r="G1631" s="241"/>
      <c r="H1631" s="241"/>
      <c r="I1631" s="241"/>
      <c r="J1631" s="241"/>
      <c r="K1631" s="241"/>
      <c r="L1631" s="242"/>
      <c r="M1631" s="241"/>
      <c r="N1631" s="241"/>
      <c r="O1631" s="241"/>
      <c r="P1631" s="241"/>
      <c r="Q1631" s="241"/>
      <c r="R1631" s="241"/>
      <c r="S1631" s="241"/>
      <c r="T1631" s="241"/>
      <c r="U1631" s="241"/>
      <c r="V1631" s="241"/>
      <c r="W1631" s="241"/>
      <c r="X1631" s="243"/>
      <c r="Y1631" s="243"/>
      <c r="Z1631" s="243"/>
      <c r="AA1631" s="243"/>
      <c r="AB1631" s="243"/>
      <c r="AC1631" s="243"/>
      <c r="AD1631" s="243"/>
      <c r="AE1631" s="243"/>
      <c r="AF1631" s="243"/>
      <c r="AG1631" s="243"/>
      <c r="AH1631" s="243"/>
      <c r="AI1631" s="243"/>
      <c r="AJ1631" s="243"/>
    </row>
    <row r="1632" hidden="1">
      <c r="A1632" s="241"/>
      <c r="B1632" s="241"/>
      <c r="C1632" s="241"/>
      <c r="D1632" s="241"/>
      <c r="E1632" s="241"/>
      <c r="F1632" s="241"/>
      <c r="G1632" s="241"/>
      <c r="H1632" s="241"/>
      <c r="I1632" s="241"/>
      <c r="J1632" s="241"/>
      <c r="K1632" s="241"/>
      <c r="L1632" s="242"/>
      <c r="M1632" s="241"/>
      <c r="N1632" s="241"/>
      <c r="O1632" s="241"/>
      <c r="P1632" s="241"/>
      <c r="Q1632" s="241"/>
      <c r="R1632" s="241"/>
      <c r="S1632" s="241"/>
      <c r="T1632" s="241"/>
      <c r="U1632" s="241"/>
      <c r="V1632" s="241"/>
      <c r="W1632" s="241"/>
      <c r="X1632" s="243"/>
      <c r="Y1632" s="243"/>
      <c r="Z1632" s="243"/>
      <c r="AA1632" s="243"/>
      <c r="AB1632" s="243"/>
      <c r="AC1632" s="243"/>
      <c r="AD1632" s="243"/>
      <c r="AE1632" s="243"/>
      <c r="AF1632" s="243"/>
      <c r="AG1632" s="243"/>
      <c r="AH1632" s="243"/>
      <c r="AI1632" s="243"/>
      <c r="AJ1632" s="243"/>
    </row>
    <row r="1633" hidden="1">
      <c r="A1633" s="241"/>
      <c r="B1633" s="241"/>
      <c r="C1633" s="241"/>
      <c r="D1633" s="241"/>
      <c r="E1633" s="241"/>
      <c r="F1633" s="241"/>
      <c r="G1633" s="241"/>
      <c r="H1633" s="241"/>
      <c r="I1633" s="241"/>
      <c r="J1633" s="241"/>
      <c r="K1633" s="241"/>
      <c r="L1633" s="242"/>
      <c r="M1633" s="241"/>
      <c r="N1633" s="241"/>
      <c r="O1633" s="241"/>
      <c r="P1633" s="241"/>
      <c r="Q1633" s="241"/>
      <c r="R1633" s="241"/>
      <c r="S1633" s="241"/>
      <c r="T1633" s="241"/>
      <c r="U1633" s="241"/>
      <c r="V1633" s="241"/>
      <c r="W1633" s="241"/>
      <c r="X1633" s="243"/>
      <c r="Y1633" s="243"/>
      <c r="Z1633" s="243"/>
      <c r="AA1633" s="243"/>
      <c r="AB1633" s="243"/>
      <c r="AC1633" s="243"/>
      <c r="AD1633" s="243"/>
      <c r="AE1633" s="243"/>
      <c r="AF1633" s="243"/>
      <c r="AG1633" s="243"/>
      <c r="AH1633" s="243"/>
      <c r="AI1633" s="243"/>
      <c r="AJ1633" s="243"/>
    </row>
    <row r="1634" hidden="1">
      <c r="A1634" s="241"/>
      <c r="B1634" s="241"/>
      <c r="C1634" s="241"/>
      <c r="D1634" s="241"/>
      <c r="E1634" s="241"/>
      <c r="F1634" s="241"/>
      <c r="G1634" s="241"/>
      <c r="H1634" s="241"/>
      <c r="I1634" s="241"/>
      <c r="J1634" s="241"/>
      <c r="K1634" s="241"/>
      <c r="L1634" s="242"/>
      <c r="M1634" s="241"/>
      <c r="N1634" s="241"/>
      <c r="O1634" s="241"/>
      <c r="P1634" s="241"/>
      <c r="Q1634" s="241"/>
      <c r="R1634" s="241"/>
      <c r="S1634" s="241"/>
      <c r="T1634" s="241"/>
      <c r="U1634" s="241"/>
      <c r="V1634" s="241"/>
      <c r="W1634" s="241"/>
      <c r="X1634" s="243"/>
      <c r="Y1634" s="243"/>
      <c r="Z1634" s="243"/>
      <c r="AA1634" s="243"/>
      <c r="AB1634" s="243"/>
      <c r="AC1634" s="243"/>
      <c r="AD1634" s="243"/>
      <c r="AE1634" s="243"/>
      <c r="AF1634" s="243"/>
      <c r="AG1634" s="243"/>
      <c r="AH1634" s="243"/>
      <c r="AI1634" s="243"/>
      <c r="AJ1634" s="243"/>
    </row>
    <row r="1635" hidden="1">
      <c r="A1635" s="241"/>
      <c r="B1635" s="241"/>
      <c r="C1635" s="241"/>
      <c r="D1635" s="241"/>
      <c r="E1635" s="241"/>
      <c r="F1635" s="241"/>
      <c r="G1635" s="241"/>
      <c r="H1635" s="241"/>
      <c r="I1635" s="241"/>
      <c r="J1635" s="241"/>
      <c r="K1635" s="241"/>
      <c r="L1635" s="242"/>
      <c r="M1635" s="241"/>
      <c r="N1635" s="241"/>
      <c r="O1635" s="241"/>
      <c r="P1635" s="241"/>
      <c r="Q1635" s="241"/>
      <c r="R1635" s="241"/>
      <c r="S1635" s="241"/>
      <c r="T1635" s="241"/>
      <c r="U1635" s="241"/>
      <c r="V1635" s="241"/>
      <c r="W1635" s="241"/>
      <c r="X1635" s="243"/>
      <c r="Y1635" s="243"/>
      <c r="Z1635" s="243"/>
      <c r="AA1635" s="243"/>
      <c r="AB1635" s="243"/>
      <c r="AC1635" s="243"/>
      <c r="AD1635" s="243"/>
      <c r="AE1635" s="243"/>
      <c r="AF1635" s="243"/>
      <c r="AG1635" s="243"/>
      <c r="AH1635" s="243"/>
      <c r="AI1635" s="243"/>
      <c r="AJ1635" s="243"/>
    </row>
    <row r="1636" hidden="1">
      <c r="A1636" s="241"/>
      <c r="B1636" s="241"/>
      <c r="C1636" s="241"/>
      <c r="D1636" s="241"/>
      <c r="E1636" s="241"/>
      <c r="F1636" s="241"/>
      <c r="G1636" s="241"/>
      <c r="H1636" s="241"/>
      <c r="I1636" s="241"/>
      <c r="J1636" s="241"/>
      <c r="K1636" s="241"/>
      <c r="L1636" s="242"/>
      <c r="M1636" s="241"/>
      <c r="N1636" s="241"/>
      <c r="O1636" s="241"/>
      <c r="P1636" s="241"/>
      <c r="Q1636" s="241"/>
      <c r="R1636" s="241"/>
      <c r="S1636" s="241"/>
      <c r="T1636" s="241"/>
      <c r="U1636" s="241"/>
      <c r="V1636" s="241"/>
      <c r="W1636" s="241"/>
      <c r="X1636" s="243"/>
      <c r="Y1636" s="243"/>
      <c r="Z1636" s="243"/>
      <c r="AA1636" s="243"/>
      <c r="AB1636" s="243"/>
      <c r="AC1636" s="243"/>
      <c r="AD1636" s="243"/>
      <c r="AE1636" s="243"/>
      <c r="AF1636" s="243"/>
      <c r="AG1636" s="243"/>
      <c r="AH1636" s="243"/>
      <c r="AI1636" s="243"/>
      <c r="AJ1636" s="243"/>
    </row>
    <row r="1637" hidden="1">
      <c r="A1637" s="241"/>
      <c r="B1637" s="241"/>
      <c r="C1637" s="241"/>
      <c r="D1637" s="241"/>
      <c r="E1637" s="241"/>
      <c r="F1637" s="241"/>
      <c r="G1637" s="241"/>
      <c r="H1637" s="241"/>
      <c r="I1637" s="241"/>
      <c r="J1637" s="241"/>
      <c r="K1637" s="241"/>
      <c r="L1637" s="242"/>
      <c r="M1637" s="241"/>
      <c r="N1637" s="241"/>
      <c r="O1637" s="241"/>
      <c r="P1637" s="241"/>
      <c r="Q1637" s="241"/>
      <c r="R1637" s="241"/>
      <c r="S1637" s="241"/>
      <c r="T1637" s="241"/>
      <c r="U1637" s="241"/>
      <c r="V1637" s="241"/>
      <c r="W1637" s="241"/>
      <c r="X1637" s="243"/>
      <c r="Y1637" s="243"/>
      <c r="Z1637" s="243"/>
      <c r="AA1637" s="243"/>
      <c r="AB1637" s="243"/>
      <c r="AC1637" s="243"/>
      <c r="AD1637" s="243"/>
      <c r="AE1637" s="243"/>
      <c r="AF1637" s="243"/>
      <c r="AG1637" s="243"/>
      <c r="AH1637" s="243"/>
      <c r="AI1637" s="243"/>
      <c r="AJ1637" s="243"/>
    </row>
    <row r="1638" hidden="1">
      <c r="A1638" s="241"/>
      <c r="B1638" s="241"/>
      <c r="C1638" s="241"/>
      <c r="D1638" s="241"/>
      <c r="E1638" s="241"/>
      <c r="F1638" s="241"/>
      <c r="G1638" s="241"/>
      <c r="H1638" s="241"/>
      <c r="I1638" s="241"/>
      <c r="J1638" s="241"/>
      <c r="K1638" s="241"/>
      <c r="L1638" s="242"/>
      <c r="M1638" s="241"/>
      <c r="N1638" s="241"/>
      <c r="O1638" s="241"/>
      <c r="P1638" s="241"/>
      <c r="Q1638" s="241"/>
      <c r="R1638" s="241"/>
      <c r="S1638" s="241"/>
      <c r="T1638" s="241"/>
      <c r="U1638" s="241"/>
      <c r="V1638" s="241"/>
      <c r="W1638" s="241"/>
      <c r="X1638" s="243"/>
      <c r="Y1638" s="243"/>
      <c r="Z1638" s="243"/>
      <c r="AA1638" s="243"/>
      <c r="AB1638" s="243"/>
      <c r="AC1638" s="243"/>
      <c r="AD1638" s="243"/>
      <c r="AE1638" s="243"/>
      <c r="AF1638" s="243"/>
      <c r="AG1638" s="243"/>
      <c r="AH1638" s="243"/>
      <c r="AI1638" s="243"/>
      <c r="AJ1638" s="243"/>
    </row>
    <row r="1639" hidden="1">
      <c r="A1639" s="241"/>
      <c r="B1639" s="241"/>
      <c r="C1639" s="241"/>
      <c r="D1639" s="241"/>
      <c r="E1639" s="241"/>
      <c r="F1639" s="241"/>
      <c r="G1639" s="241"/>
      <c r="H1639" s="241"/>
      <c r="I1639" s="241"/>
      <c r="J1639" s="241"/>
      <c r="K1639" s="241"/>
      <c r="L1639" s="242"/>
      <c r="M1639" s="241"/>
      <c r="N1639" s="241"/>
      <c r="O1639" s="241"/>
      <c r="P1639" s="241"/>
      <c r="Q1639" s="241"/>
      <c r="R1639" s="241"/>
      <c r="S1639" s="241"/>
      <c r="T1639" s="241"/>
      <c r="U1639" s="241"/>
      <c r="V1639" s="241"/>
      <c r="W1639" s="241"/>
      <c r="X1639" s="243"/>
      <c r="Y1639" s="243"/>
      <c r="Z1639" s="243"/>
      <c r="AA1639" s="243"/>
      <c r="AB1639" s="243"/>
      <c r="AC1639" s="243"/>
      <c r="AD1639" s="243"/>
      <c r="AE1639" s="243"/>
      <c r="AF1639" s="243"/>
      <c r="AG1639" s="243"/>
      <c r="AH1639" s="243"/>
      <c r="AI1639" s="243"/>
      <c r="AJ1639" s="243"/>
    </row>
    <row r="1640" hidden="1">
      <c r="A1640" s="241"/>
      <c r="B1640" s="241"/>
      <c r="C1640" s="241"/>
      <c r="D1640" s="241"/>
      <c r="E1640" s="241"/>
      <c r="F1640" s="241"/>
      <c r="G1640" s="241"/>
      <c r="H1640" s="241"/>
      <c r="I1640" s="241"/>
      <c r="J1640" s="241"/>
      <c r="K1640" s="241"/>
      <c r="L1640" s="242"/>
      <c r="M1640" s="241"/>
      <c r="N1640" s="241"/>
      <c r="O1640" s="241"/>
      <c r="P1640" s="241"/>
      <c r="Q1640" s="241"/>
      <c r="R1640" s="241"/>
      <c r="S1640" s="241"/>
      <c r="T1640" s="241"/>
      <c r="U1640" s="241"/>
      <c r="V1640" s="241"/>
      <c r="W1640" s="241"/>
      <c r="X1640" s="243"/>
      <c r="Y1640" s="243"/>
      <c r="Z1640" s="243"/>
      <c r="AA1640" s="243"/>
      <c r="AB1640" s="243"/>
      <c r="AC1640" s="243"/>
      <c r="AD1640" s="243"/>
      <c r="AE1640" s="243"/>
      <c r="AF1640" s="243"/>
      <c r="AG1640" s="243"/>
      <c r="AH1640" s="243"/>
      <c r="AI1640" s="243"/>
      <c r="AJ1640" s="243"/>
    </row>
    <row r="1641" hidden="1">
      <c r="A1641" s="241"/>
      <c r="B1641" s="241"/>
      <c r="C1641" s="241"/>
      <c r="D1641" s="241"/>
      <c r="E1641" s="241"/>
      <c r="F1641" s="241"/>
      <c r="G1641" s="241"/>
      <c r="H1641" s="241"/>
      <c r="I1641" s="241"/>
      <c r="J1641" s="241"/>
      <c r="K1641" s="241"/>
      <c r="L1641" s="242"/>
      <c r="M1641" s="241"/>
      <c r="N1641" s="241"/>
      <c r="O1641" s="241"/>
      <c r="P1641" s="241"/>
      <c r="Q1641" s="241"/>
      <c r="R1641" s="241"/>
      <c r="S1641" s="241"/>
      <c r="T1641" s="241"/>
      <c r="U1641" s="241"/>
      <c r="V1641" s="241"/>
      <c r="W1641" s="241"/>
      <c r="X1641" s="243"/>
      <c r="Y1641" s="243"/>
      <c r="Z1641" s="243"/>
      <c r="AA1641" s="243"/>
      <c r="AB1641" s="243"/>
      <c r="AC1641" s="243"/>
      <c r="AD1641" s="243"/>
      <c r="AE1641" s="243"/>
      <c r="AF1641" s="243"/>
      <c r="AG1641" s="243"/>
      <c r="AH1641" s="243"/>
      <c r="AI1641" s="243"/>
      <c r="AJ1641" s="243"/>
    </row>
    <row r="1642" hidden="1">
      <c r="A1642" s="241"/>
      <c r="B1642" s="241"/>
      <c r="C1642" s="241"/>
      <c r="D1642" s="241"/>
      <c r="E1642" s="241"/>
      <c r="F1642" s="241"/>
      <c r="G1642" s="241"/>
      <c r="H1642" s="241"/>
      <c r="I1642" s="241"/>
      <c r="J1642" s="241"/>
      <c r="K1642" s="241"/>
      <c r="L1642" s="242"/>
      <c r="M1642" s="241"/>
      <c r="N1642" s="241"/>
      <c r="O1642" s="241"/>
      <c r="P1642" s="241"/>
      <c r="Q1642" s="241"/>
      <c r="R1642" s="241"/>
      <c r="S1642" s="241"/>
      <c r="T1642" s="241"/>
      <c r="U1642" s="241"/>
      <c r="V1642" s="241"/>
      <c r="W1642" s="241"/>
      <c r="X1642" s="243"/>
      <c r="Y1642" s="243"/>
      <c r="Z1642" s="243"/>
      <c r="AA1642" s="243"/>
      <c r="AB1642" s="243"/>
      <c r="AC1642" s="243"/>
      <c r="AD1642" s="243"/>
      <c r="AE1642" s="243"/>
      <c r="AF1642" s="243"/>
      <c r="AG1642" s="243"/>
      <c r="AH1642" s="243"/>
      <c r="AI1642" s="243"/>
      <c r="AJ1642" s="243"/>
    </row>
    <row r="1643" hidden="1">
      <c r="A1643" s="241"/>
      <c r="B1643" s="241"/>
      <c r="C1643" s="241"/>
      <c r="D1643" s="241"/>
      <c r="E1643" s="241"/>
      <c r="F1643" s="241"/>
      <c r="G1643" s="241"/>
      <c r="H1643" s="241"/>
      <c r="I1643" s="241"/>
      <c r="J1643" s="241"/>
      <c r="K1643" s="241"/>
      <c r="L1643" s="242"/>
      <c r="M1643" s="241"/>
      <c r="N1643" s="241"/>
      <c r="O1643" s="241"/>
      <c r="P1643" s="241"/>
      <c r="Q1643" s="241"/>
      <c r="R1643" s="241"/>
      <c r="S1643" s="241"/>
      <c r="T1643" s="241"/>
      <c r="U1643" s="241"/>
      <c r="V1643" s="241"/>
      <c r="W1643" s="241"/>
      <c r="X1643" s="243"/>
      <c r="Y1643" s="243"/>
      <c r="Z1643" s="243"/>
      <c r="AA1643" s="243"/>
      <c r="AB1643" s="243"/>
      <c r="AC1643" s="243"/>
      <c r="AD1643" s="243"/>
      <c r="AE1643" s="243"/>
      <c r="AF1643" s="243"/>
      <c r="AG1643" s="243"/>
      <c r="AH1643" s="243"/>
      <c r="AI1643" s="243"/>
      <c r="AJ1643" s="243"/>
    </row>
    <row r="1644" hidden="1">
      <c r="A1644" s="241"/>
      <c r="B1644" s="241"/>
      <c r="C1644" s="241"/>
      <c r="D1644" s="241"/>
      <c r="E1644" s="241"/>
      <c r="F1644" s="241"/>
      <c r="G1644" s="241"/>
      <c r="H1644" s="241"/>
      <c r="I1644" s="241"/>
      <c r="J1644" s="241"/>
      <c r="K1644" s="241"/>
      <c r="L1644" s="242"/>
      <c r="M1644" s="241"/>
      <c r="N1644" s="241"/>
      <c r="O1644" s="241"/>
      <c r="P1644" s="241"/>
      <c r="Q1644" s="241"/>
      <c r="R1644" s="241"/>
      <c r="S1644" s="241"/>
      <c r="T1644" s="241"/>
      <c r="U1644" s="241"/>
      <c r="V1644" s="241"/>
      <c r="W1644" s="241"/>
      <c r="X1644" s="243"/>
      <c r="Y1644" s="243"/>
      <c r="Z1644" s="243"/>
      <c r="AA1644" s="243"/>
      <c r="AB1644" s="243"/>
      <c r="AC1644" s="243"/>
      <c r="AD1644" s="243"/>
      <c r="AE1644" s="243"/>
      <c r="AF1644" s="243"/>
      <c r="AG1644" s="243"/>
      <c r="AH1644" s="243"/>
      <c r="AI1644" s="243"/>
      <c r="AJ1644" s="243"/>
    </row>
    <row r="1645" hidden="1">
      <c r="A1645" s="241"/>
      <c r="B1645" s="241"/>
      <c r="C1645" s="241"/>
      <c r="D1645" s="241"/>
      <c r="E1645" s="241"/>
      <c r="F1645" s="241"/>
      <c r="G1645" s="241"/>
      <c r="H1645" s="241"/>
      <c r="I1645" s="241"/>
      <c r="J1645" s="241"/>
      <c r="K1645" s="241"/>
      <c r="L1645" s="242"/>
      <c r="M1645" s="241"/>
      <c r="N1645" s="241"/>
      <c r="O1645" s="241"/>
      <c r="P1645" s="241"/>
      <c r="Q1645" s="241"/>
      <c r="R1645" s="241"/>
      <c r="S1645" s="241"/>
      <c r="T1645" s="241"/>
      <c r="U1645" s="241"/>
      <c r="V1645" s="241"/>
      <c r="W1645" s="241"/>
      <c r="X1645" s="243"/>
      <c r="Y1645" s="243"/>
      <c r="Z1645" s="243"/>
      <c r="AA1645" s="243"/>
      <c r="AB1645" s="243"/>
      <c r="AC1645" s="243"/>
      <c r="AD1645" s="243"/>
      <c r="AE1645" s="243"/>
      <c r="AF1645" s="243"/>
      <c r="AG1645" s="243"/>
      <c r="AH1645" s="243"/>
      <c r="AI1645" s="243"/>
      <c r="AJ1645" s="243"/>
    </row>
    <row r="1646" hidden="1">
      <c r="A1646" s="241"/>
      <c r="B1646" s="241"/>
      <c r="C1646" s="241"/>
      <c r="D1646" s="241"/>
      <c r="E1646" s="241"/>
      <c r="F1646" s="241"/>
      <c r="G1646" s="241"/>
      <c r="H1646" s="241"/>
      <c r="I1646" s="241"/>
      <c r="J1646" s="241"/>
      <c r="K1646" s="241"/>
      <c r="L1646" s="242"/>
      <c r="M1646" s="241"/>
      <c r="N1646" s="241"/>
      <c r="O1646" s="241"/>
      <c r="P1646" s="241"/>
      <c r="Q1646" s="241"/>
      <c r="R1646" s="241"/>
      <c r="S1646" s="241"/>
      <c r="T1646" s="241"/>
      <c r="U1646" s="241"/>
      <c r="V1646" s="241"/>
      <c r="W1646" s="241"/>
      <c r="X1646" s="243"/>
      <c r="Y1646" s="243"/>
      <c r="Z1646" s="243"/>
      <c r="AA1646" s="243"/>
      <c r="AB1646" s="243"/>
      <c r="AC1646" s="243"/>
      <c r="AD1646" s="243"/>
      <c r="AE1646" s="243"/>
      <c r="AF1646" s="243"/>
      <c r="AG1646" s="243"/>
      <c r="AH1646" s="243"/>
      <c r="AI1646" s="243"/>
      <c r="AJ1646" s="243"/>
    </row>
    <row r="1647" hidden="1">
      <c r="A1647" s="241"/>
      <c r="B1647" s="241"/>
      <c r="C1647" s="241"/>
      <c r="D1647" s="241"/>
      <c r="E1647" s="241"/>
      <c r="F1647" s="241"/>
      <c r="G1647" s="241"/>
      <c r="H1647" s="241"/>
      <c r="I1647" s="241"/>
      <c r="J1647" s="241"/>
      <c r="K1647" s="241"/>
      <c r="L1647" s="242"/>
      <c r="M1647" s="241"/>
      <c r="N1647" s="241"/>
      <c r="O1647" s="241"/>
      <c r="P1647" s="241"/>
      <c r="Q1647" s="241"/>
      <c r="R1647" s="241"/>
      <c r="S1647" s="241"/>
      <c r="T1647" s="241"/>
      <c r="U1647" s="241"/>
      <c r="V1647" s="241"/>
      <c r="W1647" s="241"/>
      <c r="X1647" s="243"/>
      <c r="Y1647" s="243"/>
      <c r="Z1647" s="243"/>
      <c r="AA1647" s="243"/>
      <c r="AB1647" s="243"/>
      <c r="AC1647" s="243"/>
      <c r="AD1647" s="243"/>
      <c r="AE1647" s="243"/>
      <c r="AF1647" s="243"/>
      <c r="AG1647" s="243"/>
      <c r="AH1647" s="243"/>
      <c r="AI1647" s="243"/>
      <c r="AJ1647" s="243"/>
    </row>
    <row r="1648" hidden="1">
      <c r="A1648" s="241"/>
      <c r="B1648" s="241"/>
      <c r="C1648" s="241"/>
      <c r="D1648" s="241"/>
      <c r="E1648" s="241"/>
      <c r="F1648" s="241"/>
      <c r="G1648" s="241"/>
      <c r="H1648" s="241"/>
      <c r="I1648" s="241"/>
      <c r="J1648" s="241"/>
      <c r="K1648" s="241"/>
      <c r="L1648" s="242"/>
      <c r="M1648" s="241"/>
      <c r="N1648" s="241"/>
      <c r="O1648" s="241"/>
      <c r="P1648" s="241"/>
      <c r="Q1648" s="241"/>
      <c r="R1648" s="241"/>
      <c r="S1648" s="241"/>
      <c r="T1648" s="241"/>
      <c r="U1648" s="241"/>
      <c r="V1648" s="241"/>
      <c r="W1648" s="241"/>
      <c r="X1648" s="243"/>
      <c r="Y1648" s="243"/>
      <c r="Z1648" s="243"/>
      <c r="AA1648" s="243"/>
      <c r="AB1648" s="243"/>
      <c r="AC1648" s="243"/>
      <c r="AD1648" s="243"/>
      <c r="AE1648" s="243"/>
      <c r="AF1648" s="243"/>
      <c r="AG1648" s="243"/>
      <c r="AH1648" s="243"/>
      <c r="AI1648" s="243"/>
      <c r="AJ1648" s="243"/>
    </row>
    <row r="1649" hidden="1">
      <c r="A1649" s="241"/>
      <c r="B1649" s="241"/>
      <c r="C1649" s="241"/>
      <c r="D1649" s="241"/>
      <c r="E1649" s="241"/>
      <c r="F1649" s="241"/>
      <c r="G1649" s="241"/>
      <c r="H1649" s="241"/>
      <c r="I1649" s="241"/>
      <c r="J1649" s="241"/>
      <c r="K1649" s="241"/>
      <c r="L1649" s="242"/>
      <c r="M1649" s="241"/>
      <c r="N1649" s="241"/>
      <c r="O1649" s="241"/>
      <c r="P1649" s="241"/>
      <c r="Q1649" s="241"/>
      <c r="R1649" s="241"/>
      <c r="S1649" s="241"/>
      <c r="T1649" s="241"/>
      <c r="U1649" s="241"/>
      <c r="V1649" s="241"/>
      <c r="W1649" s="241"/>
      <c r="X1649" s="243"/>
      <c r="Y1649" s="243"/>
      <c r="Z1649" s="243"/>
      <c r="AA1649" s="243"/>
      <c r="AB1649" s="243"/>
      <c r="AC1649" s="243"/>
      <c r="AD1649" s="243"/>
      <c r="AE1649" s="243"/>
      <c r="AF1649" s="243"/>
      <c r="AG1649" s="243"/>
      <c r="AH1649" s="243"/>
      <c r="AI1649" s="243"/>
      <c r="AJ1649" s="243"/>
    </row>
    <row r="1650" hidden="1">
      <c r="A1650" s="241"/>
      <c r="B1650" s="241"/>
      <c r="C1650" s="241"/>
      <c r="D1650" s="241"/>
      <c r="E1650" s="241"/>
      <c r="F1650" s="241"/>
      <c r="G1650" s="241"/>
      <c r="H1650" s="241"/>
      <c r="I1650" s="241"/>
      <c r="J1650" s="241"/>
      <c r="K1650" s="241"/>
      <c r="L1650" s="242"/>
      <c r="M1650" s="241"/>
      <c r="N1650" s="241"/>
      <c r="O1650" s="241"/>
      <c r="P1650" s="241"/>
      <c r="Q1650" s="241"/>
      <c r="R1650" s="241"/>
      <c r="S1650" s="241"/>
      <c r="T1650" s="241"/>
      <c r="U1650" s="241"/>
      <c r="V1650" s="241"/>
      <c r="W1650" s="241"/>
      <c r="X1650" s="243"/>
      <c r="Y1650" s="243"/>
      <c r="Z1650" s="243"/>
      <c r="AA1650" s="243"/>
      <c r="AB1650" s="243"/>
      <c r="AC1650" s="243"/>
      <c r="AD1650" s="243"/>
      <c r="AE1650" s="243"/>
      <c r="AF1650" s="243"/>
      <c r="AG1650" s="243"/>
      <c r="AH1650" s="243"/>
      <c r="AI1650" s="243"/>
      <c r="AJ1650" s="243"/>
    </row>
    <row r="1651" hidden="1">
      <c r="A1651" s="241"/>
      <c r="B1651" s="241"/>
      <c r="C1651" s="241"/>
      <c r="D1651" s="241"/>
      <c r="E1651" s="241"/>
      <c r="F1651" s="241"/>
      <c r="G1651" s="241"/>
      <c r="H1651" s="241"/>
      <c r="I1651" s="241"/>
      <c r="J1651" s="241"/>
      <c r="K1651" s="241"/>
      <c r="L1651" s="242"/>
      <c r="M1651" s="241"/>
      <c r="N1651" s="241"/>
      <c r="O1651" s="241"/>
      <c r="P1651" s="241"/>
      <c r="Q1651" s="241"/>
      <c r="R1651" s="241"/>
      <c r="S1651" s="241"/>
      <c r="T1651" s="241"/>
      <c r="U1651" s="241"/>
      <c r="V1651" s="241"/>
      <c r="W1651" s="241"/>
      <c r="X1651" s="243"/>
      <c r="Y1651" s="243"/>
      <c r="Z1651" s="243"/>
      <c r="AA1651" s="243"/>
      <c r="AB1651" s="243"/>
      <c r="AC1651" s="243"/>
      <c r="AD1651" s="243"/>
      <c r="AE1651" s="243"/>
      <c r="AF1651" s="243"/>
      <c r="AG1651" s="243"/>
      <c r="AH1651" s="243"/>
      <c r="AI1651" s="243"/>
      <c r="AJ1651" s="243"/>
    </row>
    <row r="1652" hidden="1">
      <c r="A1652" s="241"/>
      <c r="B1652" s="241"/>
      <c r="C1652" s="241"/>
      <c r="D1652" s="241"/>
      <c r="E1652" s="241"/>
      <c r="F1652" s="241"/>
      <c r="G1652" s="241"/>
      <c r="H1652" s="241"/>
      <c r="I1652" s="241"/>
      <c r="J1652" s="241"/>
      <c r="K1652" s="241"/>
      <c r="L1652" s="242"/>
      <c r="M1652" s="241"/>
      <c r="N1652" s="241"/>
      <c r="O1652" s="241"/>
      <c r="P1652" s="241"/>
      <c r="Q1652" s="241"/>
      <c r="R1652" s="241"/>
      <c r="S1652" s="241"/>
      <c r="T1652" s="241"/>
      <c r="U1652" s="241"/>
      <c r="V1652" s="241"/>
      <c r="W1652" s="241"/>
      <c r="X1652" s="243"/>
      <c r="Y1652" s="243"/>
      <c r="Z1652" s="243"/>
      <c r="AA1652" s="243"/>
      <c r="AB1652" s="243"/>
      <c r="AC1652" s="243"/>
      <c r="AD1652" s="243"/>
      <c r="AE1652" s="243"/>
      <c r="AF1652" s="243"/>
      <c r="AG1652" s="243"/>
      <c r="AH1652" s="243"/>
      <c r="AI1652" s="243"/>
      <c r="AJ1652" s="243"/>
    </row>
    <row r="1653" hidden="1">
      <c r="A1653" s="241"/>
      <c r="B1653" s="241"/>
      <c r="C1653" s="241"/>
      <c r="D1653" s="241"/>
      <c r="E1653" s="241"/>
      <c r="F1653" s="241"/>
      <c r="G1653" s="241"/>
      <c r="H1653" s="241"/>
      <c r="I1653" s="241"/>
      <c r="J1653" s="241"/>
      <c r="K1653" s="241"/>
      <c r="L1653" s="242"/>
      <c r="M1653" s="241"/>
      <c r="N1653" s="241"/>
      <c r="O1653" s="241"/>
      <c r="P1653" s="241"/>
      <c r="Q1653" s="241"/>
      <c r="R1653" s="241"/>
      <c r="S1653" s="241"/>
      <c r="T1653" s="241"/>
      <c r="U1653" s="241"/>
      <c r="V1653" s="241"/>
      <c r="W1653" s="241"/>
      <c r="X1653" s="243"/>
      <c r="Y1653" s="243"/>
      <c r="Z1653" s="243"/>
      <c r="AA1653" s="243"/>
      <c r="AB1653" s="243"/>
      <c r="AC1653" s="243"/>
      <c r="AD1653" s="243"/>
      <c r="AE1653" s="243"/>
      <c r="AF1653" s="243"/>
      <c r="AG1653" s="243"/>
      <c r="AH1653" s="243"/>
      <c r="AI1653" s="243"/>
      <c r="AJ1653" s="243"/>
    </row>
    <row r="1654" hidden="1">
      <c r="A1654" s="241"/>
      <c r="B1654" s="241"/>
      <c r="C1654" s="241"/>
      <c r="D1654" s="241"/>
      <c r="E1654" s="241"/>
      <c r="F1654" s="241"/>
      <c r="G1654" s="241"/>
      <c r="H1654" s="241"/>
      <c r="I1654" s="241"/>
      <c r="J1654" s="241"/>
      <c r="K1654" s="241"/>
      <c r="L1654" s="242"/>
      <c r="M1654" s="241"/>
      <c r="N1654" s="241"/>
      <c r="O1654" s="241"/>
      <c r="P1654" s="241"/>
      <c r="Q1654" s="241"/>
      <c r="R1654" s="241"/>
      <c r="S1654" s="241"/>
      <c r="T1654" s="241"/>
      <c r="U1654" s="241"/>
      <c r="V1654" s="241"/>
      <c r="W1654" s="241"/>
      <c r="X1654" s="243"/>
      <c r="Y1654" s="243"/>
      <c r="Z1654" s="243"/>
      <c r="AA1654" s="243"/>
      <c r="AB1654" s="243"/>
      <c r="AC1654" s="243"/>
      <c r="AD1654" s="243"/>
      <c r="AE1654" s="243"/>
      <c r="AF1654" s="243"/>
      <c r="AG1654" s="243"/>
      <c r="AH1654" s="243"/>
      <c r="AI1654" s="243"/>
      <c r="AJ1654" s="243"/>
    </row>
    <row r="1655" hidden="1">
      <c r="A1655" s="241"/>
      <c r="B1655" s="241"/>
      <c r="C1655" s="241"/>
      <c r="D1655" s="241"/>
      <c r="E1655" s="241"/>
      <c r="F1655" s="241"/>
      <c r="G1655" s="241"/>
      <c r="H1655" s="241"/>
      <c r="I1655" s="241"/>
      <c r="J1655" s="241"/>
      <c r="K1655" s="241"/>
      <c r="L1655" s="242"/>
      <c r="M1655" s="241"/>
      <c r="N1655" s="241"/>
      <c r="O1655" s="241"/>
      <c r="P1655" s="241"/>
      <c r="Q1655" s="241"/>
      <c r="R1655" s="241"/>
      <c r="S1655" s="241"/>
      <c r="T1655" s="241"/>
      <c r="U1655" s="241"/>
      <c r="V1655" s="241"/>
      <c r="W1655" s="241"/>
      <c r="X1655" s="243"/>
      <c r="Y1655" s="243"/>
      <c r="Z1655" s="243"/>
      <c r="AA1655" s="243"/>
      <c r="AB1655" s="243"/>
      <c r="AC1655" s="243"/>
      <c r="AD1655" s="243"/>
      <c r="AE1655" s="243"/>
      <c r="AF1655" s="243"/>
      <c r="AG1655" s="243"/>
      <c r="AH1655" s="243"/>
      <c r="AI1655" s="243"/>
      <c r="AJ1655" s="243"/>
    </row>
    <row r="1656" hidden="1">
      <c r="A1656" s="241"/>
      <c r="B1656" s="241"/>
      <c r="C1656" s="241"/>
      <c r="D1656" s="241"/>
      <c r="E1656" s="241"/>
      <c r="F1656" s="241"/>
      <c r="G1656" s="241"/>
      <c r="H1656" s="241"/>
      <c r="I1656" s="241"/>
      <c r="J1656" s="241"/>
      <c r="K1656" s="241"/>
      <c r="L1656" s="242"/>
      <c r="M1656" s="241"/>
      <c r="N1656" s="241"/>
      <c r="O1656" s="241"/>
      <c r="P1656" s="241"/>
      <c r="Q1656" s="241"/>
      <c r="R1656" s="241"/>
      <c r="S1656" s="241"/>
      <c r="T1656" s="241"/>
      <c r="U1656" s="241"/>
      <c r="V1656" s="241"/>
      <c r="W1656" s="241"/>
      <c r="X1656" s="243"/>
      <c r="Y1656" s="243"/>
      <c r="Z1656" s="243"/>
      <c r="AA1656" s="243"/>
      <c r="AB1656" s="243"/>
      <c r="AC1656" s="243"/>
      <c r="AD1656" s="243"/>
      <c r="AE1656" s="243"/>
      <c r="AF1656" s="243"/>
      <c r="AG1656" s="243"/>
      <c r="AH1656" s="243"/>
      <c r="AI1656" s="243"/>
      <c r="AJ1656" s="243"/>
    </row>
    <row r="1657" hidden="1">
      <c r="A1657" s="241"/>
      <c r="B1657" s="241"/>
      <c r="C1657" s="241"/>
      <c r="D1657" s="241"/>
      <c r="E1657" s="241"/>
      <c r="F1657" s="241"/>
      <c r="G1657" s="241"/>
      <c r="H1657" s="241"/>
      <c r="I1657" s="241"/>
      <c r="J1657" s="241"/>
      <c r="K1657" s="241"/>
      <c r="L1657" s="242"/>
      <c r="M1657" s="241"/>
      <c r="N1657" s="241"/>
      <c r="O1657" s="241"/>
      <c r="P1657" s="241"/>
      <c r="Q1657" s="241"/>
      <c r="R1657" s="241"/>
      <c r="S1657" s="241"/>
      <c r="T1657" s="241"/>
      <c r="U1657" s="241"/>
      <c r="V1657" s="241"/>
      <c r="W1657" s="241"/>
      <c r="X1657" s="243"/>
      <c r="Y1657" s="243"/>
      <c r="Z1657" s="243"/>
      <c r="AA1657" s="243"/>
      <c r="AB1657" s="243"/>
      <c r="AC1657" s="243"/>
      <c r="AD1657" s="243"/>
      <c r="AE1657" s="243"/>
      <c r="AF1657" s="243"/>
      <c r="AG1657" s="243"/>
      <c r="AH1657" s="243"/>
      <c r="AI1657" s="243"/>
      <c r="AJ1657" s="243"/>
    </row>
    <row r="1658" hidden="1">
      <c r="A1658" s="241"/>
      <c r="B1658" s="241"/>
      <c r="C1658" s="241"/>
      <c r="D1658" s="241"/>
      <c r="E1658" s="241"/>
      <c r="F1658" s="241"/>
      <c r="G1658" s="241"/>
      <c r="H1658" s="241"/>
      <c r="I1658" s="241"/>
      <c r="J1658" s="241"/>
      <c r="K1658" s="241"/>
      <c r="L1658" s="242"/>
      <c r="M1658" s="241"/>
      <c r="N1658" s="241"/>
      <c r="O1658" s="241"/>
      <c r="P1658" s="241"/>
      <c r="Q1658" s="241"/>
      <c r="R1658" s="241"/>
      <c r="S1658" s="241"/>
      <c r="T1658" s="241"/>
      <c r="U1658" s="241"/>
      <c r="V1658" s="241"/>
      <c r="W1658" s="241"/>
      <c r="X1658" s="243"/>
      <c r="Y1658" s="243"/>
      <c r="Z1658" s="243"/>
      <c r="AA1658" s="243"/>
      <c r="AB1658" s="243"/>
      <c r="AC1658" s="243"/>
      <c r="AD1658" s="243"/>
      <c r="AE1658" s="243"/>
      <c r="AF1658" s="243"/>
      <c r="AG1658" s="243"/>
      <c r="AH1658" s="243"/>
      <c r="AI1658" s="243"/>
      <c r="AJ1658" s="243"/>
    </row>
    <row r="1659" hidden="1">
      <c r="A1659" s="241"/>
      <c r="B1659" s="241"/>
      <c r="C1659" s="241"/>
      <c r="D1659" s="241"/>
      <c r="E1659" s="241"/>
      <c r="F1659" s="241"/>
      <c r="G1659" s="241"/>
      <c r="H1659" s="241"/>
      <c r="I1659" s="241"/>
      <c r="J1659" s="241"/>
      <c r="K1659" s="241"/>
      <c r="L1659" s="242"/>
      <c r="M1659" s="241"/>
      <c r="N1659" s="241"/>
      <c r="O1659" s="241"/>
      <c r="P1659" s="241"/>
      <c r="Q1659" s="241"/>
      <c r="R1659" s="241"/>
      <c r="S1659" s="241"/>
      <c r="T1659" s="241"/>
      <c r="U1659" s="241"/>
      <c r="V1659" s="241"/>
      <c r="W1659" s="241"/>
      <c r="X1659" s="243"/>
      <c r="Y1659" s="243"/>
      <c r="Z1659" s="243"/>
      <c r="AA1659" s="243"/>
      <c r="AB1659" s="243"/>
      <c r="AC1659" s="243"/>
      <c r="AD1659" s="243"/>
      <c r="AE1659" s="243"/>
      <c r="AF1659" s="243"/>
      <c r="AG1659" s="243"/>
      <c r="AH1659" s="243"/>
      <c r="AI1659" s="243"/>
      <c r="AJ1659" s="243"/>
    </row>
    <row r="1660" hidden="1">
      <c r="A1660" s="241"/>
      <c r="B1660" s="241"/>
      <c r="C1660" s="241"/>
      <c r="D1660" s="241"/>
      <c r="E1660" s="241"/>
      <c r="F1660" s="241"/>
      <c r="G1660" s="241"/>
      <c r="H1660" s="241"/>
      <c r="I1660" s="241"/>
      <c r="J1660" s="241"/>
      <c r="K1660" s="241"/>
      <c r="L1660" s="242"/>
      <c r="M1660" s="241"/>
      <c r="N1660" s="241"/>
      <c r="O1660" s="241"/>
      <c r="P1660" s="241"/>
      <c r="Q1660" s="241"/>
      <c r="R1660" s="241"/>
      <c r="S1660" s="241"/>
      <c r="T1660" s="241"/>
      <c r="U1660" s="241"/>
      <c r="V1660" s="241"/>
      <c r="W1660" s="241"/>
      <c r="X1660" s="243"/>
      <c r="Y1660" s="243"/>
      <c r="Z1660" s="243"/>
      <c r="AA1660" s="243"/>
      <c r="AB1660" s="243"/>
      <c r="AC1660" s="243"/>
      <c r="AD1660" s="243"/>
      <c r="AE1660" s="243"/>
      <c r="AF1660" s="243"/>
      <c r="AG1660" s="243"/>
      <c r="AH1660" s="243"/>
      <c r="AI1660" s="243"/>
      <c r="AJ1660" s="243"/>
    </row>
    <row r="1661" hidden="1">
      <c r="A1661" s="241"/>
      <c r="B1661" s="241"/>
      <c r="C1661" s="241"/>
      <c r="D1661" s="241"/>
      <c r="E1661" s="241"/>
      <c r="F1661" s="241"/>
      <c r="G1661" s="241"/>
      <c r="H1661" s="241"/>
      <c r="I1661" s="241"/>
      <c r="J1661" s="241"/>
      <c r="K1661" s="241"/>
      <c r="L1661" s="242"/>
      <c r="M1661" s="241"/>
      <c r="N1661" s="241"/>
      <c r="O1661" s="241"/>
      <c r="P1661" s="241"/>
      <c r="Q1661" s="241"/>
      <c r="R1661" s="241"/>
      <c r="S1661" s="241"/>
      <c r="T1661" s="241"/>
      <c r="U1661" s="241"/>
      <c r="V1661" s="241"/>
      <c r="W1661" s="241"/>
      <c r="X1661" s="243"/>
      <c r="Y1661" s="243"/>
      <c r="Z1661" s="243"/>
      <c r="AA1661" s="243"/>
      <c r="AB1661" s="243"/>
      <c r="AC1661" s="243"/>
      <c r="AD1661" s="243"/>
      <c r="AE1661" s="243"/>
      <c r="AF1661" s="243"/>
      <c r="AG1661" s="243"/>
      <c r="AH1661" s="243"/>
      <c r="AI1661" s="243"/>
      <c r="AJ1661" s="243"/>
    </row>
    <row r="1662" hidden="1">
      <c r="A1662" s="241"/>
      <c r="B1662" s="241"/>
      <c r="C1662" s="241"/>
      <c r="D1662" s="241"/>
      <c r="E1662" s="241"/>
      <c r="F1662" s="241"/>
      <c r="G1662" s="241"/>
      <c r="H1662" s="241"/>
      <c r="I1662" s="241"/>
      <c r="J1662" s="241"/>
      <c r="K1662" s="241"/>
      <c r="L1662" s="242"/>
      <c r="M1662" s="241"/>
      <c r="N1662" s="241"/>
      <c r="O1662" s="241"/>
      <c r="P1662" s="241"/>
      <c r="Q1662" s="241"/>
      <c r="R1662" s="241"/>
      <c r="S1662" s="241"/>
      <c r="T1662" s="241"/>
      <c r="U1662" s="241"/>
      <c r="V1662" s="241"/>
      <c r="W1662" s="241"/>
      <c r="X1662" s="243"/>
      <c r="Y1662" s="243"/>
      <c r="Z1662" s="243"/>
      <c r="AA1662" s="243"/>
      <c r="AB1662" s="243"/>
      <c r="AC1662" s="243"/>
      <c r="AD1662" s="243"/>
      <c r="AE1662" s="243"/>
      <c r="AF1662" s="243"/>
      <c r="AG1662" s="243"/>
      <c r="AH1662" s="243"/>
      <c r="AI1662" s="243"/>
      <c r="AJ1662" s="243"/>
    </row>
    <row r="1663" hidden="1">
      <c r="A1663" s="241"/>
      <c r="B1663" s="241"/>
      <c r="C1663" s="241"/>
      <c r="D1663" s="241"/>
      <c r="E1663" s="241"/>
      <c r="F1663" s="241"/>
      <c r="G1663" s="241"/>
      <c r="H1663" s="241"/>
      <c r="I1663" s="241"/>
      <c r="J1663" s="241"/>
      <c r="K1663" s="241"/>
      <c r="L1663" s="242"/>
      <c r="M1663" s="241"/>
      <c r="N1663" s="241"/>
      <c r="O1663" s="241"/>
      <c r="P1663" s="241"/>
      <c r="Q1663" s="241"/>
      <c r="R1663" s="241"/>
      <c r="S1663" s="241"/>
      <c r="T1663" s="241"/>
      <c r="U1663" s="241"/>
      <c r="V1663" s="241"/>
      <c r="W1663" s="241"/>
      <c r="X1663" s="243"/>
      <c r="Y1663" s="243"/>
      <c r="Z1663" s="243"/>
      <c r="AA1663" s="243"/>
      <c r="AB1663" s="243"/>
      <c r="AC1663" s="243"/>
      <c r="AD1663" s="243"/>
      <c r="AE1663" s="243"/>
      <c r="AF1663" s="243"/>
      <c r="AG1663" s="243"/>
      <c r="AH1663" s="243"/>
      <c r="AI1663" s="243"/>
      <c r="AJ1663" s="243"/>
    </row>
    <row r="1664" hidden="1">
      <c r="A1664" s="241"/>
      <c r="B1664" s="241"/>
      <c r="C1664" s="241"/>
      <c r="D1664" s="241"/>
      <c r="E1664" s="241"/>
      <c r="F1664" s="241"/>
      <c r="G1664" s="241"/>
      <c r="H1664" s="241"/>
      <c r="I1664" s="241"/>
      <c r="J1664" s="241"/>
      <c r="K1664" s="241"/>
      <c r="L1664" s="242"/>
      <c r="M1664" s="241"/>
      <c r="N1664" s="241"/>
      <c r="O1664" s="241"/>
      <c r="P1664" s="241"/>
      <c r="Q1664" s="241"/>
      <c r="R1664" s="241"/>
      <c r="S1664" s="241"/>
      <c r="T1664" s="241"/>
      <c r="U1664" s="241"/>
      <c r="V1664" s="241"/>
      <c r="W1664" s="241"/>
      <c r="X1664" s="243"/>
      <c r="Y1664" s="243"/>
      <c r="Z1664" s="243"/>
      <c r="AA1664" s="243"/>
      <c r="AB1664" s="243"/>
      <c r="AC1664" s="243"/>
      <c r="AD1664" s="243"/>
      <c r="AE1664" s="243"/>
      <c r="AF1664" s="243"/>
      <c r="AG1664" s="243"/>
      <c r="AH1664" s="243"/>
      <c r="AI1664" s="243"/>
      <c r="AJ1664" s="243"/>
    </row>
    <row r="1665" hidden="1">
      <c r="A1665" s="241"/>
      <c r="B1665" s="241"/>
      <c r="C1665" s="241"/>
      <c r="D1665" s="241"/>
      <c r="E1665" s="241"/>
      <c r="F1665" s="241"/>
      <c r="G1665" s="241"/>
      <c r="H1665" s="241"/>
      <c r="I1665" s="241"/>
      <c r="J1665" s="241"/>
      <c r="K1665" s="241"/>
      <c r="L1665" s="242"/>
      <c r="M1665" s="241"/>
      <c r="N1665" s="241"/>
      <c r="O1665" s="241"/>
      <c r="P1665" s="241"/>
      <c r="Q1665" s="241"/>
      <c r="R1665" s="241"/>
      <c r="S1665" s="241"/>
      <c r="T1665" s="241"/>
      <c r="U1665" s="241"/>
      <c r="V1665" s="241"/>
      <c r="W1665" s="241"/>
      <c r="X1665" s="243"/>
      <c r="Y1665" s="243"/>
      <c r="Z1665" s="243"/>
      <c r="AA1665" s="243"/>
      <c r="AB1665" s="243"/>
      <c r="AC1665" s="243"/>
      <c r="AD1665" s="243"/>
      <c r="AE1665" s="243"/>
      <c r="AF1665" s="243"/>
      <c r="AG1665" s="243"/>
      <c r="AH1665" s="243"/>
      <c r="AI1665" s="243"/>
      <c r="AJ1665" s="243"/>
    </row>
    <row r="1666" hidden="1">
      <c r="A1666" s="241"/>
      <c r="B1666" s="241"/>
      <c r="C1666" s="241"/>
      <c r="D1666" s="241"/>
      <c r="E1666" s="241"/>
      <c r="F1666" s="241"/>
      <c r="G1666" s="241"/>
      <c r="H1666" s="241"/>
      <c r="I1666" s="241"/>
      <c r="J1666" s="241"/>
      <c r="K1666" s="241"/>
      <c r="L1666" s="242"/>
      <c r="M1666" s="241"/>
      <c r="N1666" s="241"/>
      <c r="O1666" s="241"/>
      <c r="P1666" s="241"/>
      <c r="Q1666" s="241"/>
      <c r="R1666" s="241"/>
      <c r="S1666" s="241"/>
      <c r="T1666" s="241"/>
      <c r="U1666" s="241"/>
      <c r="V1666" s="241"/>
      <c r="W1666" s="241"/>
      <c r="X1666" s="243"/>
      <c r="Y1666" s="243"/>
      <c r="Z1666" s="243"/>
      <c r="AA1666" s="243"/>
      <c r="AB1666" s="243"/>
      <c r="AC1666" s="243"/>
      <c r="AD1666" s="243"/>
      <c r="AE1666" s="243"/>
      <c r="AF1666" s="243"/>
      <c r="AG1666" s="243"/>
      <c r="AH1666" s="243"/>
      <c r="AI1666" s="243"/>
      <c r="AJ1666" s="243"/>
    </row>
    <row r="1667" hidden="1">
      <c r="A1667" s="241"/>
      <c r="B1667" s="241"/>
      <c r="C1667" s="241"/>
      <c r="D1667" s="241"/>
      <c r="E1667" s="241"/>
      <c r="F1667" s="241"/>
      <c r="G1667" s="241"/>
      <c r="H1667" s="241"/>
      <c r="I1667" s="241"/>
      <c r="J1667" s="241"/>
      <c r="K1667" s="241"/>
      <c r="L1667" s="242"/>
      <c r="M1667" s="241"/>
      <c r="N1667" s="241"/>
      <c r="O1667" s="241"/>
      <c r="P1667" s="241"/>
      <c r="Q1667" s="241"/>
      <c r="R1667" s="241"/>
      <c r="S1667" s="241"/>
      <c r="T1667" s="241"/>
      <c r="U1667" s="241"/>
      <c r="V1667" s="241"/>
      <c r="W1667" s="241"/>
      <c r="X1667" s="243"/>
      <c r="Y1667" s="243"/>
      <c r="Z1667" s="243"/>
      <c r="AA1667" s="243"/>
      <c r="AB1667" s="243"/>
      <c r="AC1667" s="243"/>
      <c r="AD1667" s="243"/>
      <c r="AE1667" s="243"/>
      <c r="AF1667" s="243"/>
      <c r="AG1667" s="243"/>
      <c r="AH1667" s="243"/>
      <c r="AI1667" s="243"/>
      <c r="AJ1667" s="243"/>
    </row>
    <row r="1668" hidden="1">
      <c r="A1668" s="241"/>
      <c r="B1668" s="241"/>
      <c r="C1668" s="241"/>
      <c r="D1668" s="241"/>
      <c r="E1668" s="241"/>
      <c r="F1668" s="241"/>
      <c r="G1668" s="241"/>
      <c r="H1668" s="241"/>
      <c r="I1668" s="241"/>
      <c r="J1668" s="241"/>
      <c r="K1668" s="241"/>
      <c r="L1668" s="242"/>
      <c r="M1668" s="241"/>
      <c r="N1668" s="241"/>
      <c r="O1668" s="241"/>
      <c r="P1668" s="241"/>
      <c r="Q1668" s="241"/>
      <c r="R1668" s="241"/>
      <c r="S1668" s="241"/>
      <c r="T1668" s="241"/>
      <c r="U1668" s="241"/>
      <c r="V1668" s="241"/>
      <c r="W1668" s="241"/>
      <c r="X1668" s="243"/>
      <c r="Y1668" s="243"/>
      <c r="Z1668" s="243"/>
      <c r="AA1668" s="243"/>
      <c r="AB1668" s="243"/>
      <c r="AC1668" s="243"/>
      <c r="AD1668" s="243"/>
      <c r="AE1668" s="243"/>
      <c r="AF1668" s="243"/>
      <c r="AG1668" s="243"/>
      <c r="AH1668" s="243"/>
      <c r="AI1668" s="243"/>
      <c r="AJ1668" s="243"/>
    </row>
    <row r="1669" hidden="1">
      <c r="A1669" s="241"/>
      <c r="B1669" s="241"/>
      <c r="C1669" s="241"/>
      <c r="D1669" s="241"/>
      <c r="E1669" s="241"/>
      <c r="F1669" s="241"/>
      <c r="G1669" s="241"/>
      <c r="H1669" s="241"/>
      <c r="I1669" s="241"/>
      <c r="J1669" s="241"/>
      <c r="K1669" s="241"/>
      <c r="L1669" s="242"/>
      <c r="M1669" s="241"/>
      <c r="N1669" s="241"/>
      <c r="O1669" s="241"/>
      <c r="P1669" s="241"/>
      <c r="Q1669" s="241"/>
      <c r="R1669" s="241"/>
      <c r="S1669" s="241"/>
      <c r="T1669" s="241"/>
      <c r="U1669" s="241"/>
      <c r="V1669" s="241"/>
      <c r="W1669" s="241"/>
      <c r="X1669" s="243"/>
      <c r="Y1669" s="243"/>
      <c r="Z1669" s="243"/>
      <c r="AA1669" s="243"/>
      <c r="AB1669" s="243"/>
      <c r="AC1669" s="243"/>
      <c r="AD1669" s="243"/>
      <c r="AE1669" s="243"/>
      <c r="AF1669" s="243"/>
      <c r="AG1669" s="243"/>
      <c r="AH1669" s="243"/>
      <c r="AI1669" s="243"/>
      <c r="AJ1669" s="243"/>
    </row>
    <row r="1670" hidden="1">
      <c r="A1670" s="241"/>
      <c r="B1670" s="241"/>
      <c r="C1670" s="241"/>
      <c r="D1670" s="241"/>
      <c r="E1670" s="241"/>
      <c r="F1670" s="241"/>
      <c r="G1670" s="241"/>
      <c r="H1670" s="241"/>
      <c r="I1670" s="241"/>
      <c r="J1670" s="241"/>
      <c r="K1670" s="241"/>
      <c r="L1670" s="242"/>
      <c r="M1670" s="241"/>
      <c r="N1670" s="241"/>
      <c r="O1670" s="241"/>
      <c r="P1670" s="241"/>
      <c r="Q1670" s="241"/>
      <c r="R1670" s="241"/>
      <c r="S1670" s="241"/>
      <c r="T1670" s="241"/>
      <c r="U1670" s="241"/>
      <c r="V1670" s="241"/>
      <c r="W1670" s="241"/>
      <c r="X1670" s="243"/>
      <c r="Y1670" s="243"/>
      <c r="Z1670" s="243"/>
      <c r="AA1670" s="243"/>
      <c r="AB1670" s="243"/>
      <c r="AC1670" s="243"/>
      <c r="AD1670" s="243"/>
      <c r="AE1670" s="243"/>
      <c r="AF1670" s="243"/>
      <c r="AG1670" s="243"/>
      <c r="AH1670" s="243"/>
      <c r="AI1670" s="243"/>
      <c r="AJ1670" s="243"/>
    </row>
    <row r="1671" hidden="1">
      <c r="A1671" s="241"/>
      <c r="B1671" s="241"/>
      <c r="C1671" s="241"/>
      <c r="D1671" s="241"/>
      <c r="E1671" s="241"/>
      <c r="F1671" s="241"/>
      <c r="G1671" s="241"/>
      <c r="H1671" s="241"/>
      <c r="I1671" s="241"/>
      <c r="J1671" s="241"/>
      <c r="K1671" s="241"/>
      <c r="L1671" s="242"/>
      <c r="M1671" s="241"/>
      <c r="N1671" s="241"/>
      <c r="O1671" s="241"/>
      <c r="P1671" s="241"/>
      <c r="Q1671" s="241"/>
      <c r="R1671" s="241"/>
      <c r="S1671" s="241"/>
      <c r="T1671" s="241"/>
      <c r="U1671" s="241"/>
      <c r="V1671" s="241"/>
      <c r="W1671" s="241"/>
      <c r="X1671" s="243"/>
      <c r="Y1671" s="243"/>
      <c r="Z1671" s="243"/>
      <c r="AA1671" s="243"/>
      <c r="AB1671" s="243"/>
      <c r="AC1671" s="243"/>
      <c r="AD1671" s="243"/>
      <c r="AE1671" s="243"/>
      <c r="AF1671" s="243"/>
      <c r="AG1671" s="243"/>
      <c r="AH1671" s="243"/>
      <c r="AI1671" s="243"/>
      <c r="AJ1671" s="243"/>
    </row>
    <row r="1672" hidden="1">
      <c r="A1672" s="241"/>
      <c r="B1672" s="241"/>
      <c r="C1672" s="241"/>
      <c r="D1672" s="241"/>
      <c r="E1672" s="241"/>
      <c r="F1672" s="241"/>
      <c r="G1672" s="241"/>
      <c r="H1672" s="241"/>
      <c r="I1672" s="241"/>
      <c r="J1672" s="241"/>
      <c r="K1672" s="241"/>
      <c r="L1672" s="242"/>
      <c r="M1672" s="241"/>
      <c r="N1672" s="241"/>
      <c r="O1672" s="241"/>
      <c r="P1672" s="241"/>
      <c r="Q1672" s="241"/>
      <c r="R1672" s="241"/>
      <c r="S1672" s="241"/>
      <c r="T1672" s="241"/>
      <c r="U1672" s="241"/>
      <c r="V1672" s="241"/>
      <c r="W1672" s="241"/>
      <c r="X1672" s="243"/>
      <c r="Y1672" s="243"/>
      <c r="Z1672" s="243"/>
      <c r="AA1672" s="243"/>
      <c r="AB1672" s="243"/>
      <c r="AC1672" s="243"/>
      <c r="AD1672" s="243"/>
      <c r="AE1672" s="243"/>
      <c r="AF1672" s="243"/>
      <c r="AG1672" s="243"/>
      <c r="AH1672" s="243"/>
      <c r="AI1672" s="243"/>
      <c r="AJ1672" s="243"/>
    </row>
    <row r="1673" hidden="1">
      <c r="A1673" s="241"/>
      <c r="B1673" s="241"/>
      <c r="C1673" s="241"/>
      <c r="D1673" s="241"/>
      <c r="E1673" s="241"/>
      <c r="F1673" s="241"/>
      <c r="G1673" s="241"/>
      <c r="H1673" s="241"/>
      <c r="I1673" s="241"/>
      <c r="J1673" s="241"/>
      <c r="K1673" s="241"/>
      <c r="L1673" s="242"/>
      <c r="M1673" s="241"/>
      <c r="N1673" s="241"/>
      <c r="O1673" s="241"/>
      <c r="P1673" s="241"/>
      <c r="Q1673" s="241"/>
      <c r="R1673" s="241"/>
      <c r="S1673" s="241"/>
      <c r="T1673" s="241"/>
      <c r="U1673" s="241"/>
      <c r="V1673" s="241"/>
      <c r="W1673" s="241"/>
      <c r="X1673" s="243"/>
      <c r="Y1673" s="243"/>
      <c r="Z1673" s="243"/>
      <c r="AA1673" s="243"/>
      <c r="AB1673" s="243"/>
      <c r="AC1673" s="243"/>
      <c r="AD1673" s="243"/>
      <c r="AE1673" s="243"/>
      <c r="AF1673" s="243"/>
      <c r="AG1673" s="243"/>
      <c r="AH1673" s="243"/>
      <c r="AI1673" s="243"/>
      <c r="AJ1673" s="243"/>
    </row>
    <row r="1674" hidden="1">
      <c r="A1674" s="241"/>
      <c r="B1674" s="241"/>
      <c r="C1674" s="241"/>
      <c r="D1674" s="241"/>
      <c r="E1674" s="241"/>
      <c r="F1674" s="241"/>
      <c r="G1674" s="241"/>
      <c r="H1674" s="241"/>
      <c r="I1674" s="241"/>
      <c r="J1674" s="241"/>
      <c r="K1674" s="241"/>
      <c r="L1674" s="242"/>
      <c r="M1674" s="241"/>
      <c r="N1674" s="241"/>
      <c r="O1674" s="241"/>
      <c r="P1674" s="241"/>
      <c r="Q1674" s="241"/>
      <c r="R1674" s="241"/>
      <c r="S1674" s="241"/>
      <c r="T1674" s="241"/>
      <c r="U1674" s="241"/>
      <c r="V1674" s="241"/>
      <c r="W1674" s="241"/>
      <c r="X1674" s="243"/>
      <c r="Y1674" s="243"/>
      <c r="Z1674" s="243"/>
      <c r="AA1674" s="243"/>
      <c r="AB1674" s="243"/>
      <c r="AC1674" s="243"/>
      <c r="AD1674" s="243"/>
      <c r="AE1674" s="243"/>
      <c r="AF1674" s="243"/>
      <c r="AG1674" s="243"/>
      <c r="AH1674" s="243"/>
      <c r="AI1674" s="243"/>
      <c r="AJ1674" s="243"/>
    </row>
    <row r="1675" hidden="1">
      <c r="A1675" s="241"/>
      <c r="B1675" s="241"/>
      <c r="C1675" s="241"/>
      <c r="D1675" s="241"/>
      <c r="E1675" s="241"/>
      <c r="F1675" s="241"/>
      <c r="G1675" s="241"/>
      <c r="H1675" s="241"/>
      <c r="I1675" s="241"/>
      <c r="J1675" s="241"/>
      <c r="K1675" s="241"/>
      <c r="L1675" s="242"/>
      <c r="M1675" s="241"/>
      <c r="N1675" s="241"/>
      <c r="O1675" s="241"/>
      <c r="P1675" s="241"/>
      <c r="Q1675" s="241"/>
      <c r="R1675" s="241"/>
      <c r="S1675" s="241"/>
      <c r="T1675" s="241"/>
      <c r="U1675" s="241"/>
      <c r="V1675" s="241"/>
      <c r="W1675" s="241"/>
      <c r="X1675" s="243"/>
      <c r="Y1675" s="243"/>
      <c r="Z1675" s="243"/>
      <c r="AA1675" s="243"/>
      <c r="AB1675" s="243"/>
      <c r="AC1675" s="243"/>
      <c r="AD1675" s="243"/>
      <c r="AE1675" s="243"/>
      <c r="AF1675" s="243"/>
      <c r="AG1675" s="243"/>
      <c r="AH1675" s="243"/>
      <c r="AI1675" s="243"/>
      <c r="AJ1675" s="243"/>
    </row>
    <row r="1676" hidden="1">
      <c r="A1676" s="241"/>
      <c r="B1676" s="241"/>
      <c r="C1676" s="241"/>
      <c r="D1676" s="241"/>
      <c r="E1676" s="241"/>
      <c r="F1676" s="241"/>
      <c r="G1676" s="241"/>
      <c r="H1676" s="241"/>
      <c r="I1676" s="241"/>
      <c r="J1676" s="241"/>
      <c r="K1676" s="241"/>
      <c r="L1676" s="242"/>
      <c r="M1676" s="241"/>
      <c r="N1676" s="241"/>
      <c r="O1676" s="241"/>
      <c r="P1676" s="241"/>
      <c r="Q1676" s="241"/>
      <c r="R1676" s="241"/>
      <c r="S1676" s="241"/>
      <c r="T1676" s="241"/>
      <c r="U1676" s="241"/>
      <c r="V1676" s="241"/>
      <c r="W1676" s="241"/>
      <c r="X1676" s="243"/>
      <c r="Y1676" s="243"/>
      <c r="Z1676" s="243"/>
      <c r="AA1676" s="243"/>
      <c r="AB1676" s="243"/>
      <c r="AC1676" s="243"/>
      <c r="AD1676" s="243"/>
      <c r="AE1676" s="243"/>
      <c r="AF1676" s="243"/>
      <c r="AG1676" s="243"/>
      <c r="AH1676" s="243"/>
      <c r="AI1676" s="243"/>
      <c r="AJ1676" s="243"/>
    </row>
    <row r="1677" hidden="1">
      <c r="A1677" s="241"/>
      <c r="B1677" s="241"/>
      <c r="C1677" s="241"/>
      <c r="D1677" s="241"/>
      <c r="E1677" s="241"/>
      <c r="F1677" s="241"/>
      <c r="G1677" s="241"/>
      <c r="H1677" s="241"/>
      <c r="I1677" s="241"/>
      <c r="J1677" s="241"/>
      <c r="K1677" s="241"/>
      <c r="L1677" s="242"/>
      <c r="M1677" s="241"/>
      <c r="N1677" s="241"/>
      <c r="O1677" s="241"/>
      <c r="P1677" s="241"/>
      <c r="Q1677" s="241"/>
      <c r="R1677" s="241"/>
      <c r="S1677" s="241"/>
      <c r="T1677" s="241"/>
      <c r="U1677" s="241"/>
      <c r="V1677" s="241"/>
      <c r="W1677" s="241"/>
      <c r="X1677" s="243"/>
      <c r="Y1677" s="243"/>
      <c r="Z1677" s="243"/>
      <c r="AA1677" s="243"/>
      <c r="AB1677" s="243"/>
      <c r="AC1677" s="243"/>
      <c r="AD1677" s="243"/>
      <c r="AE1677" s="243"/>
      <c r="AF1677" s="243"/>
      <c r="AG1677" s="243"/>
      <c r="AH1677" s="243"/>
      <c r="AI1677" s="243"/>
      <c r="AJ1677" s="243"/>
    </row>
    <row r="1678" hidden="1">
      <c r="A1678" s="241"/>
      <c r="B1678" s="241"/>
      <c r="C1678" s="241"/>
      <c r="D1678" s="241"/>
      <c r="E1678" s="241"/>
      <c r="F1678" s="241"/>
      <c r="G1678" s="241"/>
      <c r="H1678" s="241"/>
      <c r="I1678" s="241"/>
      <c r="J1678" s="241"/>
      <c r="K1678" s="241"/>
      <c r="L1678" s="242"/>
      <c r="M1678" s="241"/>
      <c r="N1678" s="241"/>
      <c r="O1678" s="241"/>
      <c r="P1678" s="241"/>
      <c r="Q1678" s="241"/>
      <c r="R1678" s="241"/>
      <c r="S1678" s="241"/>
      <c r="T1678" s="241"/>
      <c r="U1678" s="241"/>
      <c r="V1678" s="241"/>
      <c r="W1678" s="241"/>
      <c r="X1678" s="243"/>
      <c r="Y1678" s="243"/>
      <c r="Z1678" s="243"/>
      <c r="AA1678" s="243"/>
      <c r="AB1678" s="243"/>
      <c r="AC1678" s="243"/>
      <c r="AD1678" s="243"/>
      <c r="AE1678" s="243"/>
      <c r="AF1678" s="243"/>
      <c r="AG1678" s="243"/>
      <c r="AH1678" s="243"/>
      <c r="AI1678" s="243"/>
      <c r="AJ1678" s="243"/>
    </row>
    <row r="1679" hidden="1">
      <c r="A1679" s="241"/>
      <c r="B1679" s="241"/>
      <c r="C1679" s="241"/>
      <c r="D1679" s="241"/>
      <c r="E1679" s="241"/>
      <c r="F1679" s="241"/>
      <c r="G1679" s="241"/>
      <c r="H1679" s="241"/>
      <c r="I1679" s="241"/>
      <c r="J1679" s="241"/>
      <c r="K1679" s="241"/>
      <c r="L1679" s="242"/>
      <c r="M1679" s="241"/>
      <c r="N1679" s="241"/>
      <c r="O1679" s="241"/>
      <c r="P1679" s="241"/>
      <c r="Q1679" s="241"/>
      <c r="R1679" s="241"/>
      <c r="S1679" s="241"/>
      <c r="T1679" s="241"/>
      <c r="U1679" s="241"/>
      <c r="V1679" s="241"/>
      <c r="W1679" s="241"/>
      <c r="X1679" s="243"/>
      <c r="Y1679" s="243"/>
      <c r="Z1679" s="243"/>
      <c r="AA1679" s="243"/>
      <c r="AB1679" s="243"/>
      <c r="AC1679" s="243"/>
      <c r="AD1679" s="243"/>
      <c r="AE1679" s="243"/>
      <c r="AF1679" s="243"/>
      <c r="AG1679" s="243"/>
      <c r="AH1679" s="243"/>
      <c r="AI1679" s="243"/>
      <c r="AJ1679" s="243"/>
    </row>
    <row r="1680" hidden="1">
      <c r="A1680" s="241"/>
      <c r="B1680" s="241"/>
      <c r="C1680" s="241"/>
      <c r="D1680" s="241"/>
      <c r="E1680" s="241"/>
      <c r="F1680" s="241"/>
      <c r="G1680" s="241"/>
      <c r="H1680" s="241"/>
      <c r="I1680" s="241"/>
      <c r="J1680" s="241"/>
      <c r="K1680" s="241"/>
      <c r="L1680" s="242"/>
      <c r="M1680" s="241"/>
      <c r="N1680" s="241"/>
      <c r="O1680" s="241"/>
      <c r="P1680" s="241"/>
      <c r="Q1680" s="241"/>
      <c r="R1680" s="241"/>
      <c r="S1680" s="241"/>
      <c r="T1680" s="241"/>
      <c r="U1680" s="241"/>
      <c r="V1680" s="241"/>
      <c r="W1680" s="241"/>
      <c r="X1680" s="243"/>
      <c r="Y1680" s="243"/>
      <c r="Z1680" s="243"/>
      <c r="AA1680" s="243"/>
      <c r="AB1680" s="243"/>
      <c r="AC1680" s="243"/>
      <c r="AD1680" s="243"/>
      <c r="AE1680" s="243"/>
      <c r="AF1680" s="243"/>
      <c r="AG1680" s="243"/>
      <c r="AH1680" s="243"/>
      <c r="AI1680" s="243"/>
      <c r="AJ1680" s="243"/>
    </row>
    <row r="1681" hidden="1">
      <c r="A1681" s="241"/>
      <c r="B1681" s="241"/>
      <c r="C1681" s="241"/>
      <c r="D1681" s="241"/>
      <c r="E1681" s="241"/>
      <c r="F1681" s="241"/>
      <c r="G1681" s="241"/>
      <c r="H1681" s="241"/>
      <c r="I1681" s="241"/>
      <c r="J1681" s="241"/>
      <c r="K1681" s="241"/>
      <c r="L1681" s="242"/>
      <c r="M1681" s="241"/>
      <c r="N1681" s="241"/>
      <c r="O1681" s="241"/>
      <c r="P1681" s="241"/>
      <c r="Q1681" s="241"/>
      <c r="R1681" s="241"/>
      <c r="S1681" s="241"/>
      <c r="T1681" s="241"/>
      <c r="U1681" s="241"/>
      <c r="V1681" s="241"/>
      <c r="W1681" s="241"/>
      <c r="X1681" s="243"/>
      <c r="Y1681" s="243"/>
      <c r="Z1681" s="243"/>
      <c r="AA1681" s="243"/>
      <c r="AB1681" s="243"/>
      <c r="AC1681" s="243"/>
      <c r="AD1681" s="243"/>
      <c r="AE1681" s="243"/>
      <c r="AF1681" s="243"/>
      <c r="AG1681" s="243"/>
      <c r="AH1681" s="243"/>
      <c r="AI1681" s="243"/>
      <c r="AJ1681" s="243"/>
    </row>
    <row r="1682" hidden="1">
      <c r="A1682" s="241"/>
      <c r="B1682" s="241"/>
      <c r="C1682" s="241"/>
      <c r="D1682" s="241"/>
      <c r="E1682" s="241"/>
      <c r="F1682" s="241"/>
      <c r="G1682" s="241"/>
      <c r="H1682" s="241"/>
      <c r="I1682" s="241"/>
      <c r="J1682" s="241"/>
      <c r="K1682" s="241"/>
      <c r="L1682" s="242"/>
      <c r="M1682" s="241"/>
      <c r="N1682" s="241"/>
      <c r="O1682" s="241"/>
      <c r="P1682" s="241"/>
      <c r="Q1682" s="241"/>
      <c r="R1682" s="241"/>
      <c r="S1682" s="241"/>
      <c r="T1682" s="241"/>
      <c r="U1682" s="241"/>
      <c r="V1682" s="241"/>
      <c r="W1682" s="241"/>
      <c r="X1682" s="243"/>
      <c r="Y1682" s="243"/>
      <c r="Z1682" s="243"/>
      <c r="AA1682" s="243"/>
      <c r="AB1682" s="243"/>
      <c r="AC1682" s="243"/>
      <c r="AD1682" s="243"/>
      <c r="AE1682" s="243"/>
      <c r="AF1682" s="243"/>
      <c r="AG1682" s="243"/>
      <c r="AH1682" s="243"/>
      <c r="AI1682" s="243"/>
      <c r="AJ1682" s="243"/>
    </row>
    <row r="1683" hidden="1">
      <c r="A1683" s="241"/>
      <c r="B1683" s="241"/>
      <c r="C1683" s="241"/>
      <c r="D1683" s="241"/>
      <c r="E1683" s="241"/>
      <c r="F1683" s="241"/>
      <c r="G1683" s="241"/>
      <c r="H1683" s="241"/>
      <c r="I1683" s="241"/>
      <c r="J1683" s="241"/>
      <c r="K1683" s="241"/>
      <c r="L1683" s="242"/>
      <c r="M1683" s="241"/>
      <c r="N1683" s="241"/>
      <c r="O1683" s="241"/>
      <c r="P1683" s="241"/>
      <c r="Q1683" s="241"/>
      <c r="R1683" s="241"/>
      <c r="S1683" s="241"/>
      <c r="T1683" s="241"/>
      <c r="U1683" s="241"/>
      <c r="V1683" s="241"/>
      <c r="W1683" s="241"/>
      <c r="X1683" s="243"/>
      <c r="Y1683" s="243"/>
      <c r="Z1683" s="243"/>
      <c r="AA1683" s="243"/>
      <c r="AB1683" s="243"/>
      <c r="AC1683" s="243"/>
      <c r="AD1683" s="243"/>
      <c r="AE1683" s="243"/>
      <c r="AF1683" s="243"/>
      <c r="AG1683" s="243"/>
      <c r="AH1683" s="243"/>
      <c r="AI1683" s="243"/>
      <c r="AJ1683" s="243"/>
    </row>
    <row r="1684" hidden="1">
      <c r="A1684" s="241"/>
      <c r="B1684" s="241"/>
      <c r="C1684" s="241"/>
      <c r="D1684" s="241"/>
      <c r="E1684" s="241"/>
      <c r="F1684" s="241"/>
      <c r="G1684" s="241"/>
      <c r="H1684" s="241"/>
      <c r="I1684" s="241"/>
      <c r="J1684" s="241"/>
      <c r="K1684" s="241"/>
      <c r="L1684" s="242"/>
      <c r="M1684" s="241"/>
      <c r="N1684" s="241"/>
      <c r="O1684" s="241"/>
      <c r="P1684" s="241"/>
      <c r="Q1684" s="241"/>
      <c r="R1684" s="241"/>
      <c r="S1684" s="241"/>
      <c r="T1684" s="241"/>
      <c r="U1684" s="241"/>
      <c r="V1684" s="241"/>
      <c r="W1684" s="241"/>
      <c r="X1684" s="243"/>
      <c r="Y1684" s="243"/>
      <c r="Z1684" s="243"/>
      <c r="AA1684" s="243"/>
      <c r="AB1684" s="243"/>
      <c r="AC1684" s="243"/>
      <c r="AD1684" s="243"/>
      <c r="AE1684" s="243"/>
      <c r="AF1684" s="243"/>
      <c r="AG1684" s="243"/>
      <c r="AH1684" s="243"/>
      <c r="AI1684" s="243"/>
      <c r="AJ1684" s="243"/>
    </row>
    <row r="1685" hidden="1">
      <c r="A1685" s="241"/>
      <c r="B1685" s="241"/>
      <c r="C1685" s="241"/>
      <c r="D1685" s="241"/>
      <c r="E1685" s="241"/>
      <c r="F1685" s="241"/>
      <c r="G1685" s="241"/>
      <c r="H1685" s="241"/>
      <c r="I1685" s="241"/>
      <c r="J1685" s="241"/>
      <c r="K1685" s="241"/>
      <c r="L1685" s="242"/>
      <c r="M1685" s="241"/>
      <c r="N1685" s="241"/>
      <c r="O1685" s="241"/>
      <c r="P1685" s="241"/>
      <c r="Q1685" s="241"/>
      <c r="R1685" s="241"/>
      <c r="S1685" s="241"/>
      <c r="T1685" s="241"/>
      <c r="U1685" s="241"/>
      <c r="V1685" s="241"/>
      <c r="W1685" s="241"/>
      <c r="X1685" s="243"/>
      <c r="Y1685" s="243"/>
      <c r="Z1685" s="243"/>
      <c r="AA1685" s="243"/>
      <c r="AB1685" s="243"/>
      <c r="AC1685" s="243"/>
      <c r="AD1685" s="243"/>
      <c r="AE1685" s="243"/>
      <c r="AF1685" s="243"/>
      <c r="AG1685" s="243"/>
      <c r="AH1685" s="243"/>
      <c r="AI1685" s="243"/>
      <c r="AJ1685" s="243"/>
    </row>
    <row r="1686" hidden="1">
      <c r="A1686" s="241"/>
      <c r="B1686" s="241"/>
      <c r="C1686" s="241"/>
      <c r="D1686" s="241"/>
      <c r="E1686" s="241"/>
      <c r="F1686" s="241"/>
      <c r="G1686" s="241"/>
      <c r="H1686" s="241"/>
      <c r="I1686" s="241"/>
      <c r="J1686" s="241"/>
      <c r="K1686" s="241"/>
      <c r="L1686" s="242"/>
      <c r="M1686" s="241"/>
      <c r="N1686" s="241"/>
      <c r="O1686" s="241"/>
      <c r="P1686" s="241"/>
      <c r="Q1686" s="241"/>
      <c r="R1686" s="241"/>
      <c r="S1686" s="241"/>
      <c r="T1686" s="241"/>
      <c r="U1686" s="241"/>
      <c r="V1686" s="241"/>
      <c r="W1686" s="241"/>
      <c r="X1686" s="243"/>
      <c r="Y1686" s="243"/>
      <c r="Z1686" s="243"/>
      <c r="AA1686" s="243"/>
      <c r="AB1686" s="243"/>
      <c r="AC1686" s="243"/>
      <c r="AD1686" s="243"/>
      <c r="AE1686" s="243"/>
      <c r="AF1686" s="243"/>
      <c r="AG1686" s="243"/>
      <c r="AH1686" s="243"/>
      <c r="AI1686" s="243"/>
      <c r="AJ1686" s="243"/>
    </row>
    <row r="1687" hidden="1">
      <c r="A1687" s="241"/>
      <c r="B1687" s="241"/>
      <c r="C1687" s="241"/>
      <c r="D1687" s="241"/>
      <c r="E1687" s="241"/>
      <c r="F1687" s="241"/>
      <c r="G1687" s="241"/>
      <c r="H1687" s="241"/>
      <c r="I1687" s="241"/>
      <c r="J1687" s="241"/>
      <c r="K1687" s="241"/>
      <c r="L1687" s="242"/>
      <c r="M1687" s="241"/>
      <c r="N1687" s="241"/>
      <c r="O1687" s="241"/>
      <c r="P1687" s="241"/>
      <c r="Q1687" s="241"/>
      <c r="R1687" s="241"/>
      <c r="S1687" s="241"/>
      <c r="T1687" s="241"/>
      <c r="U1687" s="241"/>
      <c r="V1687" s="241"/>
      <c r="W1687" s="241"/>
      <c r="X1687" s="243"/>
      <c r="Y1687" s="243"/>
      <c r="Z1687" s="243"/>
      <c r="AA1687" s="243"/>
      <c r="AB1687" s="243"/>
      <c r="AC1687" s="243"/>
      <c r="AD1687" s="243"/>
      <c r="AE1687" s="243"/>
      <c r="AF1687" s="243"/>
      <c r="AG1687" s="243"/>
      <c r="AH1687" s="243"/>
      <c r="AI1687" s="243"/>
      <c r="AJ1687" s="243"/>
    </row>
    <row r="1688" hidden="1">
      <c r="A1688" s="241"/>
      <c r="B1688" s="241"/>
      <c r="C1688" s="241"/>
      <c r="D1688" s="241"/>
      <c r="E1688" s="241"/>
      <c r="F1688" s="241"/>
      <c r="G1688" s="241"/>
      <c r="H1688" s="241"/>
      <c r="I1688" s="241"/>
      <c r="J1688" s="241"/>
      <c r="K1688" s="241"/>
      <c r="L1688" s="242"/>
      <c r="M1688" s="241"/>
      <c r="N1688" s="241"/>
      <c r="O1688" s="241"/>
      <c r="P1688" s="241"/>
      <c r="Q1688" s="241"/>
      <c r="R1688" s="241"/>
      <c r="S1688" s="241"/>
      <c r="T1688" s="241"/>
      <c r="U1688" s="241"/>
      <c r="V1688" s="241"/>
      <c r="W1688" s="241"/>
      <c r="X1688" s="243"/>
      <c r="Y1688" s="243"/>
      <c r="Z1688" s="243"/>
      <c r="AA1688" s="243"/>
      <c r="AB1688" s="243"/>
      <c r="AC1688" s="243"/>
      <c r="AD1688" s="243"/>
      <c r="AE1688" s="243"/>
      <c r="AF1688" s="243"/>
      <c r="AG1688" s="243"/>
      <c r="AH1688" s="243"/>
      <c r="AI1688" s="243"/>
      <c r="AJ1688" s="243"/>
    </row>
  </sheetData>
  <drawing r:id="rId1"/>
</worksheet>
</file>